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s>
</workbook>
</file>

<file path=xl/sharedStrings.xml><?xml version="1.0" encoding="utf-8"?>
<sst xmlns="http://schemas.openxmlformats.org/spreadsheetml/2006/main" count="76154" uniqueCount="21513">
  <si>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</si>
  <si>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</si>
  <si>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</si>
  <si>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</si>
  <si>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</si>
  <si>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</si>
  <si>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</si>
  <si>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</si>
  <si>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</si>
  <si>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</si>
  <si>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</si>
  <si>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</si>
  <si>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</si>
  <si>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</si>
  <si>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</si>
  <si>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</si>
  <si>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</si>
  <si>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</si>
  <si>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</si>
  <si>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</si>
  <si>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</si>
  <si>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</si>
  <si>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</si>
  <si>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</si>
  <si>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</si>
  <si>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</si>
  <si>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</si>
  <si>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</si>
  <si>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</si>
  <si>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</si>
  <si>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</si>
  <si>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</si>
  <si>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</si>
  <si>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</si>
  <si>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</si>
  <si>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</si>
  <si>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</si>
  <si>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</si>
  <si>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</si>
  <si>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</si>
  <si>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</si>
  <si>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</si>
  <si>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</si>
  <si>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</si>
  <si>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</si>
  <si>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</si>
  <si>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</si>
  <si>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</si>
  <si>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</si>
  <si>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</si>
  <si>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</si>
  <si>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</si>
  <si>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</si>
  <si>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</si>
  <si>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</si>
  <si>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</si>
  <si>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</si>
  <si>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</si>
  <si>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</si>
  <si>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</si>
  <si>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</si>
  <si>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</si>
  <si>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</si>
  <si>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</si>
  <si>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</si>
  <si>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</si>
  <si>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</si>
  <si>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</si>
  <si>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</si>
  <si>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</si>
  <si>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</si>
  <si>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</si>
  <si>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</si>
  <si>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</si>
  <si>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</si>
  <si>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</si>
  <si>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</si>
  <si>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0</t>
  </si>
  <si>
    <t>Alam, MZ; Rahman, R; Sozib, HM; Ahmed, H; Hossain, A; Sabeena, AA; Tasnim, AF; Ahmed, F; Sarkar, MI; Erdei, TI</t>
  </si>
  <si>
    <t>Thyroid disease affects millions worldwide and is often underdiagnosed due to complex symptom overlaps and reliance on laboratory interpretation. Machine learning (ML) offers promise for automated diagnosis, but model transparency remains a barrier to clinical adoption. In this study, we develop an interpretable ML framework for thyroid disease classification using a real-world dataset from the UCI repository. We evaluate five classifiers-including Random Forest, CatBoost, and Support Vector Classifier-under a rigorous nested cross-validation scheme to ensure unbiased performance estimation. Our best models achieve near-perfect accuracy (up to 99.7%) and AUC (1.000) on a reduced set of ten consensus physiological features, demonstrating that high performance can be maintained with parsimonious inputs. To enhance trust and clinical utility, we integrate dual explainable AI (XAI) techniques: SHAP for local feature attribution and counterfactual analysis for actionable "what-if" reasoning. These explanations align closely with known endocrine physiology (e.g., TSH and FTI as primary drivers), supporting their face validity. While limited by class imbalance and lack of external validation, our approach combines strong predictive power with transparent decision-making, offering a foundation for trustworthy clinical decision support systems in thyroid care.</t>
  </si>
  <si>
    <t>Alam, Mohammad Zahidul; Rahman, Rukshanda; Sozib, Hasan Mahmud; Ahmed, Halima; Hossain, Adib; Sabeena, Anseena Anees; Tasnim, Afia Fairooz; Ahmed, Fahad; Sarkar, Md Imran; Erdei, Timotei Istvan</t>
  </si>
  <si>
    <t/>
  </si>
  <si>
    <t>Science Citation Index Expanded (SCI-EXPANDED)</t>
  </si>
  <si>
    <t>Sozib, HM (corresponding author), Ahsanullah Univ Sci &amp; Technol, Dept Elect &amp; Elect Engn, Dhaka 1208, Bangladesh.</t>
  </si>
  <si>
    <t>sozib2019@gmail.com</t>
  </si>
  <si>
    <t>[Alam, Mohammad Zahidul; Sarkar, Md Imran] Westcliff Univ, Dept Informat Technol, Irvine, CA 92614 USA; [Rahman, Rukshanda] Westcliff Univ, Dept Comp Sci, Irvine, CA 92614 USA; [Sozib, Hasan Mahmud] Ahsanullah Univ Sci &amp; Technol, Dept Elect &amp; Elect Engn, Dhaka 1208, Bangladesh; [Ahmed, Halima] Calif State Univ Los Angeles Cal State LA, Dept Sci Publ Hlth, Los Angeles, CA 90032 USA; [Hossain, Adib] Trine Univ, Dept Business Analyt, Angola, IN 46703 USA; [Sabeena, Anseena Anees] Westcliff Univ, Dept Business Adm, Irvine, CA 92614 USA; [Tasnim, Afia Fairooz] Calif State Univ, Dept Publ Hlth, Long Beach, CA 90840 USA; [Ahmed, Fahad] Trine Univ, Dept Sci Engn Management, Angola, IN 46703 USA; [Erdei, Timotei Istvan] Univ Debrecen, Dept Vehicles Engn, H-4032 Debrecen, Hungary</t>
  </si>
  <si>
    <t>Ahsanullah University of Science &amp; Technology (AUST); California State University System; California State University Long Beach; University of Debrecen</t>
  </si>
  <si>
    <t>J</t>
  </si>
  <si>
    <t>Enhancing Thyroid Disease Diagnosis With Machine Learning and Counterfactual Explainable AI</t>
  </si>
  <si>
    <t>IEEE ACCESS</t>
  </si>
  <si>
    <t>English</t>
  </si>
  <si>
    <t>Article</t>
  </si>
  <si>
    <t>Thyroid; Accuracy; Diseases; Machine learning; Trees (botanical); Random forests; Pipelines; Classification tree analysis; Ultrasonic imaging; Radio frequency; Thyroid disease diagnosis; machine learning; explainable artificial intelligence; SHAP; counterfactual explanations; clinical decision support</t>
  </si>
  <si>
    <t>ASSOCIATION GUIDELINES; HYPERTHYROIDISM; HYPOTHYROIDISM; EPIDEMIOLOGY; MANAGEMENT; SYSTEM</t>
  </si>
  <si>
    <t>AHMED, FAHAD/PNI-2139-2026; Erdei, Timotei/HKV-1591-2023; Hossain, Adib/PNF-8397-2026</t>
  </si>
  <si>
    <t>Hossain, Adib/0009-0009-0955-3772</t>
  </si>
  <si>
    <t>79</t>
  </si>
  <si>
    <t>1</t>
  </si>
  <si>
    <t>IEEE-INST ELECTRICAL ELECTRONICS ENGINEERS INC</t>
  </si>
  <si>
    <t>PISCATAWAY</t>
  </si>
  <si>
    <t>445 HOES LANE, PISCATAWAY, NJ 08855-4141 USA</t>
  </si>
  <si>
    <t>2169-3536</t>
  </si>
  <si>
    <t>IEEE Access</t>
  </si>
  <si>
    <t>2026</t>
  </si>
  <si>
    <t>14</t>
  </si>
  <si>
    <t>80346</t>
  </si>
  <si>
    <t>80370</t>
  </si>
  <si>
    <t>10.1109/ACCESS.2026.3663497</t>
  </si>
  <si>
    <t>http://dx.doi.org/10.1109/ACCESS.2026.3663497</t>
  </si>
  <si>
    <t>25</t>
  </si>
  <si>
    <t>Computer Science, Information Systems; Engineering, Electrical &amp; Electronic; Telecommunications</t>
  </si>
  <si>
    <t>Computer Science; Engineering; Telecommunications</t>
  </si>
  <si>
    <t>IZ1FN</t>
  </si>
  <si>
    <t>WOS:001783764800019</t>
  </si>
  <si>
    <t>View Record in Web of Science</t>
  </si>
  <si>
    <t>gold</t>
  </si>
  <si>
    <t>2026-08-26</t>
  </si>
  <si>
    <t>Moglia, A; Leccardi, M; Cavicchioli, M; Maccarini, A; Marcon, M; Mainardi, L; Cerveri, P</t>
  </si>
  <si>
    <t>Following the successful paradigm shift of large language models, which leverages pre-training on a massive corpus of data and fine-tuning on various downstream tasks, generalist models have made their foray into computer vision. The introduction of the Segment Anything Model (SAM) marked a milestone in the segmentation of natural images, inspiring the design of numerous architectures for medical image segmentation. In this survey, we offer a comprehensive and in-depth investigation of generalist models for medical image segmentation. We begin with an introduction to the fundamental concepts that underpin their development. Then, we provide a taxonomy based on features fusion on the different declinations of SAM in terms of zero-shot, few-shot, fine-tuning, adapters, on SAM2, on other innovative models trained on images alone, and others trained on both text and images. We thoroughly analyze their performances at the level of both primary research and best-in-literature, followed by a rigorous comparison with the state-of-the-art task-specific models. We emphasize the need to address challenges in terms of compliance with regulatory frameworks, privacy and security laws, budget, and trustworthy artificial intelligence (AI). Finally, we share our perspective on future directions concerning synthetic data, early fusion, lessons learnt from generalist models in natural language processing, agentic AI, physical AI, and clinical translation. We publicly release a database-backed interactive app with all survey data(https://hal9000-lab.github.io/GMMIS-Survey/).</t>
  </si>
  <si>
    <t>Moglia, Andrea; Leccardi, Matteo; Cavicchioli, Matteo; Maccarini, Alice; Marcon, Marco; Mainardi, Luca; Cerveri, Pietro</t>
  </si>
  <si>
    <t>Moglia, A (corresponding author), Politecn Milano POLIMI, Dept Elect Informat &amp; Bioengn, Via Ponzio 34-5, I-20133 Milan, MI, Italy.</t>
  </si>
  <si>
    <t>andrea.moglia@polimi.it</t>
  </si>
  <si>
    <t>Italian Ministry of Research and University-P.E [PE00000013]; Future Artificial Intelligence Research (FAIR); Fondo di Beneficenza Intesa San [Paolo-B/2023/0201]; Heartic-Artificial Intelligence to fight the coronary disease</t>
  </si>
  <si>
    <t>Italian Ministry of Research and University-P.E; Future Artificial Intelligence Research (FAIR); Fondo di Beneficenza Intesa San; Heartic-Artificial Intelligence to fight the coronary disease</t>
  </si>
  <si>
    <t>This work was partially supported by the Italian Ministry of Research and University-P.E. PE00000013-Future Artificial Intelligence Research (FAIR) and by Fondo di Beneficenza Intesa San Paolo-B/2023/0201 (IT) "Heartic-Artificial Intelligence to fight the coronary disease".</t>
  </si>
  <si>
    <t>[Moglia, Andrea; Leccardi, Matteo; Cavicchioli, Matteo; Marcon, Marco; Mainardi, Luca; Cerveri, Pietro] Politecn Milano POLIMI, Dept Elect Informat &amp; Bioengn, Via Ponzio 34-5, I-20133 Milan, MI, Italy; [Maccarini, Alice; Cerveri, Pietro] Univ Pavia, Dept Ind &amp; Informat Engn, Via Adolfo Ferrata 5, I-27100 Pavia, PV, Italy</t>
  </si>
  <si>
    <t>Polytechnic University of Milan; University of Pavia</t>
  </si>
  <si>
    <t>Generalist models in medical image segmentation: A survey and performance comparison with task-specific approaches</t>
  </si>
  <si>
    <t>INFORMATION FUSION</t>
  </si>
  <si>
    <t>Medical image segmentation; Foundation models; Generalist models; Artificial general intelligence; Segment anything model; U-net</t>
  </si>
  <si>
    <t>MAINARDI, LUCA/CAG-8179-2022; Moglia, Andrea/JVM-8313-2024; Cavicchioli, Matteo/KJM-5535-2024; Marcon, Marco/AAX-4911-2020</t>
  </si>
  <si>
    <t>Moglia, Andrea/0000-0002-3365-580X; Marcon, Marco/0000-0001-6557-2120</t>
  </si>
  <si>
    <t>187</t>
  </si>
  <si>
    <t>5</t>
  </si>
  <si>
    <t>12</t>
  </si>
  <si>
    <t>23</t>
  </si>
  <si>
    <t>ELSEVIER</t>
  </si>
  <si>
    <t>AMSTERDAM</t>
  </si>
  <si>
    <t>RADARWEG 29, 1043 NX AMSTERDAM, NETHERLANDS</t>
  </si>
  <si>
    <t>1566-2535</t>
  </si>
  <si>
    <t>1872-6305</t>
  </si>
  <si>
    <t>INFORM FUSION</t>
  </si>
  <si>
    <t>Inf. Fusion</t>
  </si>
  <si>
    <t>MAR 2026</t>
  </si>
  <si>
    <t>127</t>
  </si>
  <si>
    <t>B</t>
  </si>
  <si>
    <t>103709</t>
  </si>
  <si>
    <t>10.1016/j.inffus.2025.103709</t>
  </si>
  <si>
    <t>http://dx.doi.org/10.1016/j.inffus.2025.103709</t>
  </si>
  <si>
    <t>OCT 2025</t>
  </si>
  <si>
    <t>34</t>
  </si>
  <si>
    <t>Computer Science, Artificial Intelligence; Computer Science, Theory &amp; Methods</t>
  </si>
  <si>
    <t>Computer Science</t>
  </si>
  <si>
    <t>8LJ9S</t>
  </si>
  <si>
    <t>WOS:001591442300003</t>
  </si>
  <si>
    <t>hybrid; Green Submitted</t>
  </si>
  <si>
    <t>2</t>
  </si>
  <si>
    <t>Vielhaben, J; Lapuschkin, S; Montavon, G; Samek, W</t>
  </si>
  <si>
    <t>The field of eXplainable Artificial Intelligence (XAI) has witnessed significant advancements in recent years. However, the majority of progress has been concentrated in the domains of computer vision and natural language processing. For time series data, where the input itself is often not interpretable, dedicated XAI research is scarce. In this work, we put forward a virtual inspection layer for transforming the time series to an interpretable representation and allows to propagate relevance attributions to this representation via local XAI methods. In this way, we extend the applicability of XAI methods to domains (e.g. speech) where the input is only interpretable after a transformation. In this work, we focus on the Fourier Transform which, is prominently applied in the preprocessing of time series, with Layer -wise Relevance Propagation (LRP) and refer to our method as DFT-LRP. We demonstrate the usefulness of DFT-LRP in various time series classification settings like audio and medical data. We showcase how DFT-LRP reveals differences in the classification strategies of models trained in different domains (e.g., time vs. frequency domain) or helps to discover how models act on spurious correlations in the data.</t>
  </si>
  <si>
    <t>Vielhaben, Johanna; Lapuschkin, Sebastian; Montavon, Gregoire; Samek, Wojciech</t>
  </si>
  <si>
    <t>Samek, W (corresponding author), Fraunhofer Heinrich Hertz Inst, Dept Artificial Intelligence, D-10587 Berlin, Germany.</t>
  </si>
  <si>
    <t>wojciech.samek@hhi.fraunhofer.de; johanna.vielhaben@hhi.fraunhofer.de; gregoire.montavon@fu-berlin.de; sebastian.lapuschkin@hhi.fraunhofer.de</t>
  </si>
  <si>
    <t>Federal Ministry of Education and Research (BMBF) , Germany [01IS18025A, 01IS180 371I, 01IS21069B]; European Union [101093003, 965221]; State of Berlin within the innovation support programme ProFIT (IBB) [10174498]; German Research Foundation [DFG KI-FOR 5363]; Horizon Europe - Pillar II [101093003] Funding Source: Horizon Europe - Pillar II</t>
  </si>
  <si>
    <t>Federal Ministry of Education and Research (BMBF) , Germany (Federal Ministry of Education &amp; Research (BMBF)); European Union (European Union (EU)); State of Berlin within the innovation support programme ProFIT (IBB); German Research Foundation (German Research Foundation (DFG)); Horizon Europe - Pillar II (European Union (EU), Horizon Europe - Pillar II)</t>
  </si>
  <si>
    <t>This work was supported by the Federal Ministry of Education and Research (BMBF) , Germany as grants [BIFOLD (01IS18025A, 01IS180 371I) , SyReal (01IS21069B) ] ; the European Union's Horizon Europe research and innovation programme (EU Horizon Europe) as grant TEMA (101093003) ; the European Union's Horizon 2020 research and inno-vation programme (EU Horizon 2020) as grant iToBoS (965221) ; the state of Berlin within the innovation support programme ProFIT (IBB) as grant BerDiBa (10174498) ; and the German Research Foundation as grant DFG KI-FOR 5363.</t>
  </si>
  <si>
    <t>[Vielhaben, Johanna; Lapuschkin, Sebastian; Samek, Wojciech] Fraunhofer Heinrich Hertz Inst, Dept Artificial Intelligence, D-10587 Berlin, Germany; [Montavon, Gregoire; Samek, Wojciech] Tech Univ Berlin, Dept Elect Engn &amp; Comp Sci, D-10587 Berlin, Germany; [Montavon, Gregoire] Free Univ Berlin, Dept Math &amp; Comp Sci, D-14195 Berlin, Germany; [Montavon, Gregoire; Samek, Wojciech] Berlin Inst Fdn Learning &amp; Data, BIFOLD, Berlin, Germany</t>
  </si>
  <si>
    <t>Fraunhofer Gesellschaft; Technical University of Berlin; Free University of Berlin</t>
  </si>
  <si>
    <t>Explainable AI for time series via Virtual Inspection Layers</t>
  </si>
  <si>
    <t>PATTERN RECOGNITION</t>
  </si>
  <si>
    <t>Interpretability; Explainable Artificial Intelligence; Time series; Discrete Fourier Transform; Invertible transformations; Audio classification</t>
  </si>
  <si>
    <t>DEEP NEURAL-NETWORKS; CLASSIFICATION</t>
  </si>
  <si>
    <t>Samek, Wojciech/AAZ-2156-2021; Montavon, Grégoire/Q-1836-2016</t>
  </si>
  <si>
    <t>Samek, Wojciech/0000-0002-6283-3265; Lapuschkin, Sebastian/0000-0002-0762-7258; Vielhaben, Johanna/0000-0001-9399-5710</t>
  </si>
  <si>
    <t>44</t>
  </si>
  <si>
    <t>38</t>
  </si>
  <si>
    <t>4</t>
  </si>
  <si>
    <t>28</t>
  </si>
  <si>
    <t>ELSEVIER SCI LTD</t>
  </si>
  <si>
    <t>London</t>
  </si>
  <si>
    <t>125 London Wall, London, ENGLAND</t>
  </si>
  <si>
    <t>0031-3203</t>
  </si>
  <si>
    <t>1873-5142</t>
  </si>
  <si>
    <t>PATTERN RECOGN</t>
  </si>
  <si>
    <t>Pattern Recognit.</t>
  </si>
  <si>
    <t>JUN 2024</t>
  </si>
  <si>
    <t>2024</t>
  </si>
  <si>
    <t>150</t>
  </si>
  <si>
    <t>110309</t>
  </si>
  <si>
    <t>10.1016/j.patcog.2024.110309</t>
  </si>
  <si>
    <t>http://dx.doi.org/10.1016/j.patcog.2024.110309</t>
  </si>
  <si>
    <t>FEB 2024</t>
  </si>
  <si>
    <t>11</t>
  </si>
  <si>
    <t>Computer Science, Artificial Intelligence; Engineering, Electrical &amp; Electronic</t>
  </si>
  <si>
    <t>Computer Science; Engineering</t>
  </si>
  <si>
    <t>KZ2X4</t>
  </si>
  <si>
    <t>WOS:001183736900001</t>
  </si>
  <si>
    <t>3</t>
  </si>
  <si>
    <t>Ullah, F; Moon, J; Naeem, H; Jabbar, S</t>
  </si>
  <si>
    <t>Population size has made disease monitoring a major concern in the healthcare system, due to which auto-detection has become a top priority. Intelligent disease detection frameworks enable doctors to recognize illnesses, provide stable and accurate results, and lower mortality rates. An acute and severe disease known as Coronavirus (COVID19) has suddenly become a global health crisis. The fastest way to avoid the spreading of Covid19 is to implement an automated detection approach. In this study, an explainable COVID19 detection in CT scan and chest X-ray is established using a combination of deep learning and machine learning classification algorithms. A Convolutional Neural Network (CNN) collects deep features from collected images, and these features are then fed into a machine learning ensemble for COVID19 assessment. To identify COVID19 disease from images, an ensemble model is developed which includes, Gaussian Naive Bayes (GNB), Support Vector Machine (SVM), Decision Tree (DT), Logistic Regression (LR), K-Nearest Neighbor (KNN), and Random Forest (RF). The overall performance of the proposed method is interpreted using Gradient-weighted Class Activation Mapping (Grad-CAM), and t-distributed Stochastic Neighbor Embedding (t-SNE). The proposed method is evaluated using two datasets containing 1,646 and 2,481 CT scan images gathered from COVID19 patients, respectively. Various performance comparisons with state-of-the-art approaches were also shown. The proposed approach beats existing models, with scores of 98.5% accuracy, 99% precision, and 99% recall, respectively. Further, the t-SNE and explainable Artificial Intelligence (AI) experiments are conducted to validate the proposed approach.</t>
  </si>
  <si>
    <t>Ullah, Farhan; Moon, Jihoon; Naeem, Hamad; Jabbar, Sohail</t>
  </si>
  <si>
    <t>Naeem, H (corresponding author), Zhoukou Normal Univ, Sch Comp Sci &amp; Technol, Zhoukou 466000, Henan, Peoples R China.</t>
  </si>
  <si>
    <t>hamadnaeemh@yahoo.com; farhankhan.cs@yahoo.com; johnny89@cau.ac.kr; sjabbar.research@gmail.com</t>
  </si>
  <si>
    <t>[Ullah, Farhan] Northwestern Polytech Univ, Sch Software, Xian 710072, Shaanxi, Peoples R China; [Moon, Jihoon] Chung Ang Univ, Dept Ind Secur, Seoul 06974, South Korea; [Naeem, Hamad] Zhoukou Normal Univ, Sch Comp Sci &amp; Technol, Zhoukou 466000, Henan, Peoples R China; [Jabbar, Sohail] Univ Faisalabad, Dept Computat Sci, Faisalabad 38000, Pakistan</t>
  </si>
  <si>
    <t>Northwestern Polytechnical University; Chung Ang University; Zhoukou Normal University</t>
  </si>
  <si>
    <t>Explainable artificial intelligence approach in combating real-time surveillance of COVID19 pandemic from CT scan and X-ray images using ensemble model</t>
  </si>
  <si>
    <t>JOURNAL OF SUPERCOMPUTING</t>
  </si>
  <si>
    <t>COVID19; Explainable AI; Features selection; Ensemble learning; IoT; Covid Severity</t>
  </si>
  <si>
    <t>CLASSIFICATION; FRAMEWORK</t>
  </si>
  <si>
    <t>Moon, Jihoon/ABB-6112-2021; Naeem, Hamad/J-2066-2016; Jabbar, Sohail/E-3052-2012; Ullah, Farhan/IUM-8973-2023</t>
  </si>
  <si>
    <t>Naeem, Hamad/0000-0003-1511-218X; Ullah, Farhan/0000-0002-1030-1275</t>
  </si>
  <si>
    <t>22</t>
  </si>
  <si>
    <t>10</t>
  </si>
  <si>
    <t>SPRINGER</t>
  </si>
  <si>
    <t>DORDRECHT</t>
  </si>
  <si>
    <t>VAN GODEWIJCKSTRAAT 30, 3311 GZ DORDRECHT, NETHERLANDS</t>
  </si>
  <si>
    <t>0920-8542</t>
  </si>
  <si>
    <t>1573-0484</t>
  </si>
  <si>
    <t>J SUPERCOMPUT</t>
  </si>
  <si>
    <t>J. Supercomput.</t>
  </si>
  <si>
    <t>NOV 2022</t>
  </si>
  <si>
    <t>2022</t>
  </si>
  <si>
    <t>78</t>
  </si>
  <si>
    <t>17</t>
  </si>
  <si>
    <t>19246</t>
  </si>
  <si>
    <t>19271</t>
  </si>
  <si>
    <t>10.1007/s11227-022-04631-z</t>
  </si>
  <si>
    <t>http://dx.doi.org/10.1007/s11227-022-04631-z</t>
  </si>
  <si>
    <t>JUN 2022</t>
  </si>
  <si>
    <t>26</t>
  </si>
  <si>
    <t>Computer Science, Hardware &amp; Architecture; Computer Science, Theory &amp; Methods; Engineering, Electrical &amp; Electronic</t>
  </si>
  <si>
    <t>5S2NW</t>
  </si>
  <si>
    <t>35754515</t>
  </si>
  <si>
    <t>WOS:000812587000001</t>
  </si>
  <si>
    <t>Green Submitted</t>
  </si>
  <si>
    <t>7</t>
  </si>
  <si>
    <t>Malinverno, L; Barros, V; Ghisoni, F; Visonà, G; Kern, R; Nickel, PJ; Ventura, BE; Simic, I; Stryeck, S; Manni, F; Ferri, C; Jean-Quartier, C; Genga, L; Schweikert, G; Lovri, M; Rosen-Zvi, M</t>
  </si>
  <si>
    <t>The black-box nature of most artificial intelligence (AI) models encourages the development of explainability methods to engender trust into the AI decision-making process. Such methods can be broadly categorized into two main types: post hoc explanations and inherently interpretable algorithms. We aimed at analyzing the possible associations between COVID-19 and the push of explainable AI (XAI) to the forefront of biomed-ical research. We automatically extracted from the PubMed database biomedical XAI studies related to con-cepts of causality or explainability and manually labeled 1,603 papers with respect to XAI categories. To compare the trends pre-and post-COVID-19, we fit a change point detection model and evaluated significant changes in publication rates. We show that the advent of COVID-19 in the beginning of 2020 could be the driving factor behind an increased focus concerning XAI, playing a crucial role in accelerating an already evolving trend. Finally, we present a discussion with future societal use and impact of XAI technologies and potential future directions for those who pursue fostering clinical trust with interpretable machine learning models.</t>
  </si>
  <si>
    <t>Malinverno, Luca; Barros, Vesna; Ghisoni, Francesco; Visona, Giovanni; Kern, Roman; Nickel, Philip J.; Ventura, Barbara Elvira; Simic, Ilija; Stryeck, Sarah; Manni, Francesca; Ferri, Cesar; Jean-Quartier, Claire; Genga, Laura; Schweikert, Gabriele; Lovri, Mario; Rosen-Zvi, Michal</t>
  </si>
  <si>
    <t>Emerging Sources Citation Index (ESCI)</t>
  </si>
  <si>
    <t>Barros, V (corresponding author), Univ Haifa Campus, IBM R&amp;D Labs, AI Accelerated Healthcare &amp; Life Sci Discovery, Mt Carmel, IL-3498825 Hefa, Israel.; Barros, V (corresponding author), Hebrew Univ Jerusalem, Ein Kerem Campus, IL-9112102 Jerusalem, Israel.</t>
  </si>
  <si>
    <t>vesna.barros@ibm.com</t>
  </si>
  <si>
    <t>European Union under the Marie Sk1odowska-Curie [813533-MSCA-ITN-2018]; "DDAI" COMET Module within the COMET - Competence Centers for Excellent Technologies Programme; Austrian Federal Ministry for Transport, Innovation and Technology (BMVIT); Austrian Federal Ministry for Digital and Economic Affairs (BMDW); Austrian Research Promotion Agency (FFG); Province of Styria (SFG)</t>
  </si>
  <si>
    <t>European Union under the Marie Sk1odowska-Curie (European Union (EU)); "DDAI" COMET Module within the COMET - Competence Centers for Excellent Technologies Programme; Austrian Federal Ministry for Transport, Innovation and Technology (BMVIT); Austrian Federal Ministry for Digital and Economic Affairs (BMDW); Austrian Research Promotion Agency (FFG); Province of Styria (SFG)</t>
  </si>
  <si>
    <t>We are extremely grateful for Prof. Chris Holmes for his critical reading and valuable comments. We acknowledge the funding received from the European Union's Framework Programme for Research and Innovation Horizon 2020 (2014-2020) under the Marie Sk1odowska-Curie Grant agreement no. 813533-MSCA-ITN-2018. I.S. was funded by the "DDAI" COMET Module within the COMET - Competence Centers for Excellent Technologies Programme, funded by the Austrian Federal Ministry for Transport, Innovation and Technology (BMVIT), the Austrian Federal Ministry for Digital and Economic Affairs (BMDW), the Austrian Research Promotion Agency (FFG), the Province of Styria (SFG), and partners from industry and academia. The COMET Program is managed by FFG. Finally, we acknowledge the Big Data Value Association (BDVA), Brussels, Belgium.</t>
  </si>
  <si>
    <t>[Malinverno, Luca; Ghisoni, Francesco; Ventura, Barbara Elvira] Porini SRL, Via Cavour,2, I-22074 Lomazzo, Italy; [Barros, Vesna; Rosen-Zvi, Michal] Univ Haifa Campus, IBM R&amp;D Labs, AI Accelerated Healthcare &amp; Life Sci Discovery, Mt Carmel, IL-3498825 Hefa, Israel; [Barros, Vesna; Rosen-Zvi, Michal] Hebrew Univ Jerusalem, Ein Kerem Campus, IL-9112102 Jerusalem, Israel; [Visona, Giovanni] Max Planck Inst Intelligent Syst, Empir Inference, D-72076 Tubingen, Germany; [Kern, Roman] Graz Univ Technol, Inst Interact Syst &amp; Data Sci, Sandgasse 36-III, A-8010 Graz, Austria; [Kern, Roman; Simic, Ilija; Lovri, Mario] Know Ctr GmbH, Sandgasse 36-4A, A-8010 Graz, Austria; [Nickel, Philip J.; Genga, Laura] Eindhoven Univ Technol, NL-5135 MB Eindhoven, Netherlands; [Stryeck, Sarah] Res Ctr Pharmaceut Engn GmbH, Inffeldgasse 13, A-8010 Graz, Austria; [Manni, Francesca] Philips Res, HTC 4, NL-5656 AE Eindhoven, Netherlands; [Ferri, Cesar] Univ Politecn Valencia, VRAIN, Camino Vera s-n, Valencia 46022, Spain; [Jean-Quartier, Claire] Graz Univ Technol, Res Data Management, Brockmanngasse 84, A-8010 Graz, Austria; [Schweikert, Gabriele] Univ Dundee, Sch Life Sci, Dow St, Dundee DD1 5EH, Scotland; [Lovri, Mario] Inst Anthropol Res, Ctr Appl Bioanthropol, Zagreb 10000, Croatia</t>
  </si>
  <si>
    <t>International Business Machines (IBM); IBM ISRAEL; Hebrew University of Jerusalem; Max Planck Society; Graz University of Technology; Eindhoven University of Technology; Research Center for Pharmaceutical Engineering (RCPE); Universitat Politecnica de Valencia; Graz University of Technology; University of Dundee; Institute for Anthropological Research Zagreb</t>
  </si>
  <si>
    <t>A historical perspective of biomedical explainable AI research</t>
  </si>
  <si>
    <t>PATTERNS</t>
  </si>
  <si>
    <t>BLACK-BOX; CLASSIFICATION; COVID-19</t>
  </si>
  <si>
    <t>Nickel, Philip/IZP-9647-2023; Lovrić, Mario/AAS-7160-2021; Ramírez, Cesar/H-9181-2015; Rosen-Zvi, Michal/AAF-4649-2020; Kern, Roman/ABG-3805-2020</t>
  </si>
  <si>
    <t>Šimić, Ilija/0000-0002-0200-5580; Lovrić, Mario/0000-0002-3541-9624; Jean-Quartier, Claire/0000-0002-0840-2173; Stryeck, Sarah/0000-0001-7524-6038; Rosen-Zvi, Michal/0000-0001-7616-9724; Kern, Roman/0000-0003-0202-6100</t>
  </si>
  <si>
    <t>64</t>
  </si>
  <si>
    <t>30</t>
  </si>
  <si>
    <t>33</t>
  </si>
  <si>
    <t>CELL PRESS</t>
  </si>
  <si>
    <t>CAMBRIDGE</t>
  </si>
  <si>
    <t>50 HAMPSHIRE ST, FLOOR 5, CAMBRIDGE, MA 02139 USA</t>
  </si>
  <si>
    <t>2666-3899</t>
  </si>
  <si>
    <t>Patterns</t>
  </si>
  <si>
    <t>SEP 8 2023</t>
  </si>
  <si>
    <t>2023</t>
  </si>
  <si>
    <t>9</t>
  </si>
  <si>
    <t>100830</t>
  </si>
  <si>
    <t>10.1016/j.patter.2023.100830</t>
  </si>
  <si>
    <t>http://dx.doi.org/10.1016/j.patter.2023.100830</t>
  </si>
  <si>
    <t>SEP 2023</t>
  </si>
  <si>
    <t>Computer Science, Artificial Intelligence; Computer Science, Information Systems; Computer Science, Interdisciplinary Applications</t>
  </si>
  <si>
    <t>T7SO8</t>
  </si>
  <si>
    <t>37720333</t>
  </si>
  <si>
    <t>WOS:001079947200001</t>
  </si>
  <si>
    <t>gold; Green Submitted; Green Published</t>
  </si>
  <si>
    <t>Torbati, M; Zandbagleh, A; Daliri, MR; Ahmadi, A; Rostami, R; Kazemi, R</t>
  </si>
  <si>
    <t>Background: Despite the prevalence and severity of bipolar disorder (BD), current diagnostic approaches remain largely subjective. This study presents an automatic diagnostic framework using electroencephalography (EEG)-derived Hjorth parameters (activity, mobility, and complexity), aiming to establish objective neurophysiological markers for BD detection and provide insights into its underlying neural mechanisms. Methods: Using resting-state eyes-closed EEG data collected from 20 BD patients and 20 healthy controls (HCs), we developed a novel diagnostic approach based on Hjorth parameters extracted across multiple frequency bands. We employed a rigorous leave-one-subject-out cross-validation strategy to ensure robust, subject-independent assessment, combined with explainable artificial intelligence (XAI) to identify the most discriminative neural features. Results: Our approach achieved remarkable classification accuracy (92.05%), with the activity Hjorth parameters from beta and gamma frequency bands emerging as the most discriminative features. XAI analysis revealed that anterior brain regions in these higher frequency bands contributed most significantly to BD detection, providing new insights into the neurophysiological markers of BD. Conclusions: This study demonstrates the exceptional diagnostic utility of Hjorth parameters, particularly in higher frequency ranges and anterior brain regions, for BD detection. Our findings not only establish a promising framework for automated BD diagnosis but also offer valuable insights into the neurophysiological basis of bipolar and related disorders. The robust performance and interpretability of our approach suggest its potential as a clinical tool for objective BD diagnosis.</t>
  </si>
  <si>
    <t>Torbati, Mehrnaz Saghab; Zandbagleh, Ahmad; Daliri, Mohammad Reza; Ahmadi, Amirmasoud; Rostami, Reza; Kazemi, Reza</t>
  </si>
  <si>
    <t>Daliri, MR (corresponding author), Iran Univ Sci &amp; Technol, Sch Elect Engn, Biomed Engn Dept, Neurosci &amp; Neuroengn Res Lab, Tehran 1684613114, Iran.</t>
  </si>
  <si>
    <t>mehrnaz.s.torbati@ieee.org; rrostami@ut.ac.ir; amirmasoud.ahmadi@bi.mpg.de; rezakazemi@ut.ac.ir; a_zandbagleh@alumni.iust.ac.ir; daliri@iust.ac.ir</t>
  </si>
  <si>
    <t>[Torbati, Mehrnaz Saghab; Zandbagleh, Ahmad; Daliri, Mohammad Reza] Iran Univ Sci &amp; Technol, Sch Elect Engn, Biomed Engn Dept, Neurosci &amp; Neuroengn Res Lab, Tehran 1684613114, Iran; [Ahmadi, Amirmasoud] Max Planck Inst Biol Intelligence, D-82319 Starnberg, Germany; [Rostami, Reza] Univ Tehran, Dept Psychol, Tehran 1445983861, Iran; [Kazemi, Reza] Univ Tehran, Fac Entrepreneurship, Dept Entrepreneurship Dev, Farshi Moghadam 16 St,North Kargar Ave, Tehran 1439813141, Iran</t>
  </si>
  <si>
    <t>Iran University Science &amp; Technology; University of Tehran; University of Tehran</t>
  </si>
  <si>
    <t>Explainable AI for Bipolar Disorder Diagnosis Using Hjorth Parameters</t>
  </si>
  <si>
    <t>DIAGNOSTICS</t>
  </si>
  <si>
    <t>bipolar disorder; computer-aided diagnosis; EEG; explainable AI; Hjorth parameters; neurophysiological markers</t>
  </si>
  <si>
    <t>DEPRESSION</t>
  </si>
  <si>
    <t>Daliri, Mohammad/AAF-4609-2021; Ahmadi, Amirmasoud/S-3335-2019; Zandbagleh, Ahmad/AHB-1190-2022; Rostami, Reza/G-3181-2017; Kazemi, Reza/C-5030-2019</t>
  </si>
  <si>
    <t>Ahmadi, Amirmasoud/0000-0003-4895-2150; Zandbagleh, Ahmad/0009-0005-0912-2607; Kazemi, Reza/0000-0002-2433-0712</t>
  </si>
  <si>
    <t>MDPI</t>
  </si>
  <si>
    <t>BASEL</t>
  </si>
  <si>
    <t>MDPI AG, Grosspeteranlage 5, CH-4052 BASEL, SWITZERLAND</t>
  </si>
  <si>
    <t>2075-4418</t>
  </si>
  <si>
    <t>Diagnostics</t>
  </si>
  <si>
    <t>FEB 2025</t>
  </si>
  <si>
    <t>2025</t>
  </si>
  <si>
    <t>15</t>
  </si>
  <si>
    <t>316</t>
  </si>
  <si>
    <t>10.3390/diagnostics15030316</t>
  </si>
  <si>
    <t>http://dx.doi.org/10.3390/diagnostics15030316</t>
  </si>
  <si>
    <t>20</t>
  </si>
  <si>
    <t>Medicine, General &amp; Internal</t>
  </si>
  <si>
    <t>General &amp; Internal Medicine</t>
  </si>
  <si>
    <t>W6F4K</t>
  </si>
  <si>
    <t>39941246</t>
  </si>
  <si>
    <t>WOS:001419507400001</t>
  </si>
  <si>
    <t>gold; Green Submitted</t>
  </si>
  <si>
    <t>Ncube, M; Sibanda, M; Matenda, FR</t>
  </si>
  <si>
    <t>This study examines the impact of the COVID-19 pandemic on sector volatility in sub-Saharan Africa by drawing evidence from two large and two small stock exchanges in the region. The analysis included stock-specific data, COVID-19 metrics, and macroeconomic indicators from January 2019 to July 2022. This study employs generalized autoregressive conditional heteroskedasticity (GARCH) models to estimate volatility and Explainable Artificial Intelligence (XAI) in the form of SHapley Additive exPlanations (SHAP) to identify significant factors driving stock volatility during the pandemic. The findings reveal significant volatility increases at the onset of the pandemic, with government stringency measures leading to increased volatility in larger exchanges, while the introduction of vaccination programs helped to reduce volatility. Weaker macroeconomic fundamentals impact volatility in smaller exchanges. The healthcare sector has emerged as the most resilient, while non-essential sectors, such as consumer discretionary, materials, and real estate, face greater vulnerability, especially in smaller exchanges. The research findings reveal that the heightened stock market volatility observed was mainly a result of the government's actions to combat the spread of the pandemic, rather than its outbreak. We recommend that governments introduce sound policies to balance public health measures and economic stability, and that investors diversify their investments to reduce the impact of pandemics.</t>
  </si>
  <si>
    <t>Ncube, Mbongiseni; Sibanda, Mabutho; Matenda, Frank Ranganai</t>
  </si>
  <si>
    <t>Ncube, M (corresponding author), Univ KwaZulu Natal, Sch Accounting Econ &amp; Finance, Westville Campus, ZA-4041 Durban, South Africa.</t>
  </si>
  <si>
    <t>220101144@stu.ukzn.ac.za; matendaf@ukzn.ac.za; sibandam@ukzn.ac.za</t>
  </si>
  <si>
    <t>[Ncube, Mbongiseni; Sibanda, Mabutho; Matenda, Frank Ranganai] Univ KwaZulu Natal, Sch Accounting Econ &amp; Finance, Westville Campus, ZA-4041 Durban, South Africa</t>
  </si>
  <si>
    <t>University of Kwazulu Natal</t>
  </si>
  <si>
    <t>Investigating the Effects of the COVID-19 Pandemic on Stock Volatility in Sub-Saharan Africa: Analysis Using Explainable Artificial Intelligence</t>
  </si>
  <si>
    <t>ECONOMIES</t>
  </si>
  <si>
    <t>COVID-19 pandemic; sub-Saharan Africa; stock market volatility; GARCH models; Explainable Artificial Intelligence</t>
  </si>
  <si>
    <t>MARKET; OUTBREAK; RETURN</t>
  </si>
  <si>
    <t>Ncube, Mbongiseni/KHV-9463-2024; Sibanda, Mabutho/JNR-6261-2023; Matenda, Frank Ranganai/IUM-5861-2023</t>
  </si>
  <si>
    <t>Ncube, Mbongiseni/0000-0001-8147-6972; Sibanda, Mabutho/0000-0002-8656-7539</t>
  </si>
  <si>
    <t>67</t>
  </si>
  <si>
    <t>6</t>
  </si>
  <si>
    <t>ST ALBAN-ANLAGE 66, CH-4052 BASEL, SWITZERLAND</t>
  </si>
  <si>
    <t>2227-7099</t>
  </si>
  <si>
    <t>Economies</t>
  </si>
  <si>
    <t>MAY 2024</t>
  </si>
  <si>
    <t>112</t>
  </si>
  <si>
    <t>10.3390/economies12050112</t>
  </si>
  <si>
    <t>http://dx.doi.org/10.3390/economies12050112</t>
  </si>
  <si>
    <t>35</t>
  </si>
  <si>
    <t>Economics</t>
  </si>
  <si>
    <t>Business &amp; Economics</t>
  </si>
  <si>
    <t>SD2G4</t>
  </si>
  <si>
    <t>WOS:001232448700001</t>
  </si>
  <si>
    <t>Shaheen, I; Javaid, N; Alrajeh, N; Asim, Y; Aslam, S</t>
  </si>
  <si>
    <t>Diabetes is a metabolic disease caused by the body's failure to use insulin or break down meals correctly. Every year, an alarming number of new cases of diabetes are recorded. A poor lifestyle and an unfavorable environment are the two main causes of diabetes. If it is not treated at early stages, it becomes a lifelong disease and further leads to failure of important organs such as the kidneys, heart, eyes, and so on. This danger can be decreased with timely and precise identification. Deep Learning (DL) is the best method for illness prediction, as demonstrated by recent developments in DL for clinical use. We have proposed two ensemble learning approaches: blending and hybrid by using the Diabetes Prediction Dataset (DPD), which is a highly imbalanced dataset. The number of diabetic patients in it are 8500 whereas, the number of non-diabetic individuals are 91500. To overcome the class imbalance problem, a Proximity-Weighted Synthetic Oversampling (ProWSyn) technique is implemented. We have proposed a hybrid of highway and LeNet model, named Hi-Le, for early and accurate diabetes detection. Hi-Le model achieves an accuracy of 94%, a F1-Score of 96%, precision score of 94% and recall of 95% and beats its individual models in terms of accuracy, F1-Score, precision and recall. We have also proposed a blending model named HiTCLe using Highway, LeNet, and a Temporal Convolutional Network (TCN) to detect and predict diabetes at an early stage. HiTCLe performs best, beats its individual models, highway, TCN and LeNet, and achieves an accuracy score of 94% and a F1-Score of 94%, whereas individual models achieve an accuracy score between 89% and 91% on 10 epochs. To validate models' results, we have implemented K-Fold Cross Validation (K-FCV). Also, to know the features contributions, we have implemented Shapley Additive eXplanations (SHAP) post processing technique. Both ensemble learning models outperform their individual models in term of accurate diabetes detection and prediction.</t>
  </si>
  <si>
    <t>Shaheen, Ifra; Javaid, Nadeem; Alrajeh, Nabil; Asim, Yousra; Aslam, Sheraz</t>
  </si>
  <si>
    <t>Javaid, N (corresponding author), COMSATS Univ Islamabad, Dept Comp Sci, Islamabad 44000, Pakistan.; Javaid, N (corresponding author), Natl Yunlin Univ Sci &amp; Technol, Int Grad Sch Artificial Intelligence, Yunlin 64002, Taiwan.</t>
  </si>
  <si>
    <t>nadeemjavaidqau@gmail.com</t>
  </si>
  <si>
    <t>Researchers Supporting Projectnumber</t>
  </si>
  <si>
    <t>No Statement Available</t>
  </si>
  <si>
    <t>[Shaheen, Ifra; Javaid, Nadeem; Asim, Yousra] COMSATS Univ Islamabad, Dept Comp Sci, Islamabad 44000, Pakistan; [Javaid, Nadeem] Natl Yunlin Univ Sci &amp; Technol, Int Grad Sch Artificial Intelligence, Yunlin 64002, Taiwan; [Alrajeh, Nabil] King Saud Univ, Coll Appl Med Sci, Dept Biomed Technol, Riyadh 11633, Saudi Arabia; [Aslam, Sheraz] Cyprus Univ Technol, Dept Elect Engn Comp Engn &amp; Informat EECEI, CY-3036 Limassol, Cyprus</t>
  </si>
  <si>
    <t>COMSATS University Islamabad (CUI); National Yunlin University Science &amp; Technology; King Saud University; Cyprus University of Technology</t>
  </si>
  <si>
    <t>Hi-Le and HiTCLe: Ensemble Learning Approaches for Early Diabetes Detection Using Deep Learning and Explainable Artificial Intelligence</t>
  </si>
  <si>
    <t>Deep learning; diabetes prediction; hybrid model; LeNet; proximity-weighted synthetic oversampling; SHapley additive exPlanations; 10-fold cross-validation</t>
  </si>
  <si>
    <t>PREDICTION</t>
  </si>
  <si>
    <t>Javaid, Nadeem/B-8835-2014; Alrajeh, Nabil/T-2446-2017; Aslam, Sheraz/AAE-1150-2020</t>
  </si>
  <si>
    <t>Asim, Yousra/0000-0003-1521-6579; Javaid, Nadeem/0000-0003-3777-8249; Shaheen, Ifra/0009-0004-5070-4548; Alrajeh, Nabil/0000-0002-1861-0582; Aslam, Sheraz/0000-0003-4305-0908</t>
  </si>
  <si>
    <t>46</t>
  </si>
  <si>
    <t>31</t>
  </si>
  <si>
    <t>66516</t>
  </si>
  <si>
    <t>66538</t>
  </si>
  <si>
    <t>10.1109/ACCESS.2024.3398198</t>
  </si>
  <si>
    <t>http://dx.doi.org/10.1109/ACCESS.2024.3398198</t>
  </si>
  <si>
    <t>RE7G1</t>
  </si>
  <si>
    <t>WOS:001226051300001</t>
  </si>
  <si>
    <t>Binzagr, F</t>
  </si>
  <si>
    <t>Although the detection procedure has been shown to be highly effective, there are several obstacles to overcome in the usage of AI-assisted cancer cell detection in clinical settings. These issues stem mostly from the failure to identify the underlying processes. Because AI-assisted diagnosis does not offer a clear decision-making process, doctors are dubious about it. In this instance, the advent of Explainable Artificial Intelligence (XAI), which offers explanations for prediction models, solves the AI black box issue. The SHapley Additive exPlanations (SHAP) approach, which results in the interpretation of model predictions, is the main emphasis of this work. The intermediate layer in this study was a hybrid model made up of three Convolutional Neural Networks (CNNs) (InceptionV3, InceptionResNetV2, and VGG16) that combined their predictions. The KvasirV2 dataset, which comprises pathological symptoms associated to cancer, was used to train the model. Our combined model yielded an accuracy of 93.17% and an F1 score of 97%. After training the combined model, we use SHAP to analyze images from these three groups to provide an explanation of the decision that affects the model prediction.</t>
  </si>
  <si>
    <t>Binzagr, Faisal</t>
  </si>
  <si>
    <t>Binzagr, F (corresponding author), King Abdulaziz Univ, Dept Comp Sci, Rabigh, Saudi Arabia.</t>
  </si>
  <si>
    <t>fbinzagr@kau.edu.sa</t>
  </si>
  <si>
    <t>Institutional Fund Projects [IFPIP: 860-830-1443]; Ministry of Education and King Abdulaziz University, DSR, Jeddah, Saudi Arabia</t>
  </si>
  <si>
    <t>Institutional Fund Projects; Ministry of Education and King Abdulaziz University, DSR, Jeddah, Saudi Arabia (King Abdulaziz University)</t>
  </si>
  <si>
    <t>The author(s) declare that financial support was received for the research, authorship, and/or publication of this article. This research work was funded by Institutional Fund Projects under grant no. (IFPIP: 860-830-1443). The authors gratefully acknowledge technical and financial support provided by the Ministry of Education and King Abdulaziz University, DSR, Jeddah, Saudi Arabia.</t>
  </si>
  <si>
    <t>[Binzagr, Faisal] King Abdulaziz Univ, Dept Comp Sci, Rabigh, Saudi Arabia</t>
  </si>
  <si>
    <t>King Abdulaziz University</t>
  </si>
  <si>
    <t>Explainable AI-driven model for gastrointestinal cancer classification</t>
  </si>
  <si>
    <t>FRONTIERS IN MEDICINE</t>
  </si>
  <si>
    <t>gastrointestinal cancer; explainable AI; SHAP; transfer learning; ensemble learning</t>
  </si>
  <si>
    <t>BINZAGR, FAISAL/GWZ-2526-2022</t>
  </si>
  <si>
    <t>BINZAGR, FAISAL/0000-0001-9560-092X</t>
  </si>
  <si>
    <t>65</t>
  </si>
  <si>
    <t>18</t>
  </si>
  <si>
    <t>FRONTIERS MEDIA SA</t>
  </si>
  <si>
    <t>LAUSANNE</t>
  </si>
  <si>
    <t>AVENUE DU TRIBUNAL FEDERAL 34, LAUSANNE, CH-1015, SWITZERLAND</t>
  </si>
  <si>
    <t>2296-858X</t>
  </si>
  <si>
    <t>FRONT MED-LAUSANNE</t>
  </si>
  <si>
    <t>Front. Med.</t>
  </si>
  <si>
    <t>APR 15 2024</t>
  </si>
  <si>
    <t>1349373</t>
  </si>
  <si>
    <t>10.3389/fmed.2024.1349373</t>
  </si>
  <si>
    <t>http://dx.doi.org/10.3389/fmed.2024.1349373</t>
  </si>
  <si>
    <t>OS9K6</t>
  </si>
  <si>
    <t>38686367</t>
  </si>
  <si>
    <t>WOS:001209384700001</t>
  </si>
  <si>
    <t>8</t>
  </si>
  <si>
    <t>Salih, AM; Galazzo, IB; Gkontra, P; Rauseo, E; Lee, AM; Lekadir, K; Radeva, P; Petersen, SE; Menegaz, G</t>
  </si>
  <si>
    <t>Explainable artificial intelligence (XAI) elucidates the decision-making process of complex AI models and is important in building trust in model predictions. XAI explanations themselves require evaluation as to accuracy and reasonableness and in the context of use of the underlying AI model. This review details the evaluation of XAI in cardiac AI applications and has found that, of the studies examined, 37% evaluated XAI quality using literature results, 11% used clinicians as domain-experts, 11% used proxies or statistical analysis, with the remaining 43% not assessing the XAI used at all. We aim to inspire additional studies within healthcare, urging researchers not only to apply XAI methods but to systematically assess the resulting explanations, as a step towards developing trustworthy and safe models.</t>
  </si>
  <si>
    <t>Salih, Ahmed M.; Galazzo, Ilaria Boscolo; Gkontra, Polyxeni; Rauseo, Elisa; Lee, Aaron Mark; Lekadir, Karim; Radeva, Petia; Petersen, Steffen E.; Menegaz, Gloria</t>
  </si>
  <si>
    <t>Salih, AM (corresponding author), Queen Mary Univ London, William Harvey Res Inst, NIHR Barts Biomed Res Ctr, Charterhouse Sq, London EC1M 6BQ, England.; Salih, AM (corresponding author), Univ Leicester, Dept Populat Hlth Sci, Univ Rd, Leicester LE1 7RH, England.; Salih, AM (corresponding author), Univ Zakho, Dept Comp Sci, Duhok Rd, Zakho, Kurdistan, Iraq.</t>
  </si>
  <si>
    <t>polyxeni.gkontra@ub.edu; s.e.petersen@qmul.ac.uk; e.rauseo@qmul.ac.uk; karim.lekadir@ub.edu; petia.ivanova@ub.edu; gloria.menegaz@univr.it; a.lee@qmul.ac.uk; a.salih@qmul.ac.uk; ilaria.boscologalazzo@univr.it</t>
  </si>
  <si>
    <t>British Heart Foundation</t>
  </si>
  <si>
    <t>British Heart Foundation (British Heart Foundation)</t>
  </si>
  <si>
    <t>[Salih, Ahmed M.; Rauseo, Elisa; Lee, Aaron Mark; Petersen, Steffen E.] Queen Mary Univ London, William Harvey Res Inst, NIHR Barts Biomed Res Ctr, Charterhouse Sq, London EC1M 6BQ, England; [Salih, Ahmed M.] Univ Leicester, Dept Populat Hlth Sci, Univ Rd, Leicester LE1 7RH, England; [Salih, Ahmed M.] Univ Zakho, Dept Comp Sci, Duhok Rd, Zakho, Kurdistan, Iraq; [Galazzo, Ilaria Boscolo; Menegaz, Gloria] Univ Verona, Dept Engn Innovat Med, S Francesco 22, I-37129 Verona, Italy; [Gkontra, Polyxeni; Lekadir, Karim] Univ Barcelona, Fac Math &amp; Comp Sci, Artificial Intelligence Med Lab BCN AIM, Gran Via Corts Catalanes 585, Barcelona 08007, Barcelona, Spain; [Lekadir, Karim] Inst Catalana Recerca &amp; Estudis Avancats ICREA, Passeig Lluis Co 23, Barcelona 08010, Spain; [Radeva, Petia] Univ Barcelona, Dept Matemat &amp; Informat, Gran Via Corts Catalanes 585, Barcelona 08007, Spain; [Petersen, Steffen E.] St Bartholomews Hosp, Barts Heart Ctr, Barts Hlth NHS Trust, London, England; [Petersen, Steffen E.] Hlth Data Res, London, England; [Petersen, Steffen E.] Alan Turing Inst, London, England</t>
  </si>
  <si>
    <t>University of London; Queen Mary University London; University of Leicester; University of Zakho; University of Verona; University of Barcelona; ICREA; University of Barcelona; University of London; Barts Health NHS Trust; Queen Mary University London; Alan Turing Institute</t>
  </si>
  <si>
    <t>A review of evaluation approaches for explainable AI with applications in cardiology</t>
  </si>
  <si>
    <t>ARTIFICIAL INTELLIGENCE REVIEW</t>
  </si>
  <si>
    <t>Cardiac; AI; XAI; Evaluation</t>
  </si>
  <si>
    <t>ARTIFICIAL-INTELLIGENCE; RISK PREDICTION; HEART-FAILURE; PULMONARY-HYPERTENSION; ATRIAL-FIBRILLATION; LEARNING-MODEL; CARDIAC EVENTS; MACHINE; ELECTROCARDIOGRAM; MORTALITY</t>
  </si>
  <si>
    <t>Gkontra, Polyxeni/ISB-4430-2023; Menegaz, Gloria/D-3365-2013; Salih, Ahmed/GON-8430-2022; Galazzo, Ilaria/K-3203-2016; Petersen, Steffen/A-8389-2011</t>
  </si>
  <si>
    <t>Menegaz, Gloria/0000-0002-6889-3461</t>
  </si>
  <si>
    <t>263</t>
  </si>
  <si>
    <t>54</t>
  </si>
  <si>
    <t>40</t>
  </si>
  <si>
    <t>0269-2821</t>
  </si>
  <si>
    <t>1573-7462</t>
  </si>
  <si>
    <t>ARTIF INTELL REV</t>
  </si>
  <si>
    <t>Artif. Intell. Rev.</t>
  </si>
  <si>
    <t>AUG 9 2024</t>
  </si>
  <si>
    <t>57</t>
  </si>
  <si>
    <t>240</t>
  </si>
  <si>
    <t>10.1007/s10462-024-10852-w</t>
  </si>
  <si>
    <t>http://dx.doi.org/10.1007/s10462-024-10852-w</t>
  </si>
  <si>
    <t>Computer Science, Artificial Intelligence</t>
  </si>
  <si>
    <t>C3O7B</t>
  </si>
  <si>
    <t>39132011</t>
  </si>
  <si>
    <t>WOS:001288486700001</t>
  </si>
  <si>
    <t>Elsayad, AM; Elsayad, OA</t>
  </si>
  <si>
    <t>Accurate glioma grading is paramount for guiding treatment strategies and predicting patient prognosis. This study introduces a novel and clinically relevant framework for glioma grade classification, specifically distinguishing between low-grade gliomas (LGG) and glioblastomas (GBM), by leveraging the unique strengths of Generalized Additive Models (GAMs). GAMs, chosen for their ability to model complex, non-linear relationships while maintaining inherent interpretability, were optimized using Bayesian Optimization for efficient hyperparameter tuning and augmented by Explainable Artificial Intelligence (XAI) methodologies. The 'Glioma Grading Clinical and Mutation Features' dataset from Kaggle underwent meticulous preprocessing. A feature ranking algorithm identified the most informative features, reducing noise and enhancing model accuracy. The Bayesianoptimized GAM achieved an accuracy of 0.9012 and F1-score of 0.8975 on a held-out test set, demonstrating superior or competitive performance compared to other established models, including Random Forest, LogitBoost, Support Vector Machines, and Artificial Neural Networks. Notably, among these traditional methods, the Random Forest performed strongly on the training set (accuracy 0.8899); however, GAM outperformed in the test set. To elucidate model decision-making and promote clinical translation, XAI techniques, including Permutation Feature Importance (PFI), SHapley Additive exPlanations (SHAP), and Partial Dependence Plots (PDPs), were employed. PFI identified IDH1 as the most critical predictor, while SHAP values revealed that, in addition to IDH1, features like Age, PTEN, ATRX, and CIC have considerable influence on model predictions. Furthermore, PDPs demonstrated the non-linear functional relationships of these features with the predicted outcome. These techniques provided interpretable insights into both global and local feature effects, highlighted the non-linearities in the data, and fostered trust in the model's predictions. This study demonstrates that integrating GAMs, Bayesian Optimization, and XAI techniques provides a robust, accurate, and clinically interpretable framework for glioma grade classification, showcasing their potential to enhance diagnostic accuracy, improve clinicians' understanding of glioma biology, and ultimately inform more personalized treatment strategies.</t>
  </si>
  <si>
    <t>Elsayad, Alaa M.; Elsayad, Omar A.</t>
  </si>
  <si>
    <t>Elsayad, AM (corresponding author), Prince Sattam Bin Abdulaziz Univ, Coll Engn Wadi Alddawasir, Dept Elect Engn, Wadi Alddawasir 11991, Saudi Arabia.</t>
  </si>
  <si>
    <t>a.elsayyad@psau.edu.sa; Omar_Al_AlSayad@students.kasralainy.edu.eg</t>
  </si>
  <si>
    <t>Prince Sattam bin Abdulaziz University [PSAU- 2024/01/32123]</t>
  </si>
  <si>
    <t>Prince Sattam bin Abdulaziz University (Prince Sattam Bin Abdulaziz University)</t>
  </si>
  <si>
    <t>The authors extend their appreciation to Prince Sattam bin Abdulaziz University for funding this research work through the project number (PSAU- 2024/01/32123) .</t>
  </si>
  <si>
    <t>[Elsayad, Alaa M.] Prince Sattam Bin Abdulaziz Univ, Coll Engn Wadi Alddawasir, Dept Elect Engn, Wadi Alddawasir 11991, Saudi Arabia; [Elsayad, Alaa M.; Elsayad, Omar A.] Cairo Univ, Fac Med, Cairo 11662, Egypt</t>
  </si>
  <si>
    <t>Prince Sattam Bin Abdulaziz University; Egyptian Knowledge Bank (EKB); Cairo University</t>
  </si>
  <si>
    <t>Enhancing clinical insights in glioma grading using Bayesian Optimization and Explainable AI</t>
  </si>
  <si>
    <t>JOURNAL OF GENETIC ENGINEERING AND BIOTECHNOLOGY</t>
  </si>
  <si>
    <t>Glioma grading; Generalized additive models (GAMs); Bayesian optimization; Explainable AI (XAI); Machine learning; Clinical decision support</t>
  </si>
  <si>
    <t>CLASSIFICATION; GLIOBLASTOMA</t>
  </si>
  <si>
    <t>Elsayad, Alaa/ABI-1217-2020</t>
  </si>
  <si>
    <t>ELSEVIER SCIENCE INC</t>
  </si>
  <si>
    <t>NEW YORK</t>
  </si>
  <si>
    <t>STE 800, 230 PARK AVE, NEW YORK, NY 10169 USA</t>
  </si>
  <si>
    <t>2090-5920</t>
  </si>
  <si>
    <t>J GENET ENG BIOTECHN</t>
  </si>
  <si>
    <t>J Genet. Eng. Biotechnol.</t>
  </si>
  <si>
    <t>24</t>
  </si>
  <si>
    <t>100669</t>
  </si>
  <si>
    <t>10.1016/j.jgeb.2026.100669</t>
  </si>
  <si>
    <t>http://dx.doi.org/10.1016/j.jgeb.2026.100669</t>
  </si>
  <si>
    <t>Biotechnology &amp; Applied Microbiology; Environmental Sciences; Toxicology</t>
  </si>
  <si>
    <t>Biotechnology &amp; Applied Microbiology; Environmental Sciences &amp; Ecology; Toxicology</t>
  </si>
  <si>
    <t>FB0SI</t>
  </si>
  <si>
    <t>41839688</t>
  </si>
  <si>
    <t>WOS:001714500300001</t>
  </si>
  <si>
    <t>Chatterjee, S; Chaudhuri, R; Thrassou, A; Vrontis, D</t>
  </si>
  <si>
    <t>Artificial intelligence (AI) technology, along with its related algorithms, hardware, capability and applications, is rapidly expanding across sectors and industries, globally. Through a combination of theoretical and qualitative research, this study identifies the different applications of AI in the healthcare sector, including biomedicine, disease diagnostics, hospital record management, living assistance, biomedical research, and more. Particular emphasis is placed on the case of Indian hospitals and the relevant opportunities and challenges for sustainable growth of AI in the healthcare sector, at both the policy and governmental levels. The study finds that policy improvements, greater investment in R&amp;D activities, and effective governance constitute the keys towards the maximisation of both the potential and actual benefits of AI in the healthcare sector.</t>
  </si>
  <si>
    <t>Chatterjee, Sheshadri; Chaudhuri, Ranjan; Thrassou, Alkis; Vrontis, Demetris</t>
  </si>
  <si>
    <t>Chatterjee, S (corresponding author), Indian Inst Technol Kharagpur, Kharagpur, W Bengal, India.</t>
  </si>
  <si>
    <t>vrontis.d@unic.ac.cy; thrassou.a@unic.ac.cy; sheshadri.academic@gmail.com; ranjan.chaudhuri@iimranchi.ac.in</t>
  </si>
  <si>
    <t>[Chatterjee, Sheshadri] Indian Inst Technol Kharagpur, Kharagpur, W Bengal, India; [Chaudhuri, Ranjan] Indian Inst Management Ranchi, Ranchi 834008, Jharkhand, India; [Thrassou, Alkis; Vrontis, Demetris] Univ Nicosia, Sch Business, Nicosia, Cyprus</t>
  </si>
  <si>
    <t>Indian Institute of Technology System (IIT System); Indian Institute of Technology (IIT) - Kharagpur; Indian Institute of Management (IIM System); Indian Institute of Management Ranchi; University of Nicosia</t>
  </si>
  <si>
    <t>Technology disruption in healthcare: artificial intelligence application, challenges, and policy recommendations in India</t>
  </si>
  <si>
    <t>INTERNATIONAL JOURNAL OF INTERNET MARKETING AND ADVERTISING</t>
  </si>
  <si>
    <t>artificial intelligence; AI governance; healthcare; hospitals; regulation; policy; opportunities and challenges; India</t>
  </si>
  <si>
    <t>SMART CITIES; BIG DATA; DIAGNOSIS; IOT; CLASSIFICATION; MANAGEMENT; GOVERNMENT; QUALITY; IMPACT; MODEL</t>
  </si>
  <si>
    <t>Thrassou, Alkis/AAJ-1047-2020; Chatterjee, Sheshadri/AAN-9917-2020; Chaudhuri, Ranjan/W-2280-2019; Vrontis, Demetris/AAI-3458-2021</t>
  </si>
  <si>
    <t>Thrassou, Alkis/0000-0001-9409-6602; Chatterjee, Sheshadri/0000-0003-1075-5549</t>
  </si>
  <si>
    <t>102</t>
  </si>
  <si>
    <t>INDERSCIENCE ENTERPRISES LTD</t>
  </si>
  <si>
    <t>GENEVA</t>
  </si>
  <si>
    <t>WORLD TRADE CENTER BLDG, 29 ROUTE DE PRE-BOIS, CASE POSTALE 856, CH-1215 GENEVA, SWITZERLAND</t>
  </si>
  <si>
    <t>1477-5212</t>
  </si>
  <si>
    <t>1741-8100</t>
  </si>
  <si>
    <t>INT J INTERNET MARK</t>
  </si>
  <si>
    <t>Int. J. Internet Marketing Advertising</t>
  </si>
  <si>
    <t>3-4</t>
  </si>
  <si>
    <t>394</t>
  </si>
  <si>
    <t>414</t>
  </si>
  <si>
    <t>10.1504/IJIMA.2022.10039953</t>
  </si>
  <si>
    <t>http://dx.doi.org/10.1504/IJIMA.2022.10039953</t>
  </si>
  <si>
    <t>Business</t>
  </si>
  <si>
    <t>7I9JS</t>
  </si>
  <si>
    <t>WOS:000904205300007</t>
  </si>
  <si>
    <t>Amirian, S; Gao, FY; Littlefield, N; Hill, JH; Yates, AJ Jr; Plate, JF; Pantanowitz, L; Rashidi, HH; Tafti, AP</t>
  </si>
  <si>
    <t>Integrating responsible, explainable, and fair artificial intelligence (REF-AI) into medical image analysis has gained significant attention in recent years. This has been driven by the pressing need for ethical, trustworthy, and transparent implementation of AI systems in healthcare. The following review provides a concise overview of REF-AI in the context of medical image analysis. It begins with the fundamental concepts of AI responsibility, explainability, and fairness, followed by a comprehensive taxonomy of over 35 key algorithms and strategies. In addition, it compares methodologies, strengths, and limitations, such as the alignment of AI models with medical standards and the development of interpretable and actionable results for clinicians. Finally, it highlights current trends and proposes directions for future research to further advance the responsible, explainable, and fair application of AI in medical imaging.</t>
  </si>
  <si>
    <t>Amirian, Soheyla; Gao, Fengyi; Littlefield, Nickolas; Hill, Jonathan H.; Yates Jr, Adolph J.; Plate, Johannes F.; Pantanowitz, Liron; Rashidi, Hooman H.; Tafti, Ahmad P.</t>
  </si>
  <si>
    <t>Amirian, S (corresponding author), Pace Univ, Seidenberg Sch Comp Sci &amp; Informat Syst, New York, NY 10038 USA.; Tafti, AP (corresponding author), Univ Pittsburgh, Dept Hlth Informat Management, Pittsburgh, PA 15260 USA.; Tafti, AP (corresponding author), Univ Pittsburgh, Intelligent Syst Program, Pittsburgh, PA 15260 USA.; Tafti, AP (corresponding author), Univ Pittsburgh, Sch Med, Computat Pathol &amp; Ctr Excellence CPACE, Pittsburgh, PA 15261 USA.; Tafti, AP (corresponding author), Univ Pittsburgh, Sch Med, Dept Pathol, Pittsburgh, PA 15261 USA.</t>
  </si>
  <si>
    <t>samirian@pace.edu; tafti.ahmad@pitt.edu</t>
  </si>
  <si>
    <t>[Amirian, Soheyla; Hill, Jonathan H.] Pace Univ, Seidenberg Sch Comp Sci &amp; Informat Syst, New York, NY 10038 USA; [Gao, Fengyi; Tafti, Ahmad P.] Univ Pittsburgh, Dept Hlth Informat Management, Pittsburgh, PA 15260 USA; [Littlefield, Nickolas; Tafti, Ahmad P.] Univ Pittsburgh, Intelligent Syst Program, Pittsburgh, PA 15260 USA; [Littlefield, Nickolas; Pantanowitz, Liron; Rashidi, Hooman H.; Tafti, Ahmad P.] Univ Pittsburgh, Sch Med, Computat Pathol &amp; Ctr Excellence CPACE, Pittsburgh, PA 15261 USA; [Yates Jr, Adolph J.; Plate, Johannes F.] Univ Pittsburgh, Dept Orthopaed Surg, Pittsburgh, PA 15213 USA; [Pantanowitz, Liron; Rashidi, Hooman H.; Tafti, Ahmad P.] Univ Pittsburgh, Sch Med, Dept Pathol, Pittsburgh, PA 15261 USA</t>
  </si>
  <si>
    <t>Pace University; Pennsylvania Commonwealth System of Higher Education (PCSHE); University of Pittsburgh; Pennsylvania Commonwealth System of Higher Education (PCSHE); University of Pittsburgh; Pennsylvania Commonwealth System of Higher Education (PCSHE); University of Pittsburgh; Pennsylvania Commonwealth System of Higher Education (PCSHE); University of Pittsburgh; Pennsylvania Commonwealth System of Higher Education (PCSHE); University of Pittsburgh</t>
  </si>
  <si>
    <t>State-of-the-Art in Responsible, Explainable, and Fair AI for Medical Image Analysis</t>
  </si>
  <si>
    <t>Artificial intelligence; Medical diagnostic imaging; Medical services; Image analysis; Accuracy; Reliability; Ethics; Measurement; Biological system modeling; Image segmentation; Artificial intelligence (AI); responsible AI; explainable AI; fair AI; AI evaluation metrics; medical imaging</t>
  </si>
  <si>
    <t>ARTIFICIAL-INTELLIGENCE; DIAGNOSIS; BIAS; VISUALIZATION; OPPORTUNITIES; TRUSTWORTHY; CHALLENGES; ATTENTION</t>
  </si>
  <si>
    <t>Pantanowitz, Liron/AFP-8163-2022; P. Tafti, Ahmad/ABC-1866-2021; Yates, Adolph/GLT-2864-2022</t>
  </si>
  <si>
    <t>, Nickolas Littlefield/0009-0009-2741-2981</t>
  </si>
  <si>
    <t>410</t>
  </si>
  <si>
    <t>19</t>
  </si>
  <si>
    <t>13</t>
  </si>
  <si>
    <t>58229</t>
  </si>
  <si>
    <t>58263</t>
  </si>
  <si>
    <t>10.1109/ACCESS.2025.3555543</t>
  </si>
  <si>
    <t>http://dx.doi.org/10.1109/ACCESS.2025.3555543</t>
  </si>
  <si>
    <t>1FD1L</t>
  </si>
  <si>
    <t>WOS:001463546100030</t>
  </si>
  <si>
    <t>Liao, J; Misaki, K; Uno, T; Futami, K; Nakada, M; Sakamoto, J</t>
  </si>
  <si>
    <t>BACKGROUND: Recanalization poses challenges after coil embolization in cerebral aneurysms. Establishing predictive models for postembolization recanalization is important for clinical decision making. However, conventional statistical and machine learning (ML) models may overlook critical parameters during the initial selection process. METHODS: In this study, we automated the identification of significant hemodynamic parameters using a PointNetbased deep neural network (DNN), leveraging their threedimensional spatial features. Further feature analysis was conducted using saliency mapping, an explainable artificial intelligence (XAI) technique. The study encompassed the analysis of velocity, pressure, and wall shear stress in both precoiling and postcoiling models derived from computational fluid dynamics simulations for 58 aneurysms. RESULTS: Velocity was identified as the most pivotal parameter, supported by the lowest P value from statistical analysis and the highest area under the receiver operating characteristic curves/precision-recall curves values from the DNN model. Moreover, visual XAI analysis showed that robust injection flow zones, with notable impingement points in precoiling models, as well as pronounced interplay between flow dynamics and the coiling plane, were important three-dimensional features in identifying the recanalized aneurysms. CONCLUSIONS: The combination of DNN and XAI was found to be an accurate and explainable approach not only at predicting postembolization recanalization but also at discovering unknown features in the future.</t>
  </si>
  <si>
    <t>Liao, Jing; Misaki, Kouichi; Uno, Tekehiro; Futami, Kazuya; Nakada, Mitsutoshi; Sakamoto, Jiro</t>
  </si>
  <si>
    <t>Misaki, K (corresponding author), Kanazawa Univ, Dept Neurosurg, Kanazawa, Ishikawa, Japan.</t>
  </si>
  <si>
    <t>misaki@med.kanazawa-u.ac.jp</t>
  </si>
  <si>
    <t>Grants-in-Aid for Scientific Research [23K15660, 21K09120] Funding Source: KAKEN</t>
  </si>
  <si>
    <t>Grants-in-Aid for Scientific Research (Ministry of Education, Culture, Sports, Science and Technology, Japan (MEXT), Japan Society for the Promotion of Science, Grants-in-Aid for Scientific Research (KAKENHI))</t>
  </si>
  <si>
    <t>[Liao, Jing] Kanazawa Univ, Grad Sch Frontier Sci Initiat, Div Transdisciplinary Sci, Kanazawa, Ishikawa, Japan; [Misaki, Kouichi; Uno, Tekehiro; Nakada, Mitsutoshi] Kanazawa Univ, Dept Neurosurg, Kanazawa, Ishikawa, Japan; [Futami, Kazuya] Hokuriku Cent Hosp, Dept Obstet &amp; Gynaecol, Oyabe, Toyama 9328503, Japan; [Sakamoto, Jiro] Kanazawa Univ, Grad Sch Nat Sci &amp; Technol, Div Mech Sci &amp; Engn, Kanazawa, Ishikawa, Japan</t>
  </si>
  <si>
    <t>Kanazawa University; Kanazawa University; Kanazawa University</t>
  </si>
  <si>
    <t>Determination of Significant Three-Dimensional Hemodynamic Features for Postembolization Recanalization in Cerebral Aneurysms Through Explainable Artificial Intelligence</t>
  </si>
  <si>
    <t>WORLD NEUROSURGERY</t>
  </si>
  <si>
    <t>Cerebral aneurysm; CFD; DNN; Flow pattern; PointNet; Recanalization; XAI</t>
  </si>
  <si>
    <t>COMPUTATIONAL FLUID-DYNAMICS; INTRACRANIAL ANEURYSMS; ASPECT RATIO; RUPTURE; RISK; FLOW; CFD; INDEX</t>
  </si>
  <si>
    <t>SAKAMOTO, Jiro/E-7095-2015; NAKADA, MITSUTOSHI/B-2790-2012</t>
  </si>
  <si>
    <t>Misaki, Kouichi/0000-0002-3752-2406; Liao, Jing/0000-0001-7121-6018; NAKADA, MITSUTOSHI/0000-0001-9419-6101</t>
  </si>
  <si>
    <t>51</t>
  </si>
  <si>
    <t>101 Park Avenue, 24th Floor, NEW YORK, NY, UNITED STATES</t>
  </si>
  <si>
    <t>1878-8750</t>
  </si>
  <si>
    <t>1878-8769</t>
  </si>
  <si>
    <t>WORLD NEUROSURG</t>
  </si>
  <si>
    <t>World Neurosurg.</t>
  </si>
  <si>
    <t>APR 2024</t>
  </si>
  <si>
    <t>184</t>
  </si>
  <si>
    <t>E166</t>
  </si>
  <si>
    <t>E177</t>
  </si>
  <si>
    <t>10.1016/j.wneu.2024.01.076</t>
  </si>
  <si>
    <t>http://dx.doi.org/10.1016/j.wneu.2024.01.076</t>
  </si>
  <si>
    <t>Clinical Neurology; Surgery</t>
  </si>
  <si>
    <t>Neurosciences &amp; Neurology; Surgery</t>
  </si>
  <si>
    <t>RH1C7</t>
  </si>
  <si>
    <t>38246531</t>
  </si>
  <si>
    <t>WOS:001226673500001</t>
  </si>
  <si>
    <t>Aquino, YS; Carter, SM; Houssami, N; Braunack-Mayer, A; Win, KT; Degeling, C; Wang, L; Rogers, WA</t>
  </si>
  <si>
    <t>BackgroundThere is a growing concern about artificial intelligence (AI) applications in healthcare that can disadvantage already under-represented and marginalised groups (eg, based on gender or race). ObjectivesOur objectives are to canvas the range of strategies stakeholders endorse in attempting to mitigate algorithmic bias, and to consider the ethical question of responsibility for algorithmic bias. MethodologyThe study involves in-depth, semistructured interviews with healthcare workers, screening programme managers, consumer health representatives, regulators, data scientists and developers. ResultsFindings reveal considerable divergent views on three key issues. First, views on whether bias is a problem in healthcare AI varied, with most participants agreeing bias is a problem (which we call the bias-critical view), a small number believing the opposite (the bias-denial view), and some arguing that the benefits of AI outweigh any harms or wrongs arising from the bias problem (the bias-apologist view). Second, there was a disagreement on the strategies to mitigate bias, and who is responsible for such strategies. Finally, there were divergent views on whether to include or exclude sociocultural identifiers (eg, race, ethnicity or gender-diverse identities) in the development of AI as a way to mitigate bias. Conclusion/significanceBased on the views of participants, we set out responses that stakeholders might pursue, including greater interdisciplinary collaboration, tailored stakeholder engagement activities, empirical studies to understand algorithmic bias and strategies to modify dominant approaches in AI development such as the use of participatory methods, and increased diversity and inclusion in research teams and research participant recruitment and selection.</t>
  </si>
  <si>
    <t>Aquino, Yves Saint James; Carter, Stacy M.; Houssami, Nehmat; Braunack-Mayer, Annette; Win, Khin Than; Degeling, Chris; Wang, Lei; Rogers, Wendy A.</t>
  </si>
  <si>
    <t>Science Citation Index Expanded (SCI-EXPANDED); Social Science Citation Index (SSCI)</t>
  </si>
  <si>
    <t>Aquino, YS (corresponding author), Univ Wollongong, Australian Ctr Hlth Engagement Evidence &amp; Values, Sch Hlth &amp; Soc, Wollongong, NSW, Australia.</t>
  </si>
  <si>
    <t>yaquino@uow.edu.au</t>
  </si>
  <si>
    <t>National Health and Medical Research Council [1181960]; National Health and Medical Research Council (NHMRC) [1181960] Funding Source: National Health and Medical Research Council (NHMRC)</t>
  </si>
  <si>
    <t>National Health and Medical Research Council (National Health &amp; Medical Research Council (NHMRC) of Australia); National Health and Medical Research Council (NHMRC) (National Health &amp; Medical Research Council (NHMRC) of Australia)</t>
  </si>
  <si>
    <t>This study was funded by National Health and Medical Research Council (1181960).</t>
  </si>
  <si>
    <t>[Aquino, Yves Saint James; Carter, Stacy M.; Braunack-Mayer, Annette; Degeling, Chris] Univ Wollongong, Australian Ctr Hlth Engagement Evidence &amp; Values, Sch Hlth &amp; Soc, Wollongong, NSW, Australia; [Houssami, Nehmat] Univ Sydney, Sch Publ Hlth, Sydney, NSW, Australia; [Houssami, Nehmat] Daffodil Ctr, Sydney, NSW, Australia; [Win, Khin Than] Univ Wollongong, Fac Engn &amp; Informat Sci, Ctr Persuas Technol &amp; Soc, Wollongong, NSW, Australia; [Wang, Lei] Univ Wollongong, Ctr Artificial Intelligence, Sch Comp &amp; Informat Technol, Wollongong, NSW, Australia; [Rogers, Wendy A.] Macquarie Univ, Sch Med, Dept Philosophy, Sydney, NSW, Australia</t>
  </si>
  <si>
    <t>University of Wollongong; University of Sydney; University of Wollongong; University of Wollongong; Macquarie University</t>
  </si>
  <si>
    <t>Practical, epistemic and normative implications of algorithmic bias in healthcare artificial intelligence: a qualitative study of multidisciplinary expert perspectives</t>
  </si>
  <si>
    <t>JOURNAL OF MEDICAL ETHICS</t>
  </si>
  <si>
    <t>Ethics; Decision Making; Policy; Information Technology</t>
  </si>
  <si>
    <t>ETHNICITY; RACE</t>
  </si>
  <si>
    <t>Carter, Stacy/A-6544-2011; Braunack-Mayer, Annette/AAE-7796-2019; Houssami, Nehmat/ABC-1103-2020; Aquino, Yves Saint James/AAJ-1757-2020; Rogers, Wendy/A-8818-2012; Wang, Lei/D-9079-2013; Degeling, Chris/ABE-2049-2020; Win, Khin Than/F-7491-2018</t>
  </si>
  <si>
    <t>Carter, Stacy/0000-0003-2617-8694; Aquino, Yves Saint James/0000-0003-0981-0029; Degeling, Chris/0000-0003-4279-3443</t>
  </si>
  <si>
    <t>49</t>
  </si>
  <si>
    <t>37</t>
  </si>
  <si>
    <t>70</t>
  </si>
  <si>
    <t>BMJ PUBLISHING GROUP</t>
  </si>
  <si>
    <t>LONDON</t>
  </si>
  <si>
    <t>BRITISH MED ASSOC HOUSE, TAVISTOCK SQUARE, LONDON WC1H 9JR, ENGLAND</t>
  </si>
  <si>
    <t>0306-6800</t>
  </si>
  <si>
    <t>1473-4257</t>
  </si>
  <si>
    <t>J MED ETHICS</t>
  </si>
  <si>
    <t>J. Med. Ethics</t>
  </si>
  <si>
    <t>JUN 2025</t>
  </si>
  <si>
    <t>420</t>
  </si>
  <si>
    <t>428</t>
  </si>
  <si>
    <t>10.1136/jme-2022-108850</t>
  </si>
  <si>
    <t>http://dx.doi.org/10.1136/jme-2022-108850</t>
  </si>
  <si>
    <t>FEB 2023</t>
  </si>
  <si>
    <t>Ethics; Medical Ethics; Social Issues; Social Sciences, Biomedical</t>
  </si>
  <si>
    <t>Social Sciences - Other Topics; Medical Ethics; Social Issues; Biomedical Social Sciences</t>
  </si>
  <si>
    <t>3PZ6Q</t>
  </si>
  <si>
    <t>36823101</t>
  </si>
  <si>
    <t>WOS:000943794100001</t>
  </si>
  <si>
    <t>Chen, YJ; Tan, LY; Cao, JH; Fu, XJ; Xue, WR; Chen, J; Zhu, QL</t>
  </si>
  <si>
    <t>Objective This study aimed to develop and validate a comprehensive machine learning framework combining radiomic features, deep features extracted from CT images, and clinical variables to predict and stratify asthma severity into three clinically defined categories. Materials and methods CT imaging and clinical data from 1365 patients across three medical centers were retrospectively collected. Lung segmentation was performed manually by two expert radiologists using 3D Slicer, with reproducibility assessed via the Dice Similarity Coefficient. A total of 215 radiomic features were extracted following IBSI standards, and 512 deep features were obtained through a custom attention-based autoencoder. All features were filtered using ICC (&gt;0.75), correlation analysis (r &lt; 0.9), and LASSO regression. Five machine learning models-XGBoost, LightGBM, Autoencoder, GAT, and a Hybrid Deep Attention-LSTM-were trained using stratified 70/10/20 train-validation-test splits. SHAP analysis, nomogram construction, and decision curve analysis (DCA) were applied for model interpretability and clinical relevance assessment. Results The Hybrid Deep Attention-LSTM model achieved the highest classification performance, with 95.7 % accuracy and 98.0 % AUC on the test set. All models using combined features outperformed radiomic-only or deep-only models. SHAP analysis identified FEV1, BMI, shortness of breath, and nighttime symptoms as key clinical predictors. The nomogram provided interpretable risk visualization, while DCA confirmed the hybrid model's superior net benefit across threshold probabilities compared to standard machine learning models. Conclusions The study presents a reproducible, interpretable, and high-performing model for asthma severity classification using integrated radiomic, deep, and clinical features, with potential for real-world clinical deployment in personalized asthma care.</t>
  </si>
  <si>
    <t>Chen, Yajun; Tan, Linyan; Cao, Juhua; Fu, Xiujuan; Xue, Wurong; Chen, Jing; Zhu, Qiaoli</t>
  </si>
  <si>
    <t>Zhu, QL (corresponding author), Xingyuan Hosp Yulin, Hosp Yulin 4, CT Room, Yulin 719000, Shaanxi, Peoples R China.</t>
  </si>
  <si>
    <t>ZQLaa0326@outlook.com</t>
  </si>
  <si>
    <t>[Chen, Yajun] Wuhan Univ, Dept Resp &amp; Crit Care Med, Wuhan Hosp 3, Tongren Hosp, Wuhan 430060, Hubei, Peoples R China; [Tan, Linyan; Fu, Xiujuan] Hainan Vocat Univ, Pharm Special, Haikou 570216, Hainan, Peoples R China; [Cao, Juhua] Gen Hosp Western Theater Command Chinese Peoples L, Dept Outpatient, Chengdu 610000, Sichuan, Peoples R China; [Xue, Wurong; Zhu, Qiaoli] Xingyuan Hosp Yulin, Hosp Yulin 4, CT Room, Yulin 719000, Shaanxi, Peoples R China; [Chen, Jing] Xingyuan Hosp Yulin, Hosp Yulin 4, Dept Neurol, Yulin 719000, Shaanxi, Peoples R China</t>
  </si>
  <si>
    <t>Wuhan University</t>
  </si>
  <si>
    <t>Deep-radiomics and explainable AI for asthma severity assessment: A multi-center CT imaging study with nomogram and decision curve analysis</t>
  </si>
  <si>
    <t>JOURNAL OF RADIATION RESEARCH AND APPLIED SCIENCES</t>
  </si>
  <si>
    <t>Radiomic features; Deep learning; Asthma severity; CT imaging; Machine learning</t>
  </si>
  <si>
    <t>PREDICTION; FEATURES; MACHINE; DISEASE</t>
  </si>
  <si>
    <t>chen, jing/NXY-2442-2025</t>
  </si>
  <si>
    <t>1687-8507</t>
  </si>
  <si>
    <t>J RADIAT RES APPL SC</t>
  </si>
  <si>
    <t>J. Radiat. Res. Appl. Sci.</t>
  </si>
  <si>
    <t>SEP 2025</t>
  </si>
  <si>
    <t>101676</t>
  </si>
  <si>
    <t>10.1016/j.jrras.2025.101676</t>
  </si>
  <si>
    <t>http://dx.doi.org/10.1016/j.jrras.2025.101676</t>
  </si>
  <si>
    <t>Multidisciplinary Sciences; Radiology, Nuclear Medicine &amp; Medical Imaging</t>
  </si>
  <si>
    <t>Science &amp; Technology - Other Topics; Radiology, Nuclear Medicine &amp; Medical Imaging</t>
  </si>
  <si>
    <t>4GI7X</t>
  </si>
  <si>
    <t>WOS:001517361700001</t>
  </si>
  <si>
    <t>Atf, Z; Lewis, PR</t>
  </si>
  <si>
    <t>ObjectiveExplainable Artificial Intelligence (XAI) offers transparent, trustworthy decision support, yet its implementation in disability contexts remains limited. This scoping review aims to map and evaluate XAI tools developed for individuals with disabilities and identify thematic patterns to inform the design of inclusive rehabilitation technologies.MethodsA systematic search of literature from January 2018 to June 2024 was conducted across SCOPUS, ACM Digital Library, IEEE Xplore, ProQuest and Google Scholar, guided by Arksey &amp; O'Malley's framework and PRISMA-ScR guidelines. From 1184 records, 26 peer-reviewed studies involving end-user evaluation were selected. Braun &amp; Clarke's six-phase thematic analysis was used to classify tools by explanation modality and design principle.ImpactFindings reveal a strong concentration on neurological conditions - such as Alzheimer's disease, autism spectrum disorder and Parkinson's disease - with limited focus on orthopaedic, sensory and spinal impairments. SHAP was the most common explanation model, followed by LIME, LRP-B and Grad-CAM. Accessibility goals centred around clinical transparency, user comprehension, sensory/cognitive adaptation and trust in low-resource settings. Thematic analysis identified three overarching dimensions: modelling techniques, decision-making and trust and diverse application contexts. Expanding XAI to underrepresented impairments and embedding multimodal, user-centred explanations into rehabilitation workflows - through participatory design, ethical oversight and standardised evaluation - can enhance autonomy, improve personalisation and support more effective, equitable care.</t>
  </si>
  <si>
    <t>Atf, Zahra; Lewis, Peter R.</t>
  </si>
  <si>
    <t>Social Science Citation Index (SSCI)</t>
  </si>
  <si>
    <t>Atf, Z (corresponding author), Ontario Tech Univ, Fac Business &amp; Informat Technol, Oshawa, ON L1G 0C5, Canada.</t>
  </si>
  <si>
    <t>Zahraatf2@gmail.com</t>
  </si>
  <si>
    <t>Canada Research Chairs Program</t>
  </si>
  <si>
    <t>Canada Research Chairs Program (Canada Research Chairs)</t>
  </si>
  <si>
    <t>this research was undertaken, in part, thanks to funding from the Canada Research Chairs Program. This research did not receive any specific grant from funding agencies in the public, commercial, or not-for-profit sectors.</t>
  </si>
  <si>
    <t>[Atf, Zahra; Lewis, Peter R.] Ontario Tech Univ, Fac Business &amp; Informat Technol, Oshawa, ON L1G 0C5, Canada</t>
  </si>
  <si>
    <t>Ontario Tech University</t>
  </si>
  <si>
    <t>Towards inclusive explainable artificial intelligence: a thematic analysis and scoping review on tools for persons with disabilities</t>
  </si>
  <si>
    <t>DISABILITY AND REHABILITATION-ASSISTIVE TECHNOLOGY</t>
  </si>
  <si>
    <t>Explainable artificial intelligence (XAI); assistive and rehabilitation technology; trust in AI; algorithmic transparency; scoping review; neurological disorders</t>
  </si>
  <si>
    <t>AI</t>
  </si>
  <si>
    <t>Lewis, Peter/0000-0003-4271-8611; Atf, Zahra/0000-0003-0642-4341</t>
  </si>
  <si>
    <t>124</t>
  </si>
  <si>
    <t>TAYLOR &amp; FRANCIS INC</t>
  </si>
  <si>
    <t>PHILADELPHIA</t>
  </si>
  <si>
    <t>530 WALNUT STREET, STE 850, PHILADELPHIA, PA 19106 USA</t>
  </si>
  <si>
    <t>1748-3107</t>
  </si>
  <si>
    <t>1748-3115</t>
  </si>
  <si>
    <t>DISABIL REHABIL-ASSI</t>
  </si>
  <si>
    <t>Disabil. Rehabil.-Assist. Technol.</t>
  </si>
  <si>
    <t>NOV 17 2025</t>
  </si>
  <si>
    <t>2836</t>
  </si>
  <si>
    <t>2857</t>
  </si>
  <si>
    <t>10.1080/17483107.2025.2507684</t>
  </si>
  <si>
    <t>http://dx.doi.org/10.1080/17483107.2025.2507684</t>
  </si>
  <si>
    <t>MAY 2025</t>
  </si>
  <si>
    <t>Rehabilitation</t>
  </si>
  <si>
    <t>9XX0E</t>
  </si>
  <si>
    <t>40421966</t>
  </si>
  <si>
    <t>WOS:001497387400001</t>
  </si>
  <si>
    <t>Sano, M; Kanatani, Y; Ueda, T; Nemoto, S; Miyake, Y; Tomita, N; Suzuki, H</t>
  </si>
  <si>
    <t>Objective: Ulcerative colitis (UC) is a chronic inflammatory bowel disease for which remission is dependent on corticosteroid (CS) treatment. The diversity of disease pathophysiology necessitates optimal case-specific treatment selection. This study aimed to identify prognostic factors for refractory UC using a machine learning model based on nationwide registry data. Methods: The study included 4003 patients with UC with a Mayo score of &gt;= 3 at the time of registration who had been using CS since their entry out of 79,096 newly registered UC cases in a nationwide registry from April 2003 to March 2012 (before the widespread use of biologic agents in Japan) with 3-year data. A pointwise linear (PWL) model was used for machine learning. Results: A PWL model, which was developed to predict long-term remission (lasting &gt;3 years), had an area-under-the-curve (AUC), precision rate, recall rate, and F-value of 0.774, 0.55, 0.70, 0.62, respectively, in the test dataset from the time of registration to 2 years later. Furthermore, the presence of pseudopolyps at the time of registration was significantly and negatively correlated with remission, highlighting its importance as a prognostic factor. Conclusions: In this study, we constructed a highly accurate prognosis prediction model for UC, in which inflammation persists for an extensive period, by training a machine learning model for long-term disease progression. The results showed that machine learning can be used to determine the factors affecting remission during the treatment of refractory UC.</t>
  </si>
  <si>
    <t>Sano, Masaya; Kanatani, Yasuhiro; Ueda, Takashi; Nemoto, Shota; Miyake, Yurin; Tomita, Naoko; Suzuki, Hidekazu</t>
  </si>
  <si>
    <t>Kanatani, Y (corresponding author), Tokai Univ, Sch Med, Dept Clin Pharmacol, 143 Shimokasuya, Isehara, Kanagawa, Japan.</t>
  </si>
  <si>
    <t>kanatani.yasuhiro.f@tokai.ac.jp</t>
  </si>
  <si>
    <t>Ministry of Health, Labor and Welfare [Japan] [201803011A]; Japan Society for the Promotion of Science [24K22342]</t>
  </si>
  <si>
    <t>Ministry of Health, Labor and Welfare [Japan] (Ministry of Health, Labour and Welfare, Japan); Japan Society for the Promotion of Science (Ministry of Education, Culture, Sports, Science and Technology, Japan (MEXT), Japan Society for the Promotion of Science)</t>
  </si>
  <si>
    <t>This work was supported by a grant-in-aid to Prof. Yasuhiro Kanatani. for Health and Labor Sciences Research from the Ministry of Health, Labor and Welfare [Japan]: Research on Medical ICT and Artificial Intelligence [201803011A]. Prof. Hidekazu Suzuki and Prof. Yasuhiro Kanatani. are supported by a Grant-in-Aid for Challenging Research [Exploratory] from the Japan Society for the Promotion of Science [24K22342].</t>
  </si>
  <si>
    <t>[Sano, Masaya; Ueda, Takashi; Suzuki, Hidekazu] Tokai Univ, Sch Med, Dept Gastroenterol, Kanagawa 2591193, Japan; [Kanatani, Yasuhiro; Miyake, Yurin; Tomita, Naoko] Tokai Univ, Sch Med, Dept Clin Pharmacol, 143 Shimokasuya, Isehara, Kanagawa, Japan; [Nemoto, Shota] Hitachi Ltd, Ind &amp; Digital Business Unit, Chiyoda Ku, Tokyo, Japan</t>
  </si>
  <si>
    <t>Tokai University; Tokai University; Hitachi Limited</t>
  </si>
  <si>
    <t>Explainable artificial intelligence for prediction of refractory ulcerative colitis: analysis of a Japanese Nationwide Registry</t>
  </si>
  <si>
    <t>ANNALS OF MEDICINE</t>
  </si>
  <si>
    <t>Ulcerative colitis; artificial intelligence; nationwide registry</t>
  </si>
  <si>
    <t>INFLAMMATORY-BOWEL-DISEASE; CLASSIFICATION; GUIDELINES; DIAGNOSIS</t>
  </si>
  <si>
    <t>Kanatani, Yasuhiro/AAE-5551-2019; Suzuki, Hidekazu/S-9376-2019</t>
  </si>
  <si>
    <t>Ueda, Takashi/0000-0002-9296-1719; Kanatani, Yasuhiro/0000-0001-5790-4084; Suzuki, Hidekazu/0000-0002-8994-6163</t>
  </si>
  <si>
    <t>TAYLOR &amp; FRANCIS LTD</t>
  </si>
  <si>
    <t>ABINGDON</t>
  </si>
  <si>
    <t>2-4 PARK SQUARE, MILTON PARK, ABINGDON OR14 4RN, OXON, ENGLAND</t>
  </si>
  <si>
    <t>0785-3890</t>
  </si>
  <si>
    <t>1365-2060</t>
  </si>
  <si>
    <t>ANN MED</t>
  </si>
  <si>
    <t>Ann. Med.</t>
  </si>
  <si>
    <t>DEC 31 2025</t>
  </si>
  <si>
    <t>2499960</t>
  </si>
  <si>
    <t>10.1080/07853890.2025.2499960</t>
  </si>
  <si>
    <t>http://dx.doi.org/10.1080/07853890.2025.2499960</t>
  </si>
  <si>
    <t>2GH2Q</t>
  </si>
  <si>
    <t>40323686</t>
  </si>
  <si>
    <t>WOS:001481957000001</t>
  </si>
  <si>
    <t>gold; Green Submitted; Green Accepted</t>
  </si>
  <si>
    <t>Gandhi, S; Balas, M</t>
  </si>
  <si>
    <t>Background Large language models (LLMs) hold the potential to transform clinical medicine, but their capacity to amplify societal biases is a significant concern, particularly in the ethically sensitive domain of clinical resource allocation. A critical knowledge gap exists in the quantitative understanding of how these models weigh non-clinical factors in forced-choice ethical dilemmas. This study provides a large-scale, systematic evaluation of a leading LLM to measure its implicit biases in resource allocation decisions. Methods We conducted a cross-sectional, in-silico analysis using OpenAI's GPT-5 model. Seven clinical vignettes representing scarce resource scenarios were paired with 3,888 unique patient profiles generated from a full-factorial combination of seven demographic and social variables (age, gender, race, income, dependents, education, social support). This resulted in 13,608 unique A/B patient comparisons. We used pooled logistic and linear regression models to identify the primary drivers of the model's allocation choices and quantify the magnitude of biases. The stability and internal consistency of the model's judgments were also assessed. Results The LLM's decisions were governed by a distinct hierarchy of non-clinical factors. Patient age, income, and number of dependents were the most powerful predictors. Being 25 years old increased the odds of selection more than threefold compared to a 50-year-old (OR 3.31; 95% CI, 2.96-3.71; p &lt; 0.001), while earning over $5 million annually reduced the odds by 75% (OR 0.25; 95% CI, 0.22-0.28; p &lt; 0.001). The model also systematically favored racial minorities, women, and non-binary individuals over White men. Analysis revealed significant internal inconsistency, with the model's chosen patient matching its own higher-priority-scored patient in only 66.3% of cases overall. The influence of biases was highly context-dependent yet showed stochastic stability upon repeat testing. Conclusions The tested model operates with a strong, opaque, and context-dependent set of non-clinical biases when faced with ethical dilemmas. These findings suggest that this architecture's inconsistent and unpredictable ethical framework makes its direct integration into clinical decision support for resource allocation untenable at this stage. Rigorous standards for safety, transparency, and ethical validation are required before these technologies can be responsibly deployed in high-stakes clinical settings.</t>
  </si>
  <si>
    <t>Gandhi, Siddharth; Balas, Michael</t>
  </si>
  <si>
    <t>Balas, M (corresponding author), Univ Toronto, Dept Ophthalmol &amp; Vis Sci, Toronto, ON, Canada.</t>
  </si>
  <si>
    <t>michael.balas@mail.utoronto.ca</t>
  </si>
  <si>
    <t>No external funding was received for this study.</t>
  </si>
  <si>
    <t>[Gandhi, Siddharth] Queens Univ, Fac Med, Kingston, ON, Canada; [Balas, Michael] Univ Toronto, Dept Ophthalmol &amp; Vis Sci, Toronto, ON, Canada</t>
  </si>
  <si>
    <t>Queens University - Canada; University of Toronto</t>
  </si>
  <si>
    <t>Algorithmic bias in clinical resource allocation by a large language model: a cross-sectional in-silico evaluation of 13,608 decisions</t>
  </si>
  <si>
    <t>BMC MEDICAL ETHICS</t>
  </si>
  <si>
    <t>Large Language Models; Algorithmic Bias; Medical Ethics; Resource Allocation; Clinical Decision Support Systems</t>
  </si>
  <si>
    <t>PRINCIPLES</t>
  </si>
  <si>
    <t>Balas, Michael/ABD-4406-2020</t>
  </si>
  <si>
    <t>39</t>
  </si>
  <si>
    <t>BMC</t>
  </si>
  <si>
    <t>CAMPUS, 4 CRINAN ST, LONDON N1 9XW, ENGLAND</t>
  </si>
  <si>
    <t>1472-6939</t>
  </si>
  <si>
    <t>BMC MED ETHICS</t>
  </si>
  <si>
    <t>BMC Med. Ethics</t>
  </si>
  <si>
    <t>MAY 22 2026</t>
  </si>
  <si>
    <t>27</t>
  </si>
  <si>
    <t>136</t>
  </si>
  <si>
    <t>10.1186/s12910-026-01496-2</t>
  </si>
  <si>
    <t>http://dx.doi.org/10.1186/s12910-026-01496-2</t>
  </si>
  <si>
    <t>MAY 2026</t>
  </si>
  <si>
    <t>Ethics; Medical Ethics; Social Sciences, Biomedical</t>
  </si>
  <si>
    <t>Social Sciences - Other Topics; Medical Ethics; Biomedical Social Sciences</t>
  </si>
  <si>
    <t>LI3MC</t>
  </si>
  <si>
    <t>42174582</t>
  </si>
  <si>
    <t>WOS:001825285300001</t>
  </si>
  <si>
    <t>Metsch, JM; Saranti, A; Angerschmid, A; Pfeifer, B; Klemt, V; Holzinger, A; Hauschild, AC</t>
  </si>
  <si>
    <t>Background: Lack of trust in artificial intelligence (AI) models in medicine is still the key blockage for the use of AI in clinical decision support systems (CDSS). Although AI models are already performing excellently in systems medicine, their black -box nature entails that patient-specific decisions are incomprehensible for the physician. Explainable AI (XAI) algorithms aim to "explain"to a human domain expert, which input features influenced a specific recommendation. However, in the clinical domain, these explanations must lead to some degree of causal understanding by a clinician. Results: We developed the CLARUS platform, aiming to promote human understanding of graph neural network (GNN) predictions. CLARUS enables the visualisation of patient-specific networks, as well as, relevance values for genes and interactions, computed by XAI methods, such as GNNExplainer. This enables domain experts to gain deeper insights into the network and more importantly, the expert can interactively alter the patient-specific network based on the acquired understanding and initiate re-prediction or retraining. This interactivity allows us to ask manual counterfactual questions and analyse the effects on the GNN prediction. Conclusion: We present the first interactive XAI platform prototype, CLARUS, that allows not only the evaluation of specific human counterfactual questions based on user-defined alterations of patient networks and a re-prediction of the clinical outcome but also a retraining of the entire GNN after changing the underlying graph structures. The platform is currently hosted by the GWDG on https://rshiny.gwdg.de/apps/clarus/.</t>
  </si>
  <si>
    <t>Metsch, Jacqueline Michelle; Saranti, Anna; Angerschmid, Alessa; Pfeifer, Bastian; Klemt, Vanessa; Holzinger, Andreas; Hauschild, Anne-Christin</t>
  </si>
  <si>
    <t>Metsch, JM (corresponding author), Univ Med Ctr Gottingen, Inst Med Informat, Gottingen, Germany.</t>
  </si>
  <si>
    <t>jacquelinemichelle.beinecke@med.uni-goettingen.de</t>
  </si>
  <si>
    <t>Austrian Science Fund (FWF) [P-32554]; Innovationsausschuss beim Gemeinsamen Bundesausschuss [01VSF20014]; European Union [826078]</t>
  </si>
  <si>
    <t>Austrian Science Fund (FWF) (Austrian Science Fund (FWF)); Innovationsausschuss beim Gemeinsamen Bundesausschuss; European Union (European Union (EU))</t>
  </si>
  <si>
    <t>Parts of this work have been funded by the Austrian Science Fund (FWF) , Project: P-32554 explainable Artificial Intelligence. Parts of this work have been funded by the "Innovationsausschuss beim Gemeinsamen Bundesausschuss", Project: 01VSF20014. Parts of this work have received Funding from the European Union's Horizon 2020 research and innovation programme under grant agreement No. 826078 (Feature Cloud) . This publication reflects only the authors' view and the European Commission is not responsible for any use that may be made of the information it contains.</t>
  </si>
  <si>
    <t>[Metsch, Jacqueline Michelle; Hauschild, Anne-Christin] Univ Med Ctr Gottingen, Inst Med Informat, Gottingen, Germany; [Saranti, Anna; Angerschmid, Alessa; Pfeifer, Bastian; Holzinger, Andreas] Med Univ Graz, Inst Med Informat Stat &amp; Documentat, Graz, Austria; [Saranti, Anna; Angerschmid, Alessa; Holzinger, Andreas] Univ Nat Resources &amp; Life Sci, Human Ctr AI Lab, Vienna, Austria; [Klemt, Vanessa] Philipps Univ Marburg, Biomed Datascience Lab, Marburg, Germany</t>
  </si>
  <si>
    <t>University of Gottingen; University of Gottingen Hospital; Medical University of Graz; BOKU University; Philipps University Marburg</t>
  </si>
  <si>
    <t>CLARUS: An interactive explainable AI platform for manual counterfactuals in neural networks</t>
  </si>
  <si>
    <t>JOURNAL OF BIOMEDICAL INFORMATICS</t>
  </si>
  <si>
    <t>Explainable AI; Platform; Graph neural networks; Counterfactuals; Human-in-the-loop; Causability</t>
  </si>
  <si>
    <t>HOLZINGER, Andreas/E-9530-2010; Pfeifer, Bastian/AAN-3533-2020; Hauschild, Anne-Christin/KLZ-9144-2024; Angerschmid, Alessa/IUQ-2165-2023; Saranti, Anna/HME-2154-2023</t>
  </si>
  <si>
    <t>HOLZINGER, Andreas/0000-0002-6786-5194; Hauschild, Anne-Christin/0000-0002-7499-4373; Angerschmid, Alessa/0000-0001-9209-6676; Metsch, Jacqueline Michelle/0000-0002-7517-7041</t>
  </si>
  <si>
    <t>47</t>
  </si>
  <si>
    <t>50</t>
  </si>
  <si>
    <t>ACADEMIC PRESS INC ELSEVIER SCIENCE</t>
  </si>
  <si>
    <t>SAN DIEGO</t>
  </si>
  <si>
    <t>525 B ST, STE 1900, SAN DIEGO, CA 92101-4495 USA</t>
  </si>
  <si>
    <t>1532-0464</t>
  </si>
  <si>
    <t>1532-0480</t>
  </si>
  <si>
    <t>J BIOMED INFORM</t>
  </si>
  <si>
    <t>J. Biomed. Inform.</t>
  </si>
  <si>
    <t>104600</t>
  </si>
  <si>
    <t>10.1016/j.jbi.2024.104600</t>
  </si>
  <si>
    <t>http://dx.doi.org/10.1016/j.jbi.2024.104600</t>
  </si>
  <si>
    <t>Computer Science, Interdisciplinary Applications; Medical Informatics</t>
  </si>
  <si>
    <t>Computer Science; Medical Informatics</t>
  </si>
  <si>
    <t>KT9L2</t>
  </si>
  <si>
    <t>38301750</t>
  </si>
  <si>
    <t>WOS:001182332600001</t>
  </si>
  <si>
    <t>Grama, D; Dahele, M; Slotman, B; Verbakel, WFAR</t>
  </si>
  <si>
    <t>Background Recently, tumor position monitoring using fluoroscopic images acquired during volumetric modulated arc therapy (VMAT) delivery has become available in a research setting. Accurate tracking during stereotactic body radiotherapy (SBRT), using VMAT, for lung tumors can help to ensure that the tumor is only irradiated when it is inside the planning target volume.Purpose Traditionally, template matching is used to determine the tumor position, but with low tracking rates. A deep learning-based approach has the potential to improve this, but as deep learning is considered a "black box," it would be desirable to know when to trust the predictions made by the model.Methods We investigate the reliability and effectiveness of four explainable AI (XAI) methods (Guided Backpropagation (GBP), Layer-wise Relevance Propagation (LRP), DeepLIFT and PatternAttribtuion) to highlight the most relevant features for a deep learning-based 2D markerless lung tumor tracking model. The experiments are conducted on two phantoms and six clinical patients with small lung tumors (0.23-2.93 cm3${\text{cm}}&lt;^&gt;3$). Both quantitative and qualitative evaluation is conducted to assess the suitability of the selected XAI methods for tumor tracking.Results Our findings suggest that out of the four selected XAI methods, only GBP and DeepLIFT demonstrate a reliable and consistent behavior across all patients and phantoms; LRP shows good performance in the phantom setting but has lower qualitative results on the clinical data.Conclusions Based on our results, we argue that GBP and DeepLIFT can be used out-of-the-box to explain deep learning-based tracking models for SBRT using VMAT. Further investigation is needed to develop a robust measure of the model's reliability in clinical practice during treatment delivery.</t>
  </si>
  <si>
    <t>Grama, Dragos; Dahele, Max; Slotman, Ben; Verbakel, Wilko F. A. R.</t>
  </si>
  <si>
    <t>Grama, D (corresponding author), Tudor Vladimirescu 1, Vaslui 730140, Romania.</t>
  </si>
  <si>
    <t>grama.dragos.ioan@gmail.com</t>
  </si>
  <si>
    <t>Varian Medical Systems</t>
  </si>
  <si>
    <t>We acknowledge Varian Medical Systems for partially sponsoring this work.</t>
  </si>
  <si>
    <t>[Grama, Dragos; Dahele, Max; Slotman, Ben; Verbakel, Wilko F. A. R.] Amsterdam UMC Locat Vrije Univ Amsterdam, Dept Radiat Oncol, Amsterdam, Netherlands; [Grama, Dragos] Synaptiq, Str G Schweighofer 11 C, Sebes, Romania; [Verbakel, Wilko F. A. R.] Varian Med Syst, Siemens Healthineers Co, Palo Alto, CA USA</t>
  </si>
  <si>
    <t>Explainable AI for raising confidence in deep learning-based tumor tracking models</t>
  </si>
  <si>
    <t>MEDICAL PHYSICS</t>
  </si>
  <si>
    <t>explainable AI; tumor tracking; radiotherapy</t>
  </si>
  <si>
    <t>NEURAL-NETWORK</t>
  </si>
  <si>
    <t>Slotman, Ben/HCH-2301-2022</t>
  </si>
  <si>
    <t>WILEY</t>
  </si>
  <si>
    <t>HOBOKEN</t>
  </si>
  <si>
    <t>111 RIVER ST, HOBOKEN 07030-5774, NJ USA</t>
  </si>
  <si>
    <t>0094-2405</t>
  </si>
  <si>
    <t>2473-4209</t>
  </si>
  <si>
    <t>MED PHYS</t>
  </si>
  <si>
    <t>Med. Phys.</t>
  </si>
  <si>
    <t>JUL 2025</t>
  </si>
  <si>
    <t>52</t>
  </si>
  <si>
    <t>e17940</t>
  </si>
  <si>
    <t>10.1002/mp.17940</t>
  </si>
  <si>
    <t>http://dx.doi.org/10.1002/mp.17940</t>
  </si>
  <si>
    <t>Radiology, Nuclear Medicine &amp; Medical Imaging</t>
  </si>
  <si>
    <t>6TZ4W</t>
  </si>
  <si>
    <t>40660895</t>
  </si>
  <si>
    <t>WOS:001561978000041</t>
  </si>
  <si>
    <t>hybrid; Green Published; Green Submitted</t>
  </si>
  <si>
    <t>Laios, A; Kalampokis, E; Johnson, R; Thangavelu, A; Tarabanis, C; Nugent, D; De Jong, D</t>
  </si>
  <si>
    <t>Complete surgical cytoreduction (R0 resection) is the single most important prognosticator in epithelial ovarian cancer (EOC). Explainable Artificial Intelligence (XAI) could clarify the influence of static and real-time features in the R0 resection prediction. We aimed to develop an AI-based predictive model for the R0 resection outcome, apply a methodology to explain the prediction, and evaluate the interpretability by analysing feature interactions. The retrospective cohort finally assessed 571 consecutive advanced-stage EOC patients who underwent cytoreductive surgery. An eXtreme Gradient Boosting (XGBoost) algorithm was employed to develop the predictive model including mostly patient- and surgery-specific variables. The Shapley Additive explanations (SHAP) framework was used to provide global and local explainability for the predictive model. The XGBoost accurately predicted R0 resection (area under curve [AUC] = 0.866; 95% confidence interval [CI] = 0.8-0.93). We identified "turning points" that increased the probability of complete cytoreduction including Intraoperative Mapping of Ovarian Cancer Score and Peritoneal Carcinomatosis Index &lt; 4 and &lt;5, respectively, followed by Surgical Complexity Score &gt; 4, patient's age &lt; 60 years, and largest tumour bulk &lt; 5 cm in a surgical environment of optimized infrastructural support. We demonstrated high model accuracy for the R0 resection prediction in EOC patients and provided novel global and local feature explainability that can be used for quality control and internal audit.</t>
  </si>
  <si>
    <t>Laios, Alexandros; Kalampokis, Evangelos; Johnson, Racheal; Thangavelu, Amudha; Tarabanis, Constantine; Nugent, David; De Jong, Diederick</t>
  </si>
  <si>
    <t>Laios, A (corresponding author), St James Univ Hosp, Dept Gynaecol Oncol, Leeds LS9 7TF, W Yorkshire, England.</t>
  </si>
  <si>
    <t>a.laios@nhs.net; racheal.johnson2@nhs.net; constantine.tarabanis@nyulangone.org; david.nugent@nhs.net; amudhathangavelu@nhs.net; ekal@uom.edu.gr; diederick.dejong@nhs.net</t>
  </si>
  <si>
    <t>[Laios, Alexandros; Johnson, Racheal; Thangavelu, Amudha; Nugent, David; De Jong, Diederick] St James Univ Hosp, Dept Gynaecol Oncol, Leeds LS9 7TF, W Yorkshire, England; [Kalampokis, Evangelos] Univ Macedonia, Dept Business Adm, Thessaloniki 54636, Greece; [Kalampokis, Evangelos] Ctr Res &amp; Technol HELLAS CERTH, 6th Km Charilaou Thermi Rd, Thessaloniki 57001, Greece; [Tarabanis, Constantine] NYU, Sch Med, Dept Internal Med, Langone Hlth, New York, NY 10016 USA</t>
  </si>
  <si>
    <t>Saint James's University Hospital; University of Macedonia; Centre for Research &amp; Technology Hellas; New York University</t>
  </si>
  <si>
    <t>Explainable Artificial Intelligence for Prediction of Complete Surgical Cytoreduction in Advanced-Stage Epithelial Ovarian Cancer</t>
  </si>
  <si>
    <t>JOURNAL OF PERSONALIZED MEDICINE</t>
  </si>
  <si>
    <t>Explainable Artificial Intelligence; complete cytoreduction; epithelial ovarian cancer</t>
  </si>
  <si>
    <t>NEOADJUVANT CHEMOTHERAPY; GYNECOLOGIC-ONCOLOGY; DEBULKING SURGERY; FALLOPIAN-TUBE; SURVIVAL; SOCIETY; GUIDELINES</t>
  </si>
  <si>
    <t>Kalampokis, Evangelos/M-4337-2019; de Jong, Diederick/AAK-2586-2021; Laios, Alexandros/AAN-9433-2020</t>
  </si>
  <si>
    <t>Kalampokis, Evangelos/0000-0003-4416-8764; JOHNSON, RACHEAL/0000-0002-2677-2709; de Jong, Diederick/0000-0003-0081-674X; Laios, Alexandros/0000-0002-4870-7393</t>
  </si>
  <si>
    <t>42</t>
  </si>
  <si>
    <t>2075-4426</t>
  </si>
  <si>
    <t>J PERS MED</t>
  </si>
  <si>
    <t>J. Pers. Med.</t>
  </si>
  <si>
    <t>APR 2022</t>
  </si>
  <si>
    <t>607</t>
  </si>
  <si>
    <t>10.3390/jpm12040607</t>
  </si>
  <si>
    <t>http://dx.doi.org/10.3390/jpm12040607</t>
  </si>
  <si>
    <t>Health Care Sciences &amp; Services; Medicine, General &amp; Internal</t>
  </si>
  <si>
    <t>Health Care Sciences &amp; Services; General &amp; Internal Medicine</t>
  </si>
  <si>
    <t>0U2WT</t>
  </si>
  <si>
    <t>35455723</t>
  </si>
  <si>
    <t>WOS:000787515700001</t>
  </si>
  <si>
    <t>Crigger, E; Reinbold, K; Hanson, C; Kao, A; Blake, K; Irons, M</t>
  </si>
  <si>
    <t>Augmented Intelligence (AI) systems have the power to transform health care and bring us closer to the quadruple aim: enhancing patient experience, improving population health, reducing costs, and improving the work life of health care providers. Earning physicians' trust is critical for accelerating adoption of AI into patient care. As technology evolves, the medical community will need to develop standards for these innovative technologies and re-visit current regulatory systems that physicians and patients rely on to ensure that health care AI is responsible, evidence-based, free from bias, and designed and deployed to promote equity. To develop actionable guidance for trustworthy AI in health care, the AMA reviewed literature on the challenges health care AI poses and reflected on existing guidance as a starting point for addressing those challenges (including models for regulating the introduction of innovative technologies into clinical care).</t>
  </si>
  <si>
    <t>Crigger, Elliott; Reinbold, Karen; Hanson, Chelsea; Kao, Audiey; Blake, Kathleen; Irons, Mira</t>
  </si>
  <si>
    <t>Crigger, E (corresponding author), Amer Med Assoc, 330 North Wabash, Chicago, IL 60611 USA.</t>
  </si>
  <si>
    <t>Audiey.Kao@ama-assn.org; Karen.Reinbold@ama-assn.org; Kathleen.Blake@ama-assn.org; Elliott.Crigger@ama-assn.org; Chelsea.Hanson@ama-assn.org; mirons@collegeofphysicians.org</t>
  </si>
  <si>
    <t>[Crigger, Elliott; Reinbold, Karen; Hanson, Chelsea; Kao, Audiey; Blake, Kathleen; Irons, Mira] Amer Med Assoc, 330 North Wabash, Chicago, IL 60611 USA</t>
  </si>
  <si>
    <t>American Medical Association</t>
  </si>
  <si>
    <t>Trustworthy Augmented Intelligence in Health Care</t>
  </si>
  <si>
    <t>JOURNAL OF MEDICAL SYSTEMS</t>
  </si>
  <si>
    <t>Accountability; Augmented intelligence; artificial intelligence; Equity; access to care; Ethics; Health care innovation; Standards</t>
  </si>
  <si>
    <t>ARTIFICIAL-INTELLIGENCE; BIAS</t>
  </si>
  <si>
    <t>Reinbold, Karen/NUQ-6250-2025</t>
  </si>
  <si>
    <t>Crigger, Elliott/0000-0003-1429-7813</t>
  </si>
  <si>
    <t>85</t>
  </si>
  <si>
    <t>101</t>
  </si>
  <si>
    <t>ONE NEW YORK PLAZA, SUITE 4600, NEW YORK, NY, UNITED STATES</t>
  </si>
  <si>
    <t>0148-5598</t>
  </si>
  <si>
    <t>1573-689X</t>
  </si>
  <si>
    <t>J MED SYST</t>
  </si>
  <si>
    <t>J. Med. Syst.</t>
  </si>
  <si>
    <t>FEB 2022</t>
  </si>
  <si>
    <t>10.1007/s10916-021-01790-z</t>
  </si>
  <si>
    <t>http://dx.doi.org/10.1007/s10916-021-01790-z</t>
  </si>
  <si>
    <t>Health Care Sciences &amp; Services; Medical Informatics</t>
  </si>
  <si>
    <t>YF7RQ</t>
  </si>
  <si>
    <t>35020064</t>
  </si>
  <si>
    <t>WOS:000742000100001</t>
  </si>
  <si>
    <t>Das, N; Happaerts, S; Gyselinck, I; Staes, M; Derom, E; Brusselle, G; Burgos, F; Contoli, M; Dinh-Xuan, AT; Franssen, FME; Gonem, S; Greening, N; Haenebalcke, C; Man, WDC; Moisés, J; Peché, R; Poberezhets, V; Quint, JK; Steiner, MC; Vanderhelst, E; Abdo, M; Topalovic, M; Janssens, W</t>
  </si>
  <si>
    <t>Background Few studies have investigated the collaborative potential between artificial intelligence (AI) and pulmonologists for diagnosing pulmonary disease. We hypothesised that the collaboration between pulmonologist and AI with explanations (explainable AI (XAI)) is superior in diagnostic interpretation of pulmonary function tests (PFTs) than the pulmonologist without support. Methods The study was conducted in two phases, a monocentre study (phase 1) and a multicentre intervention study (phase 2). Each phase utilised two different sets of 24 PFT reports of patients with clinically validated gold standard diagnosis. Each PFT was interpreted without (control) and with XAI's suggestions (intervention). Pulmonologists provided a differential diagnosis consisting of a preferential diagnosis and optionally up to three additional diagnoses. The primary end-point compared accuracy of preferential and additional diagnoses between control and intervention. Secondary end-points were the number of diagnoses in differential diagnosis, diagnostic confidence and inter-rater agreement. We also analysed how XAI influenced pulmonologists' decisions. Results In phase 1 (n=16 pulmonologists), mean preferential and differential diagnostic accuracy significantly increased by 10.4% and 9.4%, respectively, between control and intervention (p&lt;0.001). Improvements were somewhat lower but highly significant (p&lt;0.0001) in phase 2 (5.4% and 8.7%, respectively; n=62 pulmonologists). In both phases, the number of diagnoses in the differential diagnosis did not reduce, but diagnostic confidence and inter-rater agreement significantly increased during intervention. Pulmonologists updated their decisions with XAI's feedback and consistently improved their baseline performance if AI provided correct predictions. Conclusion A collaboration between a pulmonologist and XAI is better at interpreting PFTs than individual pulmonologists reading without XAI support or XAI alone.</t>
  </si>
  <si>
    <t>Das, Nilakash; Happaerts, Sofie; Gyselinck, Iwein; Staes, Michael; Derom, Eric; Brusselle, Guy; Burgos, Felip; Contoli, Marco; Dinh-Xuan, Anh Tuan; Franssen, Frits M. E.; Gonem, Sherif; Greening, Neil; Haenebalcke, Christel; Man, William D-C.; Moises, Jorge; Peche, Rudi; Poberezhets, Vitalii; Quint, Jennifer K.; Steiner, Michael C.; Vanderhelst, Eef; Abdo, Mustafa; Topalovic, Marko; Janssens, Wim</t>
  </si>
  <si>
    <t>Janssens, W (corresponding author), Katholieke Univ Leuven, Lab Resp Dis &amp; Thorac Surg, Dept Chron Dis Metab &amp; Ageing, Leuven, Belgium.; Janssens, W (corresponding author), Univ Hosp Leuven, Clin Dept Resp Dis, Leuven, Belgium.</t>
  </si>
  <si>
    <t>wim.janssens@uzleuven.be</t>
  </si>
  <si>
    <t>KU Leuven [HB.2020.2406]; Flemish Research Foundation (FWO Vlaanderen); VLAIO research grant of ArtiQ</t>
  </si>
  <si>
    <t>KU Leuven (KU Leuven); Flemish Research Foundation (FWO Vlaanderen) (FWO); VLAIO research grant of ArtiQ</t>
  </si>
  <si>
    <t>The study was supported by a VLAIO research grant of ArtiQ and KU Leuven (HB.2020.2406) . N. Das, I. Gyselinck and W. Janssens are supported by the Flemish Research Foundation (FWO Vlaanderen) . Funding information for this article has been deposited with the Crossref Funder Registry.</t>
  </si>
  <si>
    <t>[Das, Nilakash; Gyselinck, Iwein; Staes, Michael; Derom, Eric; Janssens, Wim] Katholieke Univ Leuven, Lab Resp Dis &amp; Thorac Surg, Dept Chron Dis Metab &amp; Ageing, Leuven, Belgium; [Happaerts, Sofie; Gyselinck, Iwein; Staes, Michael; Janssens, Wim] Univ Hosp Leuven, Clin Dept Resp Dis, Leuven, Belgium; [Derom, Eric; Brusselle, Guy] Univ Ghent, UZ Gent, Ghent, Belgium; [Burgos, Felip] Univ Barcelona, Hosp Clin, Inst Invest Biomed August Pi i Sunyer IDIBAPS, Dept Pulm Med, Barcelona, Spain; [Contoli, Marco] Univ Ferrara, Dept Translat Med, Ferrara, Italy; [Dinh-Xuan, Anh Tuan] Univ Paris Cite, Hop Cochin, AP HP, Serv Physiol Explorat Fonct, Paris, France; [Franssen, Frits M. E.] Maastricht Univ, Med Ctr, Dept Resp Med, Maastricht, Netherlands; [Franssen, Frits M. E.] Maastricht Univ, Sch Nutr &amp; Translat Res Metab NUTRIM, Med Ctr, Maastricht, Netherlands; [Gonem, Sherif] Nottingham Univ Hosp NHS Trust, Nottingham, England; [Greening, Neil; Steiner, Michael C.] Univ Leicester, Leicester NIHR Biomed Res Ctr Resp, Dept Resp Sci, Leicester, England; [Haenebalcke, Christel] AZ Sint Jan Brugge Oostende, Brugge, Belgium; Imperial Coll London, Natl Heart &amp; Lung Inst, London, England; Guys &amp; St Thomas NHS Fdn Trust, Royal Brompton &amp; Harefield Clin Grp, London, England; Biomed Res Networking Ctr Resp Dis CIBERES, Madrid, Spain; CHU Charleroi, Charleroi, Belgium; Natl Pirogov Mem Med Univ, Dept Propedeut Internal Med, Vinnytsya, Ukraine; Vrije Univ Brussel, Univ Hosp Brussels, Brussels, Belgium; LungenClin Grosshansdorf, Grosshansdorf, Germany; ArtiQ NV, Leuven, Belgium</t>
  </si>
  <si>
    <t>KU Leuven; KU Leuven; University Hospital Leuven; Ghent University; Ghent University Hospital; University of Barcelona; Hospital Clinic de Barcelona; IDIBAPS; University of Ferrara; Assistance Publique Hopitaux Paris (APHP); Universite Paris Cite; Hopital Universitaire Cochin - APHP; Maastricht University; Maastricht University; Nottingham University Hospital NHS Trust; University of Leicester; Imperial College London; Guy's &amp; St Thomas' NHS Foundation Trust; CIBER - Centro de Investigacion Biomedica en Red; CIBERES; National Pirogov Memorial Medical University Vinnytsya; Vrije Universiteit Brussel; University Hospital Brussels; Grosshansdorf Hospital</t>
  </si>
  <si>
    <t>Collaboration between explainable artificial intelligence and pulmonologists improves the accuracy of pulmonary function test interpretation</t>
  </si>
  <si>
    <t>EUROPEAN RESPIRATORY JOURNAL</t>
  </si>
  <si>
    <t>BLACK-BOX; DIAGNOSIS</t>
  </si>
  <si>
    <t>Brusselle, Guy/AFU-8839-2022; Gyselinck, Iwein/AAS-2555-2021; Topalovic, Marko/K-4637-2016; Greening, Neil/I-4651-2016; Vanderhelst, Eef/ABA-3247-2021; /AFN-0419-2022; quint, jennifer/ABE-3384-2020; Contoli, Marco/K-3947-2018; Abdo, Mustafa/HLX-8601-2023; Poberezhets, Vitalii/J-7540-2018; Dinh-Xuan, Anh Tuan/A-9691-2008; Burgos, Felip/E-5734-2015; Moisés, Jorge/AAM-3035-2020; Franssen, Frits/L-3334-2019</t>
  </si>
  <si>
    <t>Brusselle, Guy/0000-0001-7021-8505; Gyselinck, Iwein/0000-0002-4068-7228; Greening, Neil/0000-0003-0453-7529; Vanderhelst, Eef/0000-0001-5552-1645; Derom, Eric/0000-0003-1110-4940; Man, William/0000-0002-3782-659X; Steiner, Michael/0000-0002-0127-0614; Janssens, Wim/0000-0003-1830-2982; Poberezhets, Vitalii/0000-0003-2581-824X; Dinh-Xuan, Anh Tuan/0000-0001-8651-5176; Burgos, Felip/0000-0002-4938-4581; Happaerts, Sofie/0000-0003-3259-8599</t>
  </si>
  <si>
    <t>EUROPEAN RESPIRATORY SOC JOURNALS LTD</t>
  </si>
  <si>
    <t>SHEFFIELD</t>
  </si>
  <si>
    <t>442 GLOSSOP RD, SHEFFIELD S10 2PX, ENGLAND</t>
  </si>
  <si>
    <t>0903-1936</t>
  </si>
  <si>
    <t>1399-3003</t>
  </si>
  <si>
    <t>EUR RESPIR J</t>
  </si>
  <si>
    <t>Eur. Resp. J.</t>
  </si>
  <si>
    <t>MAY 1 2023</t>
  </si>
  <si>
    <t>61</t>
  </si>
  <si>
    <t>2201720</t>
  </si>
  <si>
    <t>10.1183/13993003.01720-2022</t>
  </si>
  <si>
    <t>http://dx.doi.org/10.1183/13993003.01720-2022</t>
  </si>
  <si>
    <t>Respiratory System</t>
  </si>
  <si>
    <t>I0BG1</t>
  </si>
  <si>
    <t>37080566</t>
  </si>
  <si>
    <t>WOS:000999507000009</t>
  </si>
  <si>
    <t>hybrid; Green Accepted; Green Submitted</t>
  </si>
  <si>
    <t>Ben Ammar, B; Karamti, W</t>
  </si>
  <si>
    <t>Trustworthy pediatric screening AI needs more than accuracy: label validity, calibration, subgroup robustness, and clinical-scope limits. We propose Clear-Rd (Clinical Leakage Evaluation and Audit Routine for Rule-Derived labels), a five-stage framework-Configure, Lift, Evaluate, Audit, Report-and apply it to two public autism-screening datasets-Q-CHAT-10 toddler (N = 1054) and AQ-10 child/adolescent/adult (N = 6075)-merged into a unified cohort (N = 7129); prior studies report accuracies above 95%. Three configurations-S-1 (full, with score), S-2 (items, no score), and S-3 (demographics only)-separate label leakage from demographic signal. A leakage audit confirms the Q-CHAT-10 label is exactly determined by score&gt;3, the AQ-10 label approximately by score &gt;= 6. Sixteen models from three families (classical, deep-tabular, and prompt-structure simulators) are evaluated under 5-fold stratified cross-validation. On the leakage-free S-3, Gradient Boosting attains ROC-AUC 0.766 +/- 0.005 and all families converge within 0.04 ROC-AUC, indicating the binding constraint is the feature set, not model capacity. Calibration, subgroup-parity, and cost-sensitive analyses complete the audit. The results expose a gap between reported and clinically interpretable performance; Clear-Rd is a reusable template for rule-derived medical labels. No such model should be interpreted as predicting clinical autism diagnosis without external validation against gold-standard outcomes.</t>
  </si>
  <si>
    <t>Ben Ammar, Boulbaba; Karamti, Walid</t>
  </si>
  <si>
    <t>Ben Ammar, B; Karamti, W (corresponding author), Qassim Univ, Coll Comp, Dept Comp Sci, Buraydah, Saudi Arabia.; Ben Ammar, B; Karamti, W (corresponding author), Univ Sfax, Fac Sci, Data Engn &amp; Semant Res Unit, Sfax, Tunisia.</t>
  </si>
  <si>
    <t>b.benammar@qu.edu.sa; w.karamti@qu.edu.sa</t>
  </si>
  <si>
    <t>Deanship of Graduate Studies and Scientific Research at Qassim University</t>
  </si>
  <si>
    <t>The Researchers would like to thank the Deanship of Graduate Studies and Scientific Research at Qassim University (www.qu.edu.sa) for financial support (QU-APC-2026).</t>
  </si>
  <si>
    <t>[Ben Ammar, Boulbaba; Karamti, Walid] Qassim Univ, Coll Comp, Dept Comp Sci, Buraydah, Saudi Arabia; [Ben Ammar, Boulbaba; Karamti, Walid] Univ Sfax, Fac Sci, Data Engn &amp; Semant Res Unit, Sfax, Tunisia</t>
  </si>
  <si>
    <t>Qassim University; Universite de Sfax; Faculty of Sciences Sfax</t>
  </si>
  <si>
    <t>Label leakage unmasked: a trustworthy-AI audit of autism screening models using the CLEAR-RD framework</t>
  </si>
  <si>
    <t>FRONTIERS IN PUBLIC HEALTH</t>
  </si>
  <si>
    <t>autism spectrum disorder; calibration; clinical machine learning; data quality; explainable AI; label leakage; personalized healthcare; Q-CHAT-10</t>
  </si>
  <si>
    <t>SPECTRUM DISORDER; ARTIFICIAL-INTELLIGENCE</t>
  </si>
  <si>
    <t>Karamti, Walid/NES-0664-2025</t>
  </si>
  <si>
    <t>2296-2565</t>
  </si>
  <si>
    <t>FRONT PUBLIC HEALTH</t>
  </si>
  <si>
    <t>Front. Public Health</t>
  </si>
  <si>
    <t>JUN 30 2026</t>
  </si>
  <si>
    <t>1881829</t>
  </si>
  <si>
    <t>10.3389/fpubh.2026.1881829</t>
  </si>
  <si>
    <t>http://dx.doi.org/10.3389/fpubh.2026.1881829</t>
  </si>
  <si>
    <t>JUN 2026</t>
  </si>
  <si>
    <t>Public, Environmental &amp; Occupational Health</t>
  </si>
  <si>
    <t>KZ9QU</t>
  </si>
  <si>
    <t>42454314</t>
  </si>
  <si>
    <t>WOS:001819606200001</t>
  </si>
  <si>
    <t>Kökver, Y</t>
  </si>
  <si>
    <t>The integration of large language models (LLMs) into healthcare is hindered by their tendency to generate hallucinations, a critical issue in medical question answering (MedQA). Retrieval-Augmented Generation (RAG) frameworks address this limitation by grounding LLM outputs in external, verifiable knowledge sources. In this study, RAG pipeline implemented without fine-tuning the base model is evaluated to enhance factual fidelity in MedQA. GPT-4 is integrated with a dense passage retrieval module based on Facebook AI Similarity Search (FAISS) and the BAAI/bge-small-en embedding model, and compared against a non-retrieval GPT-4 baseline.Evaluation is conducted on a held-out set of 1,000 questions from the MedQuAD dataset using widely adopted computational evaluation metrics, including BLEU-1 to BLEU-4, ROUGE-L, METEOR, text-level F1, Exact Match (EM), and embedding-based semantic similarity metrics such as BERTScore and SBERT. The RAG-enhanced configuration consistently outperforms the baseline across all evaluation metrics, with notable improvements including an increase in BLEU-4 from 0.3015 to 0.4224 and BERTScore from 0.8487 to 0.8691, indicating improved contextual coherence and semantic alignment. Qualitative analysis further indicates fewer omissions and more accurate use of domain-specific terminology. To assess generalization, cross-dataset experiments were conducted using the PubMedQA benchmark. The results reveal that while RAG significantly improves performance in in-domain settings, its effectiveness decreases under domain shift when the retrieval corpus is not well aligned with the target question distribution. Additional experiments with varying retrieval depths (k = 1, 3, and 5) demonstrate that increasing the number of retrieved passages can improve semantic similarity by providing richer contextual evidence. These findings provide empirical evidence that retrieval augmentation enhances both the factual reliability and semantic quality of LLM-generated answers in MedQA. The proposed framework offers a practical and scalable approach to mitigating hallucinations without requiring task-specific fine-tuning, highlighting the potential of retrieval-augmented approaches for trustworthy artificial intelligence (AI)-assisted healthcare applications.</t>
  </si>
  <si>
    <t>Kokver, Yunus</t>
  </si>
  <si>
    <t>Kökver, Y (corresponding author), Ankara Univ, Informat Technol Vocat Sch, Dept Comp Technol, Ankara, Turkiye.</t>
  </si>
  <si>
    <t>ykokver@ankara.edu.tr</t>
  </si>
  <si>
    <t>[Kokver, Yunus] Ankara Univ, Informat Technol Vocat Sch, Dept Comp Technol, Ankara, Turkiye</t>
  </si>
  <si>
    <t>Ankara University</t>
  </si>
  <si>
    <t>Retrieval-augmented generation for medical question answering: a multi-metric performance evaluation</t>
  </si>
  <si>
    <t>PEERJ COMPUTER SCIENCE</t>
  </si>
  <si>
    <t>Medical question answering; Retrieval-augmented generation; GPT-4; Hallucination mitigation; FAISS; Large language models.</t>
  </si>
  <si>
    <t>CHATBOT</t>
  </si>
  <si>
    <t>PEERJ INC</t>
  </si>
  <si>
    <t>341-345 OLD ST, THIRD FLR, LONDON, EC1V 9LL, ENGLAND</t>
  </si>
  <si>
    <t>2376-5992</t>
  </si>
  <si>
    <t>PEERJ COMPUT SCI</t>
  </si>
  <si>
    <t>PeerJ Comput. Sci.</t>
  </si>
  <si>
    <t>AUG 4 2026</t>
  </si>
  <si>
    <t>e4053</t>
  </si>
  <si>
    <t>10.7717/peerj-cs.4053</t>
  </si>
  <si>
    <t>http://dx.doi.org/10.7717/peerj-cs.4053</t>
  </si>
  <si>
    <t>21</t>
  </si>
  <si>
    <t>Computer Science, Artificial Intelligence; Computer Science, Information Systems; Computer Science, Theory &amp; Methods</t>
  </si>
  <si>
    <t>ML0ZQ</t>
  </si>
  <si>
    <t>WOS:001844805800001</t>
  </si>
  <si>
    <t>Al Qwaid, M</t>
  </si>
  <si>
    <t>Introduction Artificial Intelligence (AI) is transforming healthcare service delivery through predictive analytics, precision medicine, and advanced diagnostics. However, the commodification of health data introduces complex ethical and social challenges related to privacy, ownership, and consent. This study explores perceptions of health data commodification within AI-driven healthcare systems, focusing on Saudi Arabia's rapidly evolving digital healthcare landscape.Methods A mixed-methods approach was employed, combining quantitative surveys and in-depth qualitative interviews. The study included 42 patients, 8 healthcare professionals, 3 insurance representatives, and 4 AI experts. Data were collected across three main themes: data privacy, perceived benefits of AI, and attitudes toward data commodification. Quantitative data were analyzed descriptively, while qualitative responses were examined thematically.Results Findings reveal that 61.9% of patients consider health data a form of personal property, while 59.5% feel they have limited control over how their data are used. A significant trust deficit was observed, with 50% expressing low confidence in AI systems' ability to protect privacy, particularly among older participants. Financial incentives strongly influenced willingness to share data, with 81% agreeing to share their data if compensated. Furthermore, 64.3% supported the sale of anonymized data by healthcare providers to technology companies, provided adequate safeguards are in place.Discussion These insights underscore the urgent need for robust regulatory frameworks emphasizing informed consent, transparency, and ethical governance in AI healthcare systems. The study highlights the importance of patient-centered policies, equitable compensation mechanisms, and enhanced training and awareness programs to build public trust and ensure responsible AI adoption. By addressing these ethical and governance challenges, policymakers can align technological innovation with equity, privacy, and the principles of ethical healthcare delivery.</t>
  </si>
  <si>
    <t>Al Qwaid, Marran</t>
  </si>
  <si>
    <t>Al Qwaid, M (corresponding author), Shaqra Univ, Dept Comp Sci, Coll Comp &amp; Informat Technol, Shaqra, Saudi Arabia.</t>
  </si>
  <si>
    <t>maldossari@su.edu.sa</t>
  </si>
  <si>
    <t>[Al Qwaid, Marran] Shaqra Univ, Dept Comp Sci, Coll Comp &amp; Informat Technol, Shaqra, Saudi Arabia</t>
  </si>
  <si>
    <t>Shaqra University</t>
  </si>
  <si>
    <t>Perceptions of health data commodification in AI-driven healthcare systems in Saudi Arabia</t>
  </si>
  <si>
    <t>FRONTIERS IN ARTIFICIAL INTELLIGENCE</t>
  </si>
  <si>
    <t>health data commodification; AI; digital healthcare; AI-driven healthcare; trust in AI systems</t>
  </si>
  <si>
    <t>AlQwaid, Marran/PMQ-6442-2026</t>
  </si>
  <si>
    <t>Al Qwaid, Marran/0009-0007-0364-0408</t>
  </si>
  <si>
    <t>29</t>
  </si>
  <si>
    <t>2624-8212</t>
  </si>
  <si>
    <t>FRONT ARTIF INTELL</t>
  </si>
  <si>
    <t>Front. Artif. Intell.</t>
  </si>
  <si>
    <t>NOV 4 2025</t>
  </si>
  <si>
    <t>1559302</t>
  </si>
  <si>
    <t>10.3389/frai.2025.1559302</t>
  </si>
  <si>
    <t>http://dx.doi.org/10.3389/frai.2025.1559302</t>
  </si>
  <si>
    <t>Computer Science, Artificial Intelligence; Computer Science, Information Systems</t>
  </si>
  <si>
    <t>9VU0O</t>
  </si>
  <si>
    <t>41262643</t>
  </si>
  <si>
    <t>WOS:001616205300001</t>
  </si>
  <si>
    <t>Moulaei, K; Afshari, L; Moulaei, R; Sabet, B; Mousavi, SM; Afrash, MR</t>
  </si>
  <si>
    <t>Failure to predict stroke promptly may lead to delayed treatment, causing severe consequences like permanent neurological damage or death. Early detection using deep learning (DL) and machine learning (ML) models can enhance patient outcomes and mitigate the long-term effects of strokes. The aim of this study is to compare these models, exploring their efficacy in predicting stroke. This study analyzed a dataset comprising 663 records from patients hospitalized at Hazrat Rasool Akram Hospital in Tehran, Iran, including 401 healthy individuals and 262 stroke patients. A total of eight established ML (SVM, XGB, KNN, RF) and DL (DNN, FNN, LSTM, CNN) models were utilized to predict stroke. Techniques such as 10-fold cross-validation and hyperparameter tuning were implemented to prevent overfitting. The study also focused on interpretability through Shapley Additive Explanations (SHAP). The evaluation of model's performance was based on accuracy, specificity, sensitivity, F1-score, and ROC curve metrics. Among DL models, LSTM showed superior sensitivity at 96.15%, while FNN exhibited better specificity (96.0%), accuracy (96.0%), F1-score (95.0%), and ROC (98.0%) among DL models. For ML models, RF displayed higher sensitivity (99.9%), accuracy (99.0%), specificity (100%), F1-score (99.0%), and ROC (99.9%). Overall, RF outperformed all models, while DL models surpassed ML models in most metrics except for RF. DL models (CNN, LSTM, DNN, FNN) achieved sensitivities from 93.0 to 96.15%, specificities from 80.0 to 96.0%, accuracies from 92.0 to 96.0%, F1-scores from 87.34 to 95.0%, and ROC scores from 95.0 to 98.0%. In contrast, ML models (KNN, XGB, SVM) showed sensitivities between 29.0% and 94.0%, specificities between 89.47% and 96.0%, accuracies between 71.0% and 95.0%, F1-scores between 44.0% and 95.0%, and ROC scores between 64.0% and 95.0%. This study demonstrates the efficacy of DL and ML models in predicting stroke, with the RF models outperforming all others in key metrics. While DL models generally surpassed ML models, RF's exceptional performance highlights the potential of combining these technologies for early stroke detection, significantly improving patient outcomes by preventing severe consequences like permanent neurological damage or death.</t>
  </si>
  <si>
    <t>Moulaei, Khadijeh; Afshari, Lida; Moulaei, Reza; Sabet, Babak; Mousavi, Seyed Mohammad; Afrash, Mohammad Reza</t>
  </si>
  <si>
    <t>Afrash, MR (corresponding author), Smart Univ Med Sci, Artificial Intelligence Med Sci Res Ctr, Tehran, Iran.; Afrash, MR (corresponding author), Smart Univ Med Sci, Dept Artificial Intelligence Med Sci Res Ctr, Tehran, Iran.</t>
  </si>
  <si>
    <t>M.afrash@sbmu.ac.ir</t>
  </si>
  <si>
    <t>[Moulaei, Khadijeh] Iran Univ Med Sci, Hlth Management Res Inst, Hlth Management &amp; Econ Res Ctr, Tehran, Iran; [Moulaei, Khadijeh; Sabet, Babak; Afrash, Mohammad Reza] Smart Univ Med Sci, Artificial Intelligence Med Sci Res Ctr, Tehran, Iran; [Afshari, Lida] Iran Univ Med Sci, Dept Hlth Management &amp; Informat Sci, Tehran, Iran; [Moulaei, Reza] Univ Tehran Med Sci, Shariati Hosp, Dept Orthoped &amp; Trauma Surg, Tehran, Iran; [Moulaei, Reza] Univ Tehran Med Sci, Sch Med, Tehran, Iran; [Sabet, Babak] Shahid Beheshti Univ Med Sci, Fac Med, Dept Surg, Tehran, Iran; [Mousavi, Seyed Mohammad] Kerman Univ Med Sci, Inst Futures Studies Hlth, Med Informat Res Ctr, Kerman, Iran; [Afrash, Mohammad Reza] Smart Univ Med Sci, Dept Artificial Intelligence Med Sci Res Ctr, Tehran, Iran</t>
  </si>
  <si>
    <t>Iran University of Medical Sciences; Iran University of Medical Sciences; Tehran University of Medical Sciences; Tehran University of Medical Sciences; Shahid Beheshti University Medical Sciences; Kerman University of Medical Sciences</t>
  </si>
  <si>
    <t>Explainable artificial intelligence for stroke prediction through comparison of deep learning and machine learning models</t>
  </si>
  <si>
    <t>SCIENTIFIC REPORTS</t>
  </si>
  <si>
    <t>deep learning; machine learning; predicting; stroke</t>
  </si>
  <si>
    <t>RANDOM FOREST; TABULAR DATA</t>
  </si>
  <si>
    <t>Moulaei, Khadijeh/ACI-5103-2022; Mousavi, Seyed Mohammad/AAQ-7719-2020</t>
  </si>
  <si>
    <t>60</t>
  </si>
  <si>
    <t>NATURE PORTFOLIO</t>
  </si>
  <si>
    <t>BERLIN</t>
  </si>
  <si>
    <t>HEIDELBERGER PLATZ 3, BERLIN, 14197, GERMANY</t>
  </si>
  <si>
    <t>2045-2322</t>
  </si>
  <si>
    <t>SCI REP-UK</t>
  </si>
  <si>
    <t>Sci Rep</t>
  </si>
  <si>
    <t>DEC 28 2024</t>
  </si>
  <si>
    <t>31392</t>
  </si>
  <si>
    <t>10.1038/s41598-024-82931-5</t>
  </si>
  <si>
    <t>http://dx.doi.org/10.1038/s41598-024-82931-5</t>
  </si>
  <si>
    <t>16</t>
  </si>
  <si>
    <t>Multidisciplinary Sciences</t>
  </si>
  <si>
    <t>Science &amp; Technology - Other Topics</t>
  </si>
  <si>
    <t>Q6Q2C</t>
  </si>
  <si>
    <t>39733046</t>
  </si>
  <si>
    <t>WOS:001385891300049</t>
  </si>
  <si>
    <t>Taieb, MAH; Merdassi, M; Tlili, A; Bouri, MA; Abdallah, MB; Gnuito, D; Turki, H; Kammoun, MH; Ouerda, Z; Jaberansary, M; Schultz, B; Tang, FSKB; Koumpis, A; Aouicha, MB; Beyan, O</t>
  </si>
  <si>
    <t>Healthcare institutions worldwide generate growing volumes of heterogeneous clinical data, yet legal, ethical, and infrastructural constraints often prevent these data from being centralized for analysis. Federated learning approaches offer a promising solution by enabling multi-site computation without transferring sensitive patient information, but require well-designed cross-site data harmonization. Modern Data Lakehouse architectures address this requirement by providing a scalable, governed foundation for multimodal clinical dataset integration through unified storage, metadata-rich governance, and FAIR-aligned data access. Despite increasing interest in such technologies across the Middle East and North Africa (MENA) region, operational deployments remain limited due to fragmented infrastructures, insufficient data governance, and gaps in practical expertise. This perspective article reports on a German-Tunisian knowledge and technology transfer initiative conducted within the DAAD Ta'ziz Partnership programme. As mentioned in the, 'the Arabic word 'Ta'ziz' means 'strengthening/consolidation' and has been chosen to clearly express the intended outcome of the programme' [https://www.daad.de/en/information-services-for-higher-education-institutions/further-information-on-daad-programmes/taziz-partnership/ (visited on November 28th, 2025)]. The collaboration between the University Hospital of Cologne and the University of Sfax introduced and implemented federated learning concepts via the Personal Health Train paradigm, and explored the design of a Data Lakehouse tailored to emerging healthcare ecosystems in Tunisia. Through an internship programme, hands-on MLOps training, and a large-scale workshop, the project built technical capacity in containerized analytics workflows, data governance, FAIR data management, and lakehouse engineering. We synthesize lessons learned regarding infrastructural limitations, data governance maturity, interoperability challenges, and institutional readiness, and outline considerations for sustainable adoption of distributed analytics in the MENA region. The findings highlight the critical importance of capacity building, bidirectional knowledge exchange, proof-of-concept validation, and administrative engagement for deploying trustworthy AI and modern data infrastructures in sensitive healthcare environments. We by emphasizing the need for further developments regarding federated learning and Data Lakehouse adoption in Tunisia, and how cross-regional partnerships can accelerate responsible, privacy-preserving digital health innovation.</t>
  </si>
  <si>
    <t>Taieb, Mohamed Ali Hadj; Merdassi, Mohamed; Tlili, Aymen; Bouri, Mohamed Ali; Abdallah, Moheddine Ben; Gnuito, Debora; Turki, Houcemeddine; Kammoun, Mohamed Habib; Ouerda, Zied; Jaberansary, Mehrshad; Schultz, Bruce; Tang, Fu-Sung Kim-Benjamin; Koumpis, Adamantios; Aouicha, Mohamed Ben; Beyan, Oya</t>
  </si>
  <si>
    <t>Koumpis, A (corresponding author), Univ Cologne, Inst Biomed Informat, Fac Med, Cologne, Germany.; Koumpis, A (corresponding author), Univ Hosp Cologne, Cologne, Germany.</t>
  </si>
  <si>
    <t>adamantios.koumpis@uk-koeln.de</t>
  </si>
  <si>
    <t>German Academic Exchange Service (DAAD-Deutscher Akademischer Austauschdienst); Federal Foreign Office (AA)</t>
  </si>
  <si>
    <t>German Academic Exchange Service (DAAD-Deutscher Akademischer Austauschdienst) (Deutscher Akademischer Austausch Dienst (DAAD)); Federal Foreign Office (AA)</t>
  </si>
  <si>
    <t>The author(s) declared that financial support was received for this work and/or its publication. This research was generously funded by the German Academic Exchange Service (DAAD-Deutscher Akademischer Austauschdienst) and the programme line 'Ta'ziz Short-Term Measures' under the 'Ta'ziz Partnership' programme using funds from the Federal Foreign Office (AA).</t>
  </si>
  <si>
    <t>[Taieb, Mohamed Ali Hadj; Merdassi, Mohamed; Tlili, Aymen; Bouri, Mohamed Ali; Abdallah, Moheddine Ben; Gnuito, Debora; Turki, Houcemeddine; Kammoun, Mohamed Habib; Ouerda, Zied; Aouicha, Mohamed Ben] Univ Sfax, Fac Sci Sfax, Data Engn &amp; Semant Res Unit, Sfax, Tunisia; [Jaberansary, Mehrshad; Schultz, Bruce; Tang, Fu-Sung Kim-Benjamin; Koumpis, Adamantios; Beyan, Oya] Univ Cologne, Inst Biomed Informat, Fac Med, Cologne, Germany; [Jaberansary, Mehrshad; Schultz, Bruce; Tang, Fu-Sung Kim-Benjamin; Koumpis, Adamantios; Beyan, Oya] Univ Hosp Cologne, Cologne, Germany</t>
  </si>
  <si>
    <t>Universite de Sfax; Faculty of Sciences Sfax; University of Cologne; University of Cologne</t>
  </si>
  <si>
    <t>Federated learning and Data Lakehouse for healthcare analytics: a knowledge transfer initiative between Germany and Tunisia</t>
  </si>
  <si>
    <t>Data Lakehouse; federated learning; Germany; healthcare; knowledge transfer; Tunisia</t>
  </si>
  <si>
    <t>Taieb, Mohamed/AAF-6473-2019</t>
  </si>
  <si>
    <t>APR 21 2026</t>
  </si>
  <si>
    <t>1759016</t>
  </si>
  <si>
    <t>10.3389/fmed.2026.1759016</t>
  </si>
  <si>
    <t>http://dx.doi.org/10.3389/fmed.2026.1759016</t>
  </si>
  <si>
    <t>APR 2026</t>
  </si>
  <si>
    <t>HK1OF</t>
  </si>
  <si>
    <t>42094954</t>
  </si>
  <si>
    <t>WOS:001755973000001</t>
  </si>
  <si>
    <t>Sridharan, K; Sivaramakrishnan, G</t>
  </si>
  <si>
    <t>Background and purpose: Tamoxifen is a cornerstone of adjuvant endocrine therapy for breast cancer, yet significant inter-individual variability in treatment response and mortality exists. Identifying robust predictors of outcomes remains a critical need. This study integrated machine learning, explainable artificial intelligence (XAI) and Bayesian modelling to predict mortality and identify key prognostic factors in breast cancer patients receiving adjuvant tamoxifen. Experimental approach: We analysed data from 568 patients from the International Tamoxifen Pharmacogenomics Consortium database. The outcome was all-cause mortality, with predictors including age, race, menopausal status, tumour size, estrogen receptor status, radiation treatment, and CYP2D6 metabolizer status. Four algorithms, logistic regression, random forest, eXtreme Gradient Boosting (XGBoost) and support vector machine, were developed and validated. Model performance was assessed using accuracy and area under the receiver operating characteristic curve (AUC). SHapley Additive exPlanations (SHAP) analysis provided interpretability for the XGBoost model, and Bayesian logistic regression with weakly informative priors was employed for probabilistic inference. Key results: The overall mortality rate was 19.4 %. XGBoost demonstrated the highest discriminative ability (AUC 0.833; 95 % confidence interval: 0.725 to 0.941), while random forest exhibited superior sensitivity for identifying deceased patients (83.3 %). SHAP analysis revealed that white race, increased age, absence of radiation treatment, larger tumour size and the CYP2D6 poor metabolizer (PM/PM) genotype were associated with elevated mortality risk, whereas the extensive metabolizer (EM/EM) genotype was protective. Significant variability was observed in exploratory subgroup analyses, with the model achieving excellent discrimination in patients without radiation treatment (AUC 0.901) and those with the EM/PM genotype (AUC 0.956) but failing to identify any mortality events in the Caucasian subgroup. Bayesian logistic regression yielded comparable performance to frequentist methods (AUC 0.820), with tumour size emerging as a consistently strong predictor in partial dependence plots. Conclusion: Integrating machine learning with XAI and Bayesian approaches effectively identified key predictors of mortality in tamoxifen-treated breast cancer patients. However, marked heterogeneity in model performance across subgroups highlights the critical need for external validation and careful evaluation of algorithmic fairness before clinical implementation. (c) 2026 by the authors. This article is an open-access article distributed under the terms and conditions of the Creative Commons Attribution license (http://creativecommons.org/licenses/by/4.0/).</t>
  </si>
  <si>
    <t>Sridharan, Kannan; Sivaramakrishnan, Gowri</t>
  </si>
  <si>
    <t>Sridharan, K (corresponding author), Arabian Gulf Univ, Coll Med &amp; Hlth Sci, Dept Pharmacol &amp; Therapeut, Manama, Bahrain.</t>
  </si>
  <si>
    <t>skannandr@gmail.com</t>
  </si>
  <si>
    <t>[Sridharan, Kannan] Arabian Gulf Univ, Coll Med &amp; Hlth Sci, Dept Pharmacol &amp; Therapeut, Manama, Bahrain; [Sivaramakrishnan, Gowri] Bahrain Def Force Royal Med Serv, Riffa, Bahrain</t>
  </si>
  <si>
    <t>Arabian Gulf University</t>
  </si>
  <si>
    <t>Mortality prediction with adjuvant tamoxifen in breast cancer: Machine learning-integrated explainable artificial intelligence and Bayesian model results</t>
  </si>
  <si>
    <t>ADMET AND DMPK</t>
  </si>
  <si>
    <t>Selective estrogen receptor modulator; personalized medicine; extreme gradient boosting; hormonal therapy</t>
  </si>
  <si>
    <t>CYP2D6 POLYMORPHISMS; ENDOCRINE THERAPY; WOMEN; OUTCOMES; OLDER</t>
  </si>
  <si>
    <t>Sridharan, Kannan/S-9300-2019; Sivaramakrishnan, Gowri/LHA-4016-2024</t>
  </si>
  <si>
    <t>IAPC PUBLISHING</t>
  </si>
  <si>
    <t>ZAGREB</t>
  </si>
  <si>
    <t>S ALICA 4, ZAGREB, HR-10000, CROATIA</t>
  </si>
  <si>
    <t>1848-7718</t>
  </si>
  <si>
    <t>ADMET DMPK</t>
  </si>
  <si>
    <t>3321</t>
  </si>
  <si>
    <t>10.5599/admet.3321</t>
  </si>
  <si>
    <t>http://dx.doi.org/10.5599/admet.3321</t>
  </si>
  <si>
    <t>Chemistry, Medicinal; Pharmacology &amp; Pharmacy</t>
  </si>
  <si>
    <t>Pharmacology &amp; Pharmacy</t>
  </si>
  <si>
    <t>HO7KP</t>
  </si>
  <si>
    <t>42100630</t>
  </si>
  <si>
    <t>WOS:001759087600001</t>
  </si>
  <si>
    <t>Singh, H; Mishra, BK; Narayan, J; Kansal, P; Kansal, S</t>
  </si>
  <si>
    <t>Lung cancer remains one of the most prevalent and deadly forms of cancer worldwide, necessitating robust predictive models for early detection and diagnosis. In this study, we present a deep hybrid architecture for lung cancer prediction using demographic and clinical features from the Survey Lung Cancer dataset. The proposed framework integrates MLP-Mixer modules with a regression branch for continuous severity estimation and a classification branch for binary diagnosis. In addition, we enhance conventional XGBoost and Multilayer Perceptron (MLP) classifiers with SHAP (Shapley Additive exPlanations) to provide model-agnostic feature attributions and improve clinical interpretability. The dataset comprises 284 patient records with 16 features and is evaluated using a 70/30 train-test split and 5-fold cross-validation to assess robustness. Under this evaluation protocol, the MLP classifier achieves an accuracy of 98.39%, with a precision of 0.9836, a recall (sensitivity) of 0.9936, and an F1-score of 0.9917, indicating strong agreement between precision and recall. The XGBoost model attains a competitive accuracy of 96.77% on the same test set, supporting the generalizability of the framework across different classifier backbones. SHAP-based analyses provide intuitive visual explanations that quantify the contribution of each clinical and demographic feature to the final predictions, aligning with established medical reasoning. Overall, the proposed framework combines high predictive performance with transparent feature-level explanations, offering a promising decision-support tool for the early detection and diagnosis of lung cancer.</t>
  </si>
  <si>
    <t>Singh, Hardik; Mishra, Bajrangi Kumar; Narayan, Jyotindra; Kansal, Priya; Kansal, Sachin</t>
  </si>
  <si>
    <t>Narayan, J (corresponding author), Indian Inst Technol Patna, Dept Mech Engn, Smart Healthcare &amp; Robot Interfacing Lab, Patna, Bihar, India.</t>
  </si>
  <si>
    <t>jnarayan@iitp.ac.in</t>
  </si>
  <si>
    <t>Department of Computer Science and Engineering at the Thapar Institute of Engineering Technology in Patiala</t>
  </si>
  <si>
    <t>We appreciate the assistance of the Department of Computer Science and Engineering at the Thapar Institute of Engineering Technology in Patiala, Punjab, in making the facility available.</t>
  </si>
  <si>
    <t>[Singh, Hardik; Kansal, Priya] Thapar Inst Engn &amp; Technol, Comp Sci &amp; Engn Dept, Patiala, Punjab, India; [Mishra, Bajrangi Kumar; Kansal, Sachin] Thapar Inst Engn &amp; Technol, Civil Engn Dept, Patiala, Punjab, India; [Narayan, Jyotindra] Indian Inst Technol Patna, Dept Mech Engn, Smart Healthcare &amp; Robot Interfacing Lab, Patna, Bihar, India</t>
  </si>
  <si>
    <t>Thapar Institute of Engineering &amp; Technology; Thapar Institute of Engineering &amp; Technology; Indian Institute of Technology (IIT) - Patna; Indian Institute of Technology System (IIT System)</t>
  </si>
  <si>
    <t>XAI-LungCancer: an eXplainable AI-based deep learning framework for predicting lung cancer using MLP-mixer and SHAP-enhanced classifiers</t>
  </si>
  <si>
    <t>ENGINEERING RESEARCH EXPRESS</t>
  </si>
  <si>
    <t>lung cancer detection; MLP-Mixer; regression; XGBoost classifier; SHAP explainability; clinical features; interpretability</t>
  </si>
  <si>
    <t>CONVOLUTIONAL NEURAL-NETWORKS</t>
  </si>
  <si>
    <t>NARAYAN, JYOTINDRA/AAE-9306-2021; /AAR-8943-2020</t>
  </si>
  <si>
    <t>NARAYAN, JYOTINDRA/0000-0002-2499-6039; singh, Hardik/0009-0003-9114-3460</t>
  </si>
  <si>
    <t>IOP Publishing Ltd</t>
  </si>
  <si>
    <t>Bristol</t>
  </si>
  <si>
    <t>No.2 The Distillery, Glassfields, Avon Street, Bristol, ENGLAND</t>
  </si>
  <si>
    <t>2631-8695</t>
  </si>
  <si>
    <t>ENG RES EXPRESS</t>
  </si>
  <si>
    <t>Eng. Res. Express</t>
  </si>
  <si>
    <t>FEB 1 2026</t>
  </si>
  <si>
    <t>035233</t>
  </si>
  <si>
    <t>10.1088/2631-8695/ae3ed1</t>
  </si>
  <si>
    <t>http://dx.doi.org/10.1088/2631-8695/ae3ed1</t>
  </si>
  <si>
    <t>Engineering, Multidisciplinary</t>
  </si>
  <si>
    <t>Engineering</t>
  </si>
  <si>
    <t>DM8IE</t>
  </si>
  <si>
    <t>WOS:001687167700001</t>
  </si>
  <si>
    <t>Priyanka, R; Gajendran, G; Boulaaras, S; Tantawy, SS</t>
  </si>
  <si>
    <t>Pneumonia remains a predominant cause of morbidity and mortality among children, particularly in low- and middle-income countries, highlighting the urgent need for timely and accurate diagnostic approaches. Conventional diagnostic methods, however, are often hindered by limited healthcare infrastructure, subjective interpretation of Chest X-ray (CXR) images, and lack of awareness, particularly in underserved regions. While deep learning approaches show promise in automating pneumonia detection, they are often challenged by issues such as sensitivity to noisy images, class imbalance, and limited interpretability. In response to these challenges, we present pediapulmoDx, an innovative deep learning framework for pediatric pneumonia diagnosis from CXR images. This model integrates a suite of advanced preprocessing techniques, including Contrast-Limited Adaptive Histogram Equalization (CLAHE), Otsu's thresholding, data augmentation, and edge detection. Furthermore, pediapulmoDx employs robust feature extraction methods, such as Local Binary Patterns (LBP) and Histogram of Oriented Gradients (HOG), to enhance feature representation and improve robustness against variations in image quality. At the core of our diagnostic framework is DenseNet121, a cutting-edge convolutional neural network (CNN) renowned for its superior feature extraction capabilities and classification efficiency. To enhance the transparency and interpretability of the model, we incorporate advanced explainable AI techniques, specifically Grad-CAM and Guided Grad-CAM, to generate heatmaps that highlight the pivotal image regions influencing the model's predictions. These visualizations not only provide clarity but also facilitate clinical validation by enabling practitioners to understand the rationale behind the models diagnostic outputs. Experimental evaluations reveal the outstanding performance of pediapulmoDx, achieving exceptional diagnostic metrics, including sensitivity of 99.60%, specificity of 99.80%, an F1-score of 99.70%, an AUC of 99.97%, and an overall accuracy of 99.97%. These results underscore the frameworks efficacy in delivering precise and reliable pediatric pneumonia detection. By combining state-of-the-art preprocessing techniques, robust feature extraction, advanced neural network architectures, and explainable AI, pediapulmoDx sets a new benchmark in pediatric pneumonia diagnosis, bridging the gap between cutting-edge technology and clinical decision-making.</t>
  </si>
  <si>
    <t>Priyanka, R.; Gajendran, G.; Boulaaras, Salah; Tantawy, Seham Sh.</t>
  </si>
  <si>
    <t>Gajendran, G (corresponding author), SRM Inst Sci &amp; Technol, Coll Engn &amp; Technol, Dept Math, Kattankulathur 603203, Tamilnadu, India.; Boulaaras, S; Tantawy, SS (corresponding author), Qassim Univ, Coll Sci, Dept Math, Buraydah 51452, Saudi Arabia.</t>
  </si>
  <si>
    <t>se.mohamed@qu.edu.sa; s.boularas@qu.edu.sa; gajendrg@srmist.edu.in</t>
  </si>
  <si>
    <t>Deanship of Grad-uate Studies and Scientific Research at Qassim University [QU-APC-2025]</t>
  </si>
  <si>
    <t>Deanship of Grad-uate Studies and Scientific Research at Qassim University</t>
  </si>
  <si>
    <t>Funding Funding: The researchers would like to thank the Deanship of Grad-uate Studies and Scientific Research at Qassim University for financial support (QU-APC-2025) .</t>
  </si>
  <si>
    <t>[Priyanka, R.; Gajendran, G.] SRM Inst Sci &amp; Technol, Coll Engn &amp; Technol, Dept Math, Kattankulathur 603203, Tamilnadu, India; [Boulaaras, Salah; Tantawy, Seham Sh.] Qassim Univ, Coll Sci, Dept Math, Buraydah 51452, Saudi Arabia</t>
  </si>
  <si>
    <t>SRM Institute of Science &amp; Technology Chennai; Qassim University</t>
  </si>
  <si>
    <t>PediaPulmoDx: Harnessing cutting edge preprocessing and explainable AI for pediatric chest X-ray classification with DenseNet121</t>
  </si>
  <si>
    <t>RESULTS IN ENGINEERING</t>
  </si>
  <si>
    <t>CLAHE; Clinical decision support; DenseNet121; Data augmentation; Edge detection; Feature extraction; Otsu; Pediatric CXR</t>
  </si>
  <si>
    <t>PNEUMONIA</t>
  </si>
  <si>
    <t>Boulaaras, Salah/ABB-4265-2022</t>
  </si>
  <si>
    <t>G, Gajendran/0000-0002-6087-0708; R, Priyanka/0009-0007-0787-9125</t>
  </si>
  <si>
    <t>2590-1230</t>
  </si>
  <si>
    <t>RESULTS ENG</t>
  </si>
  <si>
    <t>Results Eng.</t>
  </si>
  <si>
    <t>MAR 2025</t>
  </si>
  <si>
    <t>104320</t>
  </si>
  <si>
    <t>10.1016/j.rineng.2025.104320</t>
  </si>
  <si>
    <t>http://dx.doi.org/10.1016/j.rineng.2025.104320</t>
  </si>
  <si>
    <t>JAN 2025</t>
  </si>
  <si>
    <t>X6Y9C</t>
  </si>
  <si>
    <t>WOS:001426789500001</t>
  </si>
  <si>
    <t>Cruz, A; Salazar, T; Carvalho, M; Maças, C; Machado, P; Abreu, PH</t>
  </si>
  <si>
    <t>The use of machine learning in decision-making has become increasingly pervasive across various fields, from healthcare to finance, enabling systems to learn from data and improve their performance over time. The transformative impact of these new technologies warrants several considerations that demand the development of modern solutions through responsible artificial intelligence-the incorporation of ethical principles into the creation and deployment of AI systems. Fairness is one such principle, ensuring that machine learning algorithms do not produce biased outcomes or discriminate against any group of the population with respect to sensitive attributes, such as race or gender. In this context, visualization techniques can help identify data imbalances and disparities in model performance across different demographic groups. However, there is a lack of guidance towards clear and effective representations that support entry-level users in fairness analysis, particularly when considering that the approaches to fairness visualization can vary significantly. In this regard, the goal of this work is to present a comprehensive analysis of current tools directed at visualizing and examining group fairness in machine learning, with a focus on both data and binary classification model outcomes. These visualization tools are reviewed and discussed, concluding with the proposition of a focused set of visualization guidelines directed towards improving the comprehensibility of fairness visualizations.</t>
  </si>
  <si>
    <t>Cruz, Antonio; Salazar, Teresa; Carvalho, Manuel; Macas, Catarina; Machado, Penousal; Abreu, Pedro Henriques</t>
  </si>
  <si>
    <t>Cruz, A (corresponding author), Univ Coimbra, Ctr Informat &amp; Syst, CISUC,LASI, Dept Informat Engn, P-3030290 Coimbra, Portugal.; Cruz, A (corresponding author), Univ Coimbra, Fac Med, CNC UC Ctr Neurosci &amp; Cell Biol, Rua Larga, P-3004504 Coimbra, Portugal.; Cruz, A (corresponding author), Univ Coimbra, Fac Med, CiBB Ctr Innovat Biomed &amp; Biotechnol, Rua Larga, P-3004504 Coimbra, Portugal.</t>
  </si>
  <si>
    <t>cmacas@dei.uc.pt; pha@dei.uc.pt; machado@dei.uc.pt; tmsalazar@dei.uc.pt; mcc@dei.uc.pt; antonioc@dei.uc.pt</t>
  </si>
  <si>
    <t>FCT|FCCN (b-on)</t>
  </si>
  <si>
    <t>FCT|FCCN (b-on) (Fundacao para a Ciencia e a Tecnologia (FCT))</t>
  </si>
  <si>
    <t>Open access funding provided by FCT|FCCN (b-on). All funding information is detailed in the Acknowledgements section.</t>
  </si>
  <si>
    <t>[Cruz, Antonio; Salazar, Teresa; Carvalho, Manuel; Macas, Catarina; Machado, Penousal; Abreu, Pedro Henriques] Univ Coimbra, Ctr Informat &amp; Syst, CISUC,LASI, Dept Informat Engn, P-3030290 Coimbra, Portugal; [Cruz, Antonio] Univ Coimbra, Fac Med, CNC UC Ctr Neurosci &amp; Cell Biol, Rua Larga, P-3004504 Coimbra, Portugal; [Cruz, Antonio] Univ Coimbra, Fac Med, CiBB Ctr Innovat Biomed &amp; Biotechnol, Rua Larga, P-3004504 Coimbra, Portugal</t>
  </si>
  <si>
    <t>Universidade de Coimbra; Universidade de Coimbra; Universidade de Coimbra</t>
  </si>
  <si>
    <t>Guidelines for designing visualization tools for group fairness analysis in binary classification</t>
  </si>
  <si>
    <t>Information visualization; Fairness visualization; Group fairness; Machine learning; Responsible artificial intelligence</t>
  </si>
  <si>
    <t>OF-THE-ART; VISUAL ANALYTICS; BIAS</t>
  </si>
  <si>
    <t>Maçãs, Catarina/HJY-6155-2023; Penousal Martins Machado, Fernando Jorge/A-8370-2013; Henriques Abreu, Pedro/ABE-1698-2020; Machado, Penousal/A-8370-2013</t>
  </si>
  <si>
    <t>Maçãs, Catarina/0000-0002-4511-5763; Penousal Martins Machado, Fernando Jorge/0000-0002-6308-6484; Cruz, António/0000-0001-9812-5781; Henriques Abreu, Pedro/0000-0002-9278-8194; Carvalho, Manuel/0000-0002-8323-3445; Salazar, Teresa/0000-0003-2471-5783</t>
  </si>
  <si>
    <t>75</t>
  </si>
  <si>
    <t>MAR 24 2025</t>
  </si>
  <si>
    <t>58</t>
  </si>
  <si>
    <t>182</t>
  </si>
  <si>
    <t>10.1007/s10462-025-11179-w</t>
  </si>
  <si>
    <t>http://dx.doi.org/10.1007/s10462-025-11179-w</t>
  </si>
  <si>
    <t>0MR7M</t>
  </si>
  <si>
    <t>WOS:001451024500001</t>
  </si>
  <si>
    <t>hybrid</t>
  </si>
  <si>
    <t>Shiddik, MA</t>
  </si>
  <si>
    <t>Background and Aims Dengue fever is a rapidly expanding vector-borne disease that poses significant global epidemiological and public health challenges. Accurate and interpretable forecasting is essential for timely interventions, yet most models overlook spatiotemporal, sex-specific, and country-level heterogeneity in disease dynamics. This study aimed to develop a robust explainable AI (XAI) framework to predict dengue incidence globally and identify key environmental, health system, and socio-economic drivers.Methods A Convolutional Long Short-Term Memory (ConvLSTM) network was applied to predict dengue incidence across 118 countries from 2000 to 2021. The data set included total, male, and female dengue incodence alongside 20 climatic, environmental, health system, and socio-economic predictors. The model was trained using data from 2000 to 2018 and tested on 2019-2021. Model performance was evaluated using RMSE, MAE, R &amp; sup2;, and adjusted R &amp; sup2;. Feature contributions were assessed through multiple XAI approaches: SHAP values, permutation importance, +/- 50% perturbation sensitivity perturbations, integrated gradients (IG), and layer-wise relevance propagation (LRP).Results ConvLSTM achieved the best predictive performance (R &amp; sup2; = 0.7731), demonstrating suitability for national-level public health planning. Sex-specific analysis revealed that annual freshwater withdrawals (SHAP: 44.37%; IG: 0.41; LRP: 0.38) dominated male dengue incidence, whereas hospital bed density had a greater influence for females (SHAP: 31.86%; IG: 0.34; LRP: 0.32). Temperature anomalies contributed consistently to both sexes (SHAP: 11.51%; IG: 0.18; LRP: 0.17). Country-level contributions highlighted electricity access (India: 97.35%; Bangladesh: 89.62%) and UHC coverage (Bangladesh: 8.33%) as key socio-economic determinants, with environmental and healthcare factors such as community health resources (Afghanistan: 35.42%; Brazil: 9.00%) further shaping sex-specific patterns. Sensitivity analysis indicated dengue incidence varied from -65% to +91% under +/- 50% predictor perturbations, underscoring model responsiveness and targeted intervention potential.Conclusion By integrating SHAP, IG, and LRP, the ConvLSTM-XAI framework provides transparent, sex-aware, and country-specific dengue forecasts. The results support targeted, climate-resilient, and equitable dengue control strategies.</t>
  </si>
  <si>
    <t>Shiddik, Md. Abu Bokkor</t>
  </si>
  <si>
    <t>Shiddik, MA (corresponding author), Begum Rokeya Univ, Dept Stat, Rangpur, Bangladesh.</t>
  </si>
  <si>
    <t>abubokkor.brur60@gmail.com</t>
  </si>
  <si>
    <t>[Shiddik, Md. Abu Bokkor] Begum Rokeya Univ, Dept Stat, Rangpur, Bangladesh</t>
  </si>
  <si>
    <t>Global Prediction of Dengue Incidence Using an Explainable Artificial Intelligence-Driven ConvLSTM Integrating Environmental, Health, and Socio-Economic Determinants</t>
  </si>
  <si>
    <t>HEALTH SCIENCE REPORTS</t>
  </si>
  <si>
    <t>deep learning; feature attribution; public health forecasting; spatiotemporal modeling; vector-borne diseases</t>
  </si>
  <si>
    <t>SENSITIVITY-ANALYSIS</t>
  </si>
  <si>
    <t>Shiddik, Md Abu Bokkor/NQF-2693-2025</t>
  </si>
  <si>
    <t>2398-8835</t>
  </si>
  <si>
    <t>HEALTH SCI REP-US</t>
  </si>
  <si>
    <t>Health Sci. Rep.</t>
  </si>
  <si>
    <t>APR 6 2026</t>
  </si>
  <si>
    <t>e72280</t>
  </si>
  <si>
    <t>10.1002/hsr2.72280</t>
  </si>
  <si>
    <t>http://dx.doi.org/10.1002/hsr2.72280</t>
  </si>
  <si>
    <t>Public, Environmental &amp; Occupational Health; Medicine, General &amp; Internal</t>
  </si>
  <si>
    <t>Public, Environmental &amp; Occupational Health; General &amp; Internal Medicine</t>
  </si>
  <si>
    <t>GC7OQ</t>
  </si>
  <si>
    <t>41953901</t>
  </si>
  <si>
    <t>WOS:001733290600001</t>
  </si>
  <si>
    <t>Rossberg, N; Gautam, R; Komolibus, K; O'Sullivan, B; Visentin, A</t>
  </si>
  <si>
    <t>Background: Raman Spectroscopy is a non-invasive technique capable of characterising tissue constituents and detecting conditions such as cancer with high accuracy. Machine learning techniques can automate this task and discover relevant data patterns. However, the high-dimensional, multicollinear nature of Raman data makes their deployment and explainability challenging. A model's transparency and ability to explain decision pathways have become crucial for medical integration. Consequently, an effective method of feature-reduction while minimising information loss is sought. Methods: Two new feature selection methods for Raman spectroscopy are introduced. These methods are based on explainable deep learning approaches, considering Convolutional Neural Networks and Transformers. Their features are extracted using GradCam and attention scores, respectively. The performance of the extracted features is compared to established feature selection approaches across four classifiers and three datasets. Results: We compared the proposed method against established feature selection approaches over three real-world datasets and different compression levels. Comparable accuracy levels were obtained using only 10% of features. Model-based approaches are the most accurate. Using Convolutional Neural Networks and Random Forest-assigned feature importance performs best when maintaining between 5-20% of features, while LinearSVC with L1 penalisation leads to higher accuracy when selecting only 1% of them. The proposed Convolutional Neural Networks-based GradCam approach has the highest average accuracy. Conclusions: No approach is found to perform best in all scenarios, suggesting that multiple alternatives should be assessed in each application.</t>
  </si>
  <si>
    <t>Rossberg, Nicola; Gautam, Rekha; Komolibus, Katarzyna; O'Sullivan, Barry; Visentin, Andrea</t>
  </si>
  <si>
    <t>Rossberg, N (corresponding author), Univ Coll Cork, Taighde Eireann Res Ireland Ctr Res Training Arti, Coll Rd, Cork T12 K8AF, Ireland.; Rossberg, N (corresponding author), Univ Coll Cork, Sch Comp Sci &amp; Informat Technol, Coll Rd, Cork T12 K8AF, Ireland.</t>
  </si>
  <si>
    <t>rekha.gautam@tyndall.ie; katarzyna.komolibus@tyndall.ie; osullivan.barry@ucc.ie; n.rossberg@cs.ucc.ie; andrea.visentin@ucc.ie</t>
  </si>
  <si>
    <t>Taighde Eireann-Research Ireland [18/CRT/6223, 12/RC/2289-P2]; European Regional Development Fund</t>
  </si>
  <si>
    <t>Taighde Eireann-Research Ireland; European Regional Development Fund (European Union (EU))</t>
  </si>
  <si>
    <t>This work was supported by the Taighde Eireann-Research Ireland under Grant 18/CRT/6223 and 12/RC/2289-P2, which are co-funded under the European Regional Development Fund.</t>
  </si>
  <si>
    <t>[Rossberg, Nicola; O'Sullivan, Barry; Visentin, Andrea] Univ Coll Cork, Taighde Eireann Res Ireland Ctr Res Training Arti, Coll Rd, Cork T12 K8AF, Ireland; [Rossberg, Nicola; O'Sullivan, Barry; Visentin, Andrea] Univ Coll Cork, Sch Comp Sci &amp; Informat Technol, Coll Rd, Cork T12 K8AF, Ireland; [Gautam, Rekha; Komolibus, Katarzyna] Tyndall Natl Inst, Lee Maltings Complex Dyke Parade, Cork T12 R5CP, Ireland; [O'Sullivan, Barry; Visentin, Andrea] Univ Coll Cork, Insight Ctr Data Analyt, Coll Rd, Cork T12 K8AF, Ireland</t>
  </si>
  <si>
    <t>University College Cork; University College Cork; University College Cork; University College Cork</t>
  </si>
  <si>
    <t>Explainable AI-Based Feature Selection Approaches for Raman Spectroscopy</t>
  </si>
  <si>
    <t>Explainable AI; Biophotonics; machine learning; Tissue Classification; feature selection; Raman spectroscopy</t>
  </si>
  <si>
    <t>Rossberg, Nicola/NWI-1245-2025; Gautam, Rekha/O-9597-2015; Komolibus, Katarzyna/KLE-2862-2024</t>
  </si>
  <si>
    <t>O'Sullivan, Barry/0000-0002-0090-2085; Gautam, Rekha/0000-0002-1176-8491; Visentin, Andrea/0000-0003-3702-4826; Rossberg, Nicola Caroline/0009-0005-3883-5833; Komolibus, Katarzyna/0000-0003-4545-6100</t>
  </si>
  <si>
    <t>AUG 18 2025</t>
  </si>
  <si>
    <t>2063</t>
  </si>
  <si>
    <t>10.3390/diagnostics15162063</t>
  </si>
  <si>
    <t>http://dx.doi.org/10.3390/diagnostics15162063</t>
  </si>
  <si>
    <t>6OV4C</t>
  </si>
  <si>
    <t>40870915</t>
  </si>
  <si>
    <t>WOS:001558469900001</t>
  </si>
  <si>
    <t>Senevirathna, T; Sandeepa, C; Siniarski, B; Nguyen, MD; Marchal, S; Boerger, M; Liyanage, M; Wang, S</t>
  </si>
  <si>
    <t>In the rapidly evolving landscape of networking and security, the adoption of artificial intelligence (AI) is accelerating to meet the demands of real-time, data-driven applications. Current AI development processes predominantly prioritize model utility metrics such as accuracy, precision, and recall, often overlooking critical trustworthiness aspects like accountability, resilience to adversarial attacks, and privacy. To address this gap, we propose a novel AI/Machine Learning (ML) development process that systematically integrates trustworthiness metrics alongside traditional model utility measures. Our process emphasizes the iterative development of trustworthy AI models by balancing performance, accountability, resilience, and privacy through the incorporation of eXplainable AI (XAI) techniques. We validate the effectiveness of our methodology across four distinct networking and security use cases. In encrypted traffic classification, LightGBM emerges as the most practical model, offering a strong balance of utility, accountability, and robustness despite Neural Networks achieving the highest raw performance. For malware detection, feature reduction in the MalDoc model yields a minimal utility loss (&lt;0.7%) while substantially enhancing resilience to evasion attacks (10-80%). In assessing privacy trade-offs in Federated Learning, we observe that although strong differential privacy significantly degrades utility (up to 70% on MNIST), it enables early-stage privacy protection without fully masking poisoned client behaviour, which remains detectable through SHAP and t-SNE-based analysis. Lastly, in a smart healthcare emergency e-call scenario, our 1D CNN model achieves not only strong predictive performance (96.21% accuracy, 91.55% precision, 93.13% recall) but also provides stable and interpretable explanations using LRP and SHAP, with LRP demonstrating higher consistency across ECG segments. Therefore, unlike prior studies that focus on isolated aspects such as accountability or resilience, our work proposes a holistic, quantifiable process that balances the trade-offs among model utility, accountability, resilience, and privacy to support the development of trustworthy AI models in communication systems.</t>
  </si>
  <si>
    <t>Senevirathna, Thulitha; Sandeepa, Chamara; Siniarski, Bartlomiej; Nguyen, Manh-Dung; Marchal, Samuel; Boerger, Michell; Liyanage, Madhusanka; Wang, Shen</t>
  </si>
  <si>
    <t>Senevirathna, T (corresponding author), Univ Coll Dublin, Sch Comp Sci, Dublin 4, Ireland.</t>
  </si>
  <si>
    <t>thulitha.senevirathna@ucdconnect.ie</t>
  </si>
  <si>
    <t>European Union [101021808]; AI4CYBER Project [101070450]; Science Foundation Ireland [13/RC/2077_P2]</t>
  </si>
  <si>
    <t>European Union (European Union (EU)); AI4CYBER Project; Science Foundation Ireland (Science Foundation Ireland (SFI))</t>
  </si>
  <si>
    <t>This work was supported in part by the European Union through the SPATIAL Project under Grant 101021808 and through the AI4CYBER Project under Grant 101070450, and in part by the Science Foundation Ireland through CONNECT Phase 2 Projects under Grant 13/RC/2077_P2.</t>
  </si>
  <si>
    <t>[Senevirathna, Thulitha] Univ Coll Dublin, Sch Comp Sci, Dublin 4, Ireland; [Sandeepa, Chamara] Montimage, F-75013 Paris, France; [Siniarski, Bartlomiej] VTT Tech Res Ctr Finland, Espoo 02150, Finland; [Nguyen, Manh-Dung] Fraunhofer Inst Open Commun Syst, D-10589 Berlin, Germany</t>
  </si>
  <si>
    <t>University College Dublin; VTT Technical Research Center Finland; Fraunhofer Gesellschaft; Fraunhofer Germany; Fraunhofer Open Communication Systems</t>
  </si>
  <si>
    <t>Enhancing Accountability, Resilience, and Privacy of Intelligent Networks With XAI</t>
  </si>
  <si>
    <t>IEEE OPEN JOURNAL OF THE COMMUNICATIONS SOCIETY</t>
  </si>
  <si>
    <t>Artificial intelligence; Privacy; Resilience; Measurement; Iterative methods; Solid modeling; Medical services; Buildings; Stakeholders; Cryptography; AI; security; privacy; explainability; malware; traffic classification; federated learning; smart healthcare</t>
  </si>
  <si>
    <t>METRICS; AI</t>
  </si>
  <si>
    <t>Marchal, Samuel/PWH-2231-2026; Boerger, Michell/QTU-1464-2026; Liyanage, Madhusanka/N-1183-2013; Sandeepa, Chamara/JCD-4731-2023</t>
  </si>
  <si>
    <t>Marchal, Samuel/0000-0002-8522-2707; Siniarski, Bartlomiej/0000-0001-8249-7652; Millawa Gamage, Thulitha Theekshana Senevirathna/0000-0001-8413-3019; Wang, Shen/0000-0003-3660-1206; Liyanage, Madhusanka/0000-0003-4786-030X; Sandeepa, Chamara/0000-0002-3101-7097</t>
  </si>
  <si>
    <t>81</t>
  </si>
  <si>
    <t>2644-125X</t>
  </si>
  <si>
    <t>IEEE OPEN J COMM SOC</t>
  </si>
  <si>
    <t>IEEE Open J. Commun. Soc.</t>
  </si>
  <si>
    <t>8389</t>
  </si>
  <si>
    <t>8409</t>
  </si>
  <si>
    <t>10.1109/OJCOMS.2025.3608784</t>
  </si>
  <si>
    <t>http://dx.doi.org/10.1109/OJCOMS.2025.3608784</t>
  </si>
  <si>
    <t>Engineering, Electrical &amp; Electronic; Telecommunications</t>
  </si>
  <si>
    <t>Engineering; Telecommunications</t>
  </si>
  <si>
    <t>8LR9J</t>
  </si>
  <si>
    <t>WOS:001591651000003</t>
  </si>
  <si>
    <t>Venkatesh, RK; Pratyush, S; Shridevi, S</t>
  </si>
  <si>
    <t>Patient-specific seizure prediction systems typically operate under the assumption that preictal signatures are homogeneous within individual patients. However, this assumption has received limited systematic investigation. Intra-patient seizure heterogeneity-varying electrophysiological profiles across seizures within the same patient, represents a fundamental challenge to model robustness, causing performance instability that obscures clinical utility. This work presents a comprehensive four-stage methodology for investigating and quantifying intra-patient heterogeneity in seizure prediction. Leveraging CHB-MIT database recordings, we first establish a rigorous Leave-One-Seizure-Out (LOSO) cross-validation framework with temporally-controlled file pairing using a CNN-BiLSTM classifier to examine performance fluctuations across individual seizure events on a patient-specific basis. Second, we apply statistical screening to objectively identify patients and seizures exhibiting significant heterogeneity. Third, we employ seizure fingerprinting using t-SNE dimensionality reduction to confirm distinct electrophysiological clusters within patients. Fourth, we develop a formalized Grad-CAM++ interpretability framework to distinguish valid heterogeneity from interpretability failures. Applying this methodology to the CHB-MIT database, we demonstrate substantial baseline instability that improves dramatically following interpretability-based curation guided by our dual-validation approach. The method achieved mean sensitivity 94.3%, specificity 96.4%, F1-score 92.9%, and AUC 0.983, with an 89.3% reduction in performance variance while preserving electrophysiological diversity. This methodology advances seizure prediction toward interpretable, stable systems suitable for clinical deployment and biomarker discovery.</t>
  </si>
  <si>
    <t>Kishore Venkatesh, Raghav; Pratyush, S.; Shridevi, S.</t>
  </si>
  <si>
    <t>Shridevi, S (corresponding author), Vellore Inst Technol, Ctr Neuroinformat, Chennai 600127, India.</t>
  </si>
  <si>
    <t>shridevi.s@vit.ac.in</t>
  </si>
  <si>
    <t>Vellore Institute of Technology, Chennai</t>
  </si>
  <si>
    <t>This work was supported by the Vellore Institute of Technology, Chennai.</t>
  </si>
  <si>
    <t>[Kishore Venkatesh, Raghav; Pratyush, S.] Vellore Inst Technol, Sch Elect Engn, Chennai 600127, India; [Shridevi, S.] Vellore Inst Technol, Ctr Neuroinformat, Chennai 600127, India</t>
  </si>
  <si>
    <t>Vellore Institute of Technology (VIT); VIT Chennai</t>
  </si>
  <si>
    <t>Investigating Intra-Patient Seizure Heterogeneity via EEG Fingerprinting and Explainable AI</t>
  </si>
  <si>
    <t>Electroencephalography; Brain modeling; Measurement; Systematics; Transformers; Recording; Predictive models; Diversity reception; Deep learning; Sensitivity; Biomarker discovery; deep learning; electroencephalogram (EEG); explainable AI; intra-patient heterogeneity; seizure prediction</t>
  </si>
  <si>
    <t>NEURAL-NETWORKS</t>
  </si>
  <si>
    <t>S, Dr. Shridevi/ABI-7378-2020</t>
  </si>
  <si>
    <t>S, Pratyush/0009-0003-5427-8067; , Raghav Kishore Venkatesh/0009-0009-6840-1947; S, Shridevi/0000-0002-0038-7212</t>
  </si>
  <si>
    <t>199170</t>
  </si>
  <si>
    <t>199186</t>
  </si>
  <si>
    <t>10.1109/ACCESS.2025.3636046</t>
  </si>
  <si>
    <t>http://dx.doi.org/10.1109/ACCESS.2025.3636046</t>
  </si>
  <si>
    <t>J5807</t>
  </si>
  <si>
    <t>WOS:001627693200026</t>
  </si>
  <si>
    <t>Tang, MX; Liu, Y; Dong, LL</t>
  </si>
  <si>
    <t>Background The comorbidity of cataract and age-related macular degeneration (AMD) poses a significant public health burden. Traditional linear statistical models often fail to capture complex, non-linear interactions among risk factors. This study aimed to develop an interpretable machine learning framework to predict comorbidity risk and elucidate the synergistic effects of systemic and ocular factors. Methods A retrospective case-control study was conducted involving 640 participants (264 comorbidity cases and 376 controls). Fifteen multi-dimensional clinical features were extracted. Four machine learning algorithms-Logistic Regression, Random Forest, SVM, and XGBoost-were trained and validated. Model performance was assessed via AUROC, AUPRC, and calibration curves. SHapley Additive exPlanations (SHAP) and LIME were employed to visualize global and local interpretability. Results The XGBoost model demonstrated robust discriminative performance (AUC = 0.895, 95% CI: 0.85-0.93) and calibration compared to other algorithms. SHAP analysis identified drusen severity and lens opacity (LOCS III) as dominant ocular predictors, while C-reactive protein (CRP) and smoking were critical systemic contributors. Notably, interaction analysis revealed a non-linear synergistic effect: smoking was associated with an exponentially higher comorbidity risk in individuals aged &gt;75 years, whereas CRP exhibited a distinct saturation threshold effect. Decision curve analysis confirmed the model's high net clinical benefit across a wide range of threshold probabilities. Conclusion This study establishes a robust, clinically applicable risk stratification tool for cataract and AMD comorbidity. By uncovering non-linear interactions between aging, lifestyle, and inflammation, it provides valuable evidence-based support for personalized screening and preventive intervention.</t>
  </si>
  <si>
    <t>Tang, Mingxia; Liu, Yu; Dong, Lili</t>
  </si>
  <si>
    <t>Dong, LL (corresponding author), Nanjing Med Univ, Affiliated Taizhou Peoples Hosp, Taizhou Sch Clin Med, Dept Ophthalmol, Taizhou, Jiangsu, Peoples R China.</t>
  </si>
  <si>
    <t>13775662466@163.com</t>
  </si>
  <si>
    <t>[Tang, Mingxia; Liu, Yu; Dong, Lili] Nanjing Med Univ, Affiliated Taizhou Peoples Hosp, Taizhou Sch Clin Med, Dept Ophthalmol, Taizhou, Jiangsu, Peoples R China</t>
  </si>
  <si>
    <t>Nanjing Medical University</t>
  </si>
  <si>
    <t>Unveiling the non-linear synergistic effects of smoking and aging on cataract-AMD comorbidity: an explainable artificial intelligence approach</t>
  </si>
  <si>
    <t>Cataract and AMD comorbidity; Explainable AI (XAI); machine learning; risk stratification; XGBoost</t>
  </si>
  <si>
    <t>APR 13 2026</t>
  </si>
  <si>
    <t>1784189</t>
  </si>
  <si>
    <t>10.3389/fpubh.2026.1784189</t>
  </si>
  <si>
    <t>http://dx.doi.org/10.3389/fpubh.2026.1784189</t>
  </si>
  <si>
    <t>GZ8TI</t>
  </si>
  <si>
    <t>42052023</t>
  </si>
  <si>
    <t>WOS:001748998500001</t>
  </si>
  <si>
    <t>Ikechukwu, AV</t>
  </si>
  <si>
    <t>Chronic Obstructive Pulmonary Disease (COPD) is a predominant global health concern, ranking third in mortality rates, yet frequently remains undiagnosed until its advanced stages. Given its prevalence, the need for innovative and widely accessible diagnostic tools has never been more paramount. While spirometry tests serve as conventional diagnostic benchmarks, their reach remains limited, especially in regions with constrained medical resources. The presented research harnesses deep learning algorithms to facilitate early -stage COPD detection, specifically targeting Chest X-rays (CXRs). The clinically annotated VinDR-CXR dataset provides the primary foundation for model training, complemented by incorporating the ChestX-ray14 dataset for initial model pre -training. Such a dualdataset strategy augments model generalization and adaptability. Among several explored Convolutional Neural Network (CNN) architectures, the Xception model emerges as a frontrunner. Through transfer learning methodologies, this model produces a noteworthy recall rate of 98.2%, markedly surpassing the metrics of the ResNet50 model. Recognizing the imperative for transparency in AI applications in medical imaging, the research integrates essential explainability approaches viz: Gradient Class Activation Mapping (Grad -CAM) and SHapley Additive exPlanations (SHAP). These techniques elucidate the AI's decision -making process, offering invaluable visual and analytical insights for fostering trust among medical professionals. In essence, this study not only underscores the potential of integrating AI with medical imaging for COPD detection but also accentuates the pivotal role of transparency in AI -driven medical interventions.</t>
  </si>
  <si>
    <t>Ikechukwu, Agughasi Victor</t>
  </si>
  <si>
    <t>Ikechukwu, AV (corresponding author), Maharaja Inst Technol Mysore, Dept Comp Sci &amp; Engn, Belavadi 571477, Karnataka, India.</t>
  </si>
  <si>
    <t>victor.agughasi@gmail.com</t>
  </si>
  <si>
    <t>[Ikechukwu, Agughasi Victor] Maharaja Inst Technol Mysore, Dept Comp Sci &amp; Engn, Belavadi 571477, Karnataka, India</t>
  </si>
  <si>
    <t>Leveraging Transfer Learning for Efficient Diagnosis of COPD Using CXR Images and Explainable AI Techniques</t>
  </si>
  <si>
    <t>INTELIGENCIA ARTIFICIAL-IBEROAMERICAN JOURNAL OF ARTIFICIAL INTELLIGENCE</t>
  </si>
  <si>
    <t>COPD Diagnosis; Chest Radiography (CXR); Pre-trained Models; eXplainable AI; Grad-CAM; SHAP</t>
  </si>
  <si>
    <t>CONVOLUTIONAL NEURAL-NETWORKS; DEEP; DISEASE</t>
  </si>
  <si>
    <t>Agughasi, Victor Ikechukwu/ABU-3111-2022</t>
  </si>
  <si>
    <t>Agughasi, Victor Ikechukwu/0000-0002-1175-3089</t>
  </si>
  <si>
    <t>ASOC ESPANOLA INTELIGENCIA ARTIFICIAL</t>
  </si>
  <si>
    <t>VALENCIA</t>
  </si>
  <si>
    <t>FAC INFORMATICA, UNIV POLITECNICA VALENCIA, VALENCIA, SPAIN</t>
  </si>
  <si>
    <t>1137-3601</t>
  </si>
  <si>
    <t>1988-3064</t>
  </si>
  <si>
    <t>INTEL ARTIF-IBEROAM</t>
  </si>
  <si>
    <t>Inteligencia Artif.</t>
  </si>
  <si>
    <t>DEC 2024</t>
  </si>
  <si>
    <t>74</t>
  </si>
  <si>
    <t>133</t>
  </si>
  <si>
    <t>151</t>
  </si>
  <si>
    <t>10.4114/intartif.vol24iss74pp133-151</t>
  </si>
  <si>
    <t>http://dx.doi.org/10.4114/intartif.vol24iss74pp133-151</t>
  </si>
  <si>
    <t>UI9I5</t>
  </si>
  <si>
    <t>WOS:001247542400002</t>
  </si>
  <si>
    <t>Tasmurzayev, N; Amangeldy, B; Baigarayeva, Z; Boltaboyeva, A; Imanbek, B; Maeda-Nishino, N; Zhussupbekov, S; Baidauletova, A</t>
  </si>
  <si>
    <t>Background: While machine learning (ML) is widely applied in cardiology, a critical research gap persists. The incremental diagnostic value of routine blood tests for classifying cardiovascular disease (CVD) remains largely unquantified, and many models operate as non-interpretable "black boxes," limiting their clinical adoption. This study aims to address these gaps by quantifying the contribution of readily available laboratory panels and demonstrating the utility of transparent diagnostic modeling within a real-world clinical cohort. Methods: We conducted a retrospective study on the clinical data of 896 adult patients from a hospital database. A baseline feature set (demographics, vital signs) was compared against an enhanced set that additionally included results from routine hematology and biochemistry panels. Five machine learning classifiers were trained and evaluated. To ensure transparency, SHAP (SHapley Additive exPlanations) analysis, a key component of explainable AI (XAI), was used to interpret the predictions of the top-performing model. Results: The inclusion of routine blood tests consistently and significantly improved the performance of all classifiers. The XGBoost model demonstrated the best performance (accuracy 91.62%, precision 95.00%, recall 87.36%). Critically, SHAP analysis identified aspartate aminotransferase (AST), glucose, and creatinine as the most significant biomarkers, providing clear, interpretable insights into the biochemical drivers of the model's predictions. Conclusion: Routine laboratory markers contain a strong, interpretable signal indicative of CVD that is crucial for accurate risk stratification. These findings underscore the diagnostic relevance of common blood biomarkers and demonstrate how explainable AI can transform routine clinical data into transparent and actionable cardiovascular insights. Further validation in larger and demographically diverse cohorts is warranted.</t>
  </si>
  <si>
    <t>Tasmurzayev, Nurdaulet; Amangeldy, Bibars; Baigarayeva, Zhanel; Boltaboyeva, Assiya; Imanbek, Baglan; Maeda-Nishino, Naoya; Zhussupbekov, Sarsenbek; Baidauletova, Aliya</t>
  </si>
  <si>
    <t>Amangeldy, B; Imanbek, B (corresponding author), Al Farabi Kazakh Natl Univ, Fac Informat Technol &amp; Artificial Intelligence, Alma Ata 050040, Kazakhstan.</t>
  </si>
  <si>
    <t>bibars.amangeldy@ieee.org; imanbek.baglan@kaznu.kz</t>
  </si>
  <si>
    <t>Committee of Science of the Ministry of Science and Higher Education of the Republic of Kazakhstan [AP26103523]</t>
  </si>
  <si>
    <t>Committee of Science of the Ministry of Science and Higher Education of the Republic of Kazakhstan (Government of the Republic of Kazakhstan, Ministry of Science &amp; Higher Education of the Republic of Kazakhstan, Science Committee of the Ministry of Science &amp; Higher Education of the Republic of Kazakhstan)</t>
  </si>
  <si>
    <t>This research was funded by the Committee of Science of the Ministry of Science and Higher Education of the Republic of Kazakhstan (Grant No. AP26103523).</t>
  </si>
  <si>
    <t>[Tasmurzayev, Nurdaulet; Amangeldy, Bibars; Baigarayeva, Zhanel; Boltaboyeva, Assiya; Imanbek, Baglan] Al Farabi Kazakh Natl Univ, Fac Informat Technol &amp; Artificial Intelligence, Alma Ata 050040, Kazakhstan; [Baigarayeva, Zhanel; Boltaboyeva, Assiya] LLP Kazakhstan R&amp;D Solut, Alma Ata 050056, Kazakhstan; [Maeda-Nishino, Naoya] Stanford Univ, Sch Med, Dept Psychiat &amp; Behav Sci, Palo Alto, CA 94305 USA; [Maeda-Nishino, Naoya] HAKUAI Med Corp, Dept Anat, Osaka 5731010, Japan; [Zhussupbekov, Sarsenbek] Energo Univ, Dept Automat &amp; Control, Alma Ata 050013, Kazakhstan; [Baidauletova, Aliya] Neurol &amp; Sleep Med Ctr, Alma Ata 050008, Kazakhstan</t>
  </si>
  <si>
    <t>Farabi University; Stanford Medicine; Stanford University</t>
  </si>
  <si>
    <t>Enhancing Cardiovascular Disease Classification with Routine Blood Tests Using an Explainable AI Approach</t>
  </si>
  <si>
    <t>ALGORITHMS</t>
  </si>
  <si>
    <t>cardiovascular disease; machine learning; diagnostic classification; feature importance; SHAP; hematological markers; blood biomarkers; explainable AI; personalized medicine; risk stratification</t>
  </si>
  <si>
    <t>RISK-FACTOR; MORTALITY; BIOMARKERS; PREDICTOR</t>
  </si>
  <si>
    <t>Boltaboyeva, Assiya/KBB-4035-2024; Imanbek, Baglan/JNT-6011-2023; Tasmurzayev, Nurdaulet/KHW-3566-2024; Amangeldy, Bibars/IWE-2434-2023</t>
  </si>
  <si>
    <t>Boltaboyeva, Assiya/0000-0002-7279-9910; Baigarayeva, Zhanel/0000-0003-1919-3570; Maeda-Nishino, Naoya/0009-0008-8525-8030; Tasmurzayev, Nurdaulet/0000-0003-3039-6715; Amangeldy, Bibars/0000-0002-4089-6337</t>
  </si>
  <si>
    <t>83</t>
  </si>
  <si>
    <t>1999-4893</t>
  </si>
  <si>
    <t>Algorithms</t>
  </si>
  <si>
    <t>NOV 7 2025</t>
  </si>
  <si>
    <t>708</t>
  </si>
  <si>
    <t>10.3390/a18110708</t>
  </si>
  <si>
    <t>http://dx.doi.org/10.3390/a18110708</t>
  </si>
  <si>
    <t>F2601</t>
  </si>
  <si>
    <t>WOS:001623363600001</t>
  </si>
  <si>
    <t>Wang, MH</t>
  </si>
  <si>
    <t>This study introduces an explainable neuro-symbolic and large language model (LLM)-driven framework for intelligent interpretation of corneal topography and precision surgical decision support. In a prospective cohort of 20 eyes, comprehensive IOLMaster 700 reports were analyzed through a four-stage pipeline: (1) automated extraction of key parameters-including corneal curvature, pachymetry, and axial biometry; (2) mapping of these quantitative features onto a curated corneal disease and refractive-surgery knowledge graph; (3) Bayesian probabilistic inference to evaluate early keratoconus and surgical eligibility; and (4) explainable multi-model LLM reporting, employing DeepSeek and GPT-4.0, to generate bilingual physician- and patient-facing narratives. By transforming complex imaging data into transparent reasoning chains, the pipeline delivered case-level outputs within similar to 95 +/- 12 s. When benchmarked against independent evaluations by two senior corneal specialists, the framework achieved 92 +/- 4% sensitivity, 94 +/- 5% specificity, 93 +/- 4% accuracy, and an AUC of 0.95 +/- 0.03 for early keratoconus detection, alongside an F1 score of 0.90 +/- 0.04 for refractive surgery eligibility. The generated bilingual reports were rated &gt;= 4.8/5 for logical clarity, clinical usefulness, and comprehensibility, with representative cases fully concordant with expert judgment. Comparative benchmarking against baseline CNN and ViT models demonstrated superior diagnostic accuracy (AUC = 0.95 +/- 0.03 vs. 0.88 and 0.90, p &lt; 0.05), confirming the added value of the neuro-symbolic reasoning layer. All analyses were executed on a workstation equipped with an NVIDIA RTX 4090 GPU and implemented in Python 3.10/PyTorch 2.2.1 for full reproducibility. By explicitly coupling symbolic medical knowledge with advanced language models and embedding explainable artificial intelligence (XAI) principles throughout data processing, reasoning, and reporting, this framework provides a transparent, rapid, and clinically actionable AI solution. The approach holds significant promise for improving early ectatic disease detection and supporting individualized refractive surgery planning in routine ophthalmic practice.</t>
  </si>
  <si>
    <t>Wang, Mini Han</t>
  </si>
  <si>
    <t>1155187855@link.cuhk.edu.hk</t>
  </si>
  <si>
    <t>National Natural Science Foundation of China [82501368]</t>
  </si>
  <si>
    <t>National Natural Science Foundation of China (National Natural Science Foundation of China (NSFC))</t>
  </si>
  <si>
    <t>This research was funded by the National Natural Science Foundation of China (Grant/Award Numbers: 82501368).</t>
  </si>
  <si>
    <t>[Wang, Mini Han] Jinan Univ, Zhuhai Peoples Hosp, Beijing Inst Technol, Affiliated Hosp,Zhuhai Clin Med Coll, Zhuhai 519000, Peoples R China; [Wang, Mini Han] Chinese Univ Hong Kong, Dept Ophthalmol &amp; Visual Sci, Hong Kong 999077, Peoples R China; [Wang, Mini Han] Chinese Acad Sci, Zhuhai Inst Adv Technol, Zhuhai 519000, Peoples R China</t>
  </si>
  <si>
    <t>Beijing Institute of Technology; Jinan University; Chinese University of Hong Kong; Chinese Academy of Sciences</t>
  </si>
  <si>
    <t>An Explainable AI Framework for Corneal Imaging Interpretation and Refractive Surgery Decision Support</t>
  </si>
  <si>
    <t>BIOENGINEERING-BASEL</t>
  </si>
  <si>
    <t>explainable artificial intelligence (XAI); corneal bioengineering; neuro-symbolic techniques; large language model (LLM); corneal topography; surgical decision support</t>
  </si>
  <si>
    <t>Wang, Mini Han/ABM-1417-2022</t>
  </si>
  <si>
    <t>Wang, Mini Han/0000-0002-5002-3708</t>
  </si>
  <si>
    <t>2306-5354</t>
  </si>
  <si>
    <t>Bioengineering-Basel</t>
  </si>
  <si>
    <t>OCT 28 2025</t>
  </si>
  <si>
    <t>1174</t>
  </si>
  <si>
    <t>10.3390/bioengineering12111174</t>
  </si>
  <si>
    <t>http://dx.doi.org/10.3390/bioengineering12111174</t>
  </si>
  <si>
    <t>Biotechnology &amp; Applied Microbiology; Engineering, Biomedical</t>
  </si>
  <si>
    <t>Biotechnology &amp; Applied Microbiology; Engineering</t>
  </si>
  <si>
    <t>H6291</t>
  </si>
  <si>
    <t>41301129</t>
  </si>
  <si>
    <t>WOS:001625737400001</t>
  </si>
  <si>
    <t>Mehdar, KM; Yasin, S; Draz, U; Irfan, M; Ali, T; Yasin, I; Elshafie, SEM; Mashraqi, AM; Halawani, HT; Shediwah, AM; Asiri, AA</t>
  </si>
  <si>
    <t>Early detection and accurate identification of melanoma, the most lethal form of skin cancer, are critical for improving patient survival rates. However, conventional diagnostic tools often fail to detect early-stage melanoma due to limited sensitivity. This research introduces an advanced Vision Transformer (ViT)-based model equipped with explainability features, specifically designed to address the complex challenge of early-stage melanoma detection. Self-attention-based Melanoma Analysis using Reliable Transformers with Explainable Artificial Intelligence (SMART-XAI) combines ViT with self-attention methods and explainable AI techniques like Attention Rollout and Self-Attention Attribution to create a melanoma diagnostic system. The ViT architecture leverages multi-scale feature extraction and self-attention mechanisms to capture both local and global patterns within skin lesion images. By segmenting images into patches, the model effectively identifies critical melanoma features across various scales, enhancing classification accuracy and interpretability. To ensure clinical transparency, the model incorporates explainable artificial intelligence (AI) techniques, namely Attention Rollout and Self-Attention Attribution, which enable the visualization of image regions that influence the model &amp; iacute;s decisions. This interpretability allows clinicians to understand the diagnostic rationale behind AI, thereby fostering greater trust and usability in clinical settings. Experimental validation demonstrated strong performance, achieving 96.0 +/- 0.87% accuracy, 95.2 +/- 0.75% sensitivity, and 94.1 +/- 1.05% specificity across 5-fold cross-validation. These results confirm the system's reliability as an early detection tool for melanoma, while providing interpretable insights for informed clinical decision-making. Overall, the integration of deep learning with explainable AI represents a significant advancement in dermatological diagnostics, particularly for the management of early-stage melanoma.</t>
  </si>
  <si>
    <t>Mehdar, Khlood M.; Yasin, Sana; Draz, Umar; Irfan, Muhammad; Ali, Tariq; Yasin, Isha; Elshafie, Sabah Elshafie Mohammed; Mashraqi, Aisha M.; Halawani, Hanan T.; Shediwah, Amal Mohammad; Asiri, Abdullah A.</t>
  </si>
  <si>
    <t>Draz, U (corresponding author), Univ Sahiwal, Dept Comp Sci, Sahiwal 57000, Pakistan.; Irfan, M (corresponding author), Najran Univ, Coll Engn, Elect Engn Dept, Najran, Saudi Arabia.</t>
  </si>
  <si>
    <t>umardraz@uosahiwal.edu.pk; miditta@nu.edu.sa</t>
  </si>
  <si>
    <t>Deanship of Graduate Studies and Scientific Research at Najran University [NU/EFP/MRC/13/211]</t>
  </si>
  <si>
    <t>Deanship of Graduate Studies and Scientific Research at Najran University</t>
  </si>
  <si>
    <t>The research team was supported by the Deanship of Graduate Studies and ScientificResearch at Najran University for funding this work under the Easy Funding Program,grant code NU/EFP/MRC/13/211. The funders had no role in study design, data collectionand analysis, decision to publish, or preparation of the manuscript.</t>
  </si>
  <si>
    <t>[Mehdar, Khlood M.; Elshafie, Sabah Elshafie Mohammed] Najran Univ, Fac Med, Dept Anat, Najran, Saudi Arabia; [Yasin, Sana; Yasin, Isha] Univ Okara, Dept Comp Sci, Okara, Punjab, Pakistan; [Draz, Umar] Univ Sahiwal, Dept Comp Sci, Sahiwal 57000, Pakistan; [Irfan, Muhammad] Najran Univ, Coll Engn, Elect Engn Dept, Najran, Saudi Arabia; [Ali, Tariq] Univ Tabuk, Artificial Intelligence &amp; Sensing Technol AIST Res, Tabuk, Saudi Arabia; [Mashraqi, Aisha M.; Halawani, Hanan T.] Najran Univ, Coll Comp Sci &amp; Informat Syst, Dept Comp Sci, Najran, Saudi Arabia; [Shediwah, Amal Mohammad] Najran Univ, Fac Med, Dept Pathol, Najran, Saudi Arabia; [Asiri, Abdullah A.] Najran Univ, Coll Appl Med Sci, Radiol Sci Dept, Najran, Saudi Arabia</t>
  </si>
  <si>
    <t>Najran University; Najran University; University of Tabuk; Najran University; Najran University; Najran University</t>
  </si>
  <si>
    <t>A comprehensive self-attention melanoma analysis using reliable transformers and explainable AI</t>
  </si>
  <si>
    <t>Melanoma detection; Vision transformers (ViTs); Explainable AI (XAI); Skin lesion; Classification; Self-attention mechanism; Deep learning in dermatology</t>
  </si>
  <si>
    <t>Halawani, Hanan/IQS-8853-2023; Mashraqi, Aisha/JEF-8875-2023; ALI, TARIQ/AFL-3332-2022; Mehdar, Khlood/KOD-5338-2024</t>
  </si>
  <si>
    <t>55</t>
  </si>
  <si>
    <t>FEB 6 2026</t>
  </si>
  <si>
    <t>e3479</t>
  </si>
  <si>
    <t>10.7717/peerj-cs.3479</t>
  </si>
  <si>
    <t>http://dx.doi.org/10.7717/peerj-cs.3479</t>
  </si>
  <si>
    <t>ER6MO</t>
  </si>
  <si>
    <t>WOS:001708098300001</t>
  </si>
  <si>
    <t>Soriano-Vargas, A; Oliveira, ABD</t>
  </si>
  <si>
    <t>Healthcare AI projects are characterized by high technological complexity, regulatory scrutiny, and socio-technical interdependencies, yet existing risk management frameworks offer limited guidance for addressing the distinctive uncertainties of adaptive, data-driven systems in multidisciplinary settings. This study examines how risks emerge and interact across the lifecycle of multidisciplinary AI healthcare projects and develops a lifecycle governance framework to support risk management in such environments. An exploratory qualitative case study was conducted within a multidisciplinary AI healthcare project in S &amp; atilde;o Paulo, Brazil, involving a project team of 55 professionals. Data were collected through semi-structured interviews with 22 participants, document analysis, and direct observation. Data were analyzed through iterative thematic coding complemented by term frequency and co-occurrence analysis. Results indicate that technical, ethical, organizational, and regulatory risks are strongly interdependent and particularly concentrated in development and implementation phases, with data quality, algorithmic bias, privacy compliance, communication breakdowns, and resource constraints emerging as high-probability, high-impact risks. A governance gap was also identified: the absence of formalized risk processes and dedicated roles constrained traceability and strategic alignment despite the presence of informal mitigation practices. Based on these findings, a lifecycle governance framework is proposed to support the identification, prioritization, monitoring, and coordination of risks across AI project phases. Building on project risk management principles and AI governance literature, the proposed framework embeds lifecycle-oriented risk identification, prioritization, and monitoring within project governance structures. The study contributes to the literature by providing an empirically grounded framework for managing risk in multidisciplinary AI healthcare projects and offers practical guidance for organizations seeking to strengthen governance and decision-making throughout the AI lifecycle.</t>
  </si>
  <si>
    <t>Soriano-Vargas, Aurea; Oliveira, Ana Beatriz de Figueiredo</t>
  </si>
  <si>
    <t>Soriano-Vargas, A (corresponding author), Univ Ingn &amp; Tecnol UTEC, Dept Ciencia Comp &amp; Datos, Lima, Peru.</t>
  </si>
  <si>
    <t>asoriano@utec.edu.pe; anabeatrizfig@alumni.usp.br</t>
  </si>
  <si>
    <t>[Soriano-Vargas, Aurea] Univ Ingn &amp; Tecnol UTEC, Dept Ciencia Comp &amp; Datos, Lima, Peru; [Oliveira, Ana Beatriz de Figueiredo] Inst PECEGE, Piracicaba, SP, Brazil</t>
  </si>
  <si>
    <t>University of Engineering &amp; Technology - UTEC</t>
  </si>
  <si>
    <t>A lifecycle governance framework for managing risk in multidisciplinary Healthcare AI projects: Evidence from a brazilian case study</t>
  </si>
  <si>
    <t>REVISTA DE GESTAO E PROJETOS</t>
  </si>
  <si>
    <t>AI governance; AI healthcare projects; risk management; project governance; healthcare AI; multidisciplinary teams; lifecycle governance; case study</t>
  </si>
  <si>
    <t>Soriano-Vargas, Aurea/ABF-2849-2020</t>
  </si>
  <si>
    <t>UNIV NOVE de JULHO-UNINOVE</t>
  </si>
  <si>
    <t>SAO PAULO</t>
  </si>
  <si>
    <t>Rua Vergueiro 235/249, Campus Vergueiro, SAO PAULO, SP, BRAZIL</t>
  </si>
  <si>
    <t>2236-0972</t>
  </si>
  <si>
    <t>REV GES PROJ</t>
  </si>
  <si>
    <t>Rev. Gest. Proj.</t>
  </si>
  <si>
    <t>MAY-AUG 2026</t>
  </si>
  <si>
    <t>e31201</t>
  </si>
  <si>
    <t>10.5585/2026.31451</t>
  </si>
  <si>
    <t>http://dx.doi.org/10.5585/2026.31451</t>
  </si>
  <si>
    <t>KM2CW</t>
  </si>
  <si>
    <t>WOS:001810270500001</t>
  </si>
  <si>
    <t>Titu, MFS; Rahman, MR; Apurba, AZ; Qayum, MA; Khan, R</t>
  </si>
  <si>
    <t>Machine learning and explainable AI techniques are powerful mechanisms to analyze the influence of unhealthy food advertisements on health awareness and concern levels. This research aims to predict levels of concern about unhealthy food advertisements and identify significant demographic and behavioral variables that modify the need for these concerns. A survey was conducted, and responses from 1030 adolescents were gathered on their knowledge about food advertisements and what affects their perceptions of health. Stacking Ensemble, Random Forest, and XGBoost with hyperparameter optimization and synthetic oversampling techniques were applied to predict three categories of concern levels in unhealthy food advertisements. Stacking Ensemble, utilizing Random Forest, K-Nearest Neighbors, and Support Vector Machines as base learners and Logistic Regression as the meta-learner, yielded the highest prediction accuracy of 98.54% and an F1 score of 0.99. The most relevant features for predicting the food advertisement concern levels were age, parental education and advertisement types, such as free toys and celebrity endorsement. LIME and SHAP-integrated interpretability methods have been utilized for a proper understanding of how advertisement strategies influence adolescent health awareness. The developments resulted from growing research efforts in which predictive analytics is connected to explainability in understanding and mitigating the adverse influence of unhealthy food advertisements. The results bear implications for public health policies, advertising regulations, and educational campaigns moving against improved adolescent dietary behaviors and awareness. The private dataset and implementation codes are at the following link: https://github.com/MdFahimShahoriar/adolescent-food-ad-concern-prediction</t>
  </si>
  <si>
    <t>Titu, Md. Fahim Shahoriar; Rahman, Md Rohanur; Apurba, Afifa Zain; Qayum, Mohammad Abdul; Khan, Riasat</t>
  </si>
  <si>
    <t>Khan, R (corresponding author), North South Univ, Elect &amp; Comp Engn Dept, Dhaka 1229, Bangladesh.</t>
  </si>
  <si>
    <t>riasat.khan@northsouth.edu</t>
  </si>
  <si>
    <t>[Titu, Md. Fahim Shahoriar; Rahman, Md Rohanur; Apurba, Afifa Zain; Qayum, Mohammad Abdul; Khan, Riasat] North South Univ, Elect &amp; Comp Engn Dept, Dhaka 1229, Bangladesh</t>
  </si>
  <si>
    <t>North South University (NSU)</t>
  </si>
  <si>
    <t>Predicting Adolescent Concern Over Unhealthy Food Ads Using Explainable AI</t>
  </si>
  <si>
    <t>Machine learning; Explainable AI; Advertising; Predictive models; Pediatrics; Public healthcare; Psychology; Obesity; Education; Data collection; Concern level prediction; explainable AI; food marketing; health awareness; machine learning; unhealthy food advertisements</t>
  </si>
  <si>
    <t>CONSUMPTION</t>
  </si>
  <si>
    <t>Titu, Fahim Shahoriar/QJV-8904-2026; Titu, MdFahim/QJV-8904-2026; /L-3863-2014</t>
  </si>
  <si>
    <t>1921358042, Rohanur Rahman/0009-0007-6870-2948; Titu, Fahim Shahoriar/0009-0000-9106-412X; , Afifa Zain Apurba/0009-0000-9057-4371</t>
  </si>
  <si>
    <t>141858</t>
  </si>
  <si>
    <t>141870</t>
  </si>
  <si>
    <t>10.1109/ACCESS.2025.3588190</t>
  </si>
  <si>
    <t>http://dx.doi.org/10.1109/ACCESS.2025.3588190</t>
  </si>
  <si>
    <t>6FI1E</t>
  </si>
  <si>
    <t>WOS:001552001300026</t>
  </si>
  <si>
    <t>Alharthi, A; Al Ayidh, A; Alqurashi, A; Alammar, M; Mohammad, SS; Bouchekara, H; Sha'aban, YA; Alharbi, TE</t>
  </si>
  <si>
    <t>Gait speed analysis is vital for applications in healthcare, rehabilitation, human-robot interaction, and autonomous systems, necessitating robust methods to address its complexity. This study introduces an advanced framework for gait speed classification through multimodal data fusion and deep learning, optimized using Layer-wise Relevance Propagation (LRP). Utilizing a publicly available 4 datasets of 50 injury-free adults walking at varying speeds, we integrate data from full-body motion capture, electromyography (EMG), and force plates to capture detailed gait dynamics. We propose two novel architectures: a hybrid Convolutional Neural Network with Long Short-Term Memory (CNN+LSTM) and a Multi-stream CNN, benchmarked against Temporal Convolutional Networks (TCNs), Transformer neural networks, Gated Recurrent Units (GRU) and statistical classifiers (e.g., Linear Discriminant Analysis, Quadratic Discriminant Analysis, Support Vector Machines). All models in this study were trained, validated and tested using three distinct strategies: experiment 1 (sample-based splitting - 10-fold cross-validation), experiment 2 (10-fold cross-validation, subject-based splitting - 5 subjects for testing), and experiment 3 (5-fold cross-validation, subject-based splitting - 10 subjects for testing). Multi-stream Quads CNN is the best-performing model, achieving the highest F1 scores across all experiments (96.6% +/- 1.4% experiment 1, 96.2% +/- 1.6% experiment 2, 95.9% +/- 0.9% experiment 3 with top performance for all experiments 98% +/- 0.6%, outperforming traditional approaches. LRP is applied to evaluate feature relevance within the model, enabling the removal of critical features to verify robustness. Comprehensive assessments, including ROC curves, confusion matrices, t-test, and perturbation analyses, validate the model's enhanced performance and durability. By combining multimodal fusion to overcome single-sensor constraints with LRP-driven feature optimization, this work provides a highly accurate and resilient tool for gait analysis, with significant potentials.</t>
  </si>
  <si>
    <t>Alharthi, Abdullah; Al Ayidh, Abdulrahman; Alqurashi, Ahmed; Alammar, Mohammed; Mohammad, Shoaib Shahriar; Bouchekara, Houssem; Sha'aban, Yusuf Abubakar; Alharbi, Turki Essa</t>
  </si>
  <si>
    <t>Alharthi, A (corresponding author), King Khalid Univ, Dept Elect Engn, Abha, Saudi Arabia.</t>
  </si>
  <si>
    <t>asalharthi@kku.edu.sa; shaabay1@erau.edu</t>
  </si>
  <si>
    <t>Deanship of Scientific Research, King Khalid University [RGP2/176/46]</t>
  </si>
  <si>
    <t>Deanship of Scientific Research, King Khalid University (King Khalid University)</t>
  </si>
  <si>
    <t>The authors extend their appreciation to the Deanship of Research and Graduate Studies at King Khalid University for funding this study through Large Research Project under grant number RGP. 2/176/46.</t>
  </si>
  <si>
    <t>[Alharthi, Abdullah; Al Ayidh, Abdulrahman; Alammar, Mohammed] King Khalid Univ, Dept Elect Engn, Abha, Saudi Arabia; [Alqurashi, Ahmed] Umm Al Qura Univ, Dept Elect Engn, Mecca, Saudi Arabia; [Mohammad, Shoaib Shahriar; Bouchekara, Houssem] Univ Hafr Al Batin, Dept Elect Engn, Hafar Al Batin, Saudi Arabia; [Sha'aban, Yusuf Abubakar] Embry Riddle Aeronaut Univ, Dept Comp &amp; Software Engn, Prescott, AZ USA; [Sha'aban, Yusuf Abubakar] MIT, Ctr Int Studies, Cambridge, MA USA; [Alharbi, Turki Essa] Taif Univ, Coll Engn, Dept Elect Engn, Taif, Saudi Arabia</t>
  </si>
  <si>
    <t>King Khalid University; Umm Al-Qura University; Hafr Albatin University; Embry-Riddle Aeronautical University; Massachusetts Institute of Technology (MIT); Taif University</t>
  </si>
  <si>
    <t>Explainable AI for gait speed analysis from multimodal data fusion</t>
  </si>
  <si>
    <t>PLOS ONE</t>
  </si>
  <si>
    <t>WALKING SPEED; CLASSIFICATION; VARIABILITY</t>
  </si>
  <si>
    <t>Alammar, Mohammed/IXD-6591-2023; Alharthi, Abdullah/JKI-5242-2023; Alharbi, Turki/MFZ-7624-2025; Al Ayidh, Abdulrahman/HNI-2405-2023; Bouchekara, Houssem/A-9326-2015; Sha'aban, Yusuf/H-7836-2019; AlQurashi, Ahmed/HKO-1745-2023</t>
  </si>
  <si>
    <t>AlQurashi, Ahmed/0000-0002-4352-3050</t>
  </si>
  <si>
    <t>PUBLIC LIBRARY SCIENCE</t>
  </si>
  <si>
    <t>SAN FRANCISCO</t>
  </si>
  <si>
    <t>1160 BATTERY STREET, STE 100, SAN FRANCISCO, CA 94111 USA</t>
  </si>
  <si>
    <t>1932-6203</t>
  </si>
  <si>
    <t>PLoS One</t>
  </si>
  <si>
    <t>FEB 27 2026</t>
  </si>
  <si>
    <t>e0341067</t>
  </si>
  <si>
    <t>10.1371/journal.pone.0341067</t>
  </si>
  <si>
    <t>http://dx.doi.org/10.1371/journal.pone.0341067</t>
  </si>
  <si>
    <t>EQ6RQ</t>
  </si>
  <si>
    <t>41758888</t>
  </si>
  <si>
    <t>WOS:001707431700016</t>
  </si>
  <si>
    <t>Hasan, MR; Rudra, SM; Karmoker, N; Abu Yousuf, M; Akhter, J; Al-Moisheer, AS; Alyami, SA; Moni, MA</t>
  </si>
  <si>
    <t>Timely and accurate identification of brain tumors is crucial for optimizing patient outcomes, guiding surgical planning, and determining appropriate treatment strategies. Despite the advancements in MRI-based tumor detection and artificial intelligence, developing reliable and clinically applicable models remains challenging, particularly in contexts where robustness, interpretability, and consistency are critical. Existing approaches often lack advanced 3D imaging capabilities and robust Explainable AI (XAI) techniques, which limit their diagnostic utility and clinical adoption. To address these limitations, this study proposes a robust deep learning architecture that incorporates the improved EfficientNet B7, Xception, and ResNet152 architectures. We further proposed a novel classification model incorporating enhanced data augmentation and histogram equalization to automatically classify brain MRI images into four diagnostic categories. Three distinct datasets, one segmented dataset, and a merged dataset combining all sources were used to train and evaluate the models. The proposed models achieved accuracies in the range of 97-99%, demonstrating consistent and strong performance across datasets. To enhance diagnostic transparency, XAI techniques, including Grad-CAM and LIME, were employed to provide visual insights into the system's decision-making processes. Additionally, this study incorporated a novel 3D reconstruction approach across the sagittal, coronal, and axial planes, providing a comprehensive view that supports improved diagnostic accuracy and precise clinical interpretation. Overall, this study demonstrates a novel unified framework integrating classification, segmentation, XAI, current gaps in brain tumor diagnostics and holding significant potential to enhance clinical reliability, transparency, and precision, ultimately improvinge clinical reliability, interpretability, and precision, ultimately supporting better patient outcomes.</t>
  </si>
  <si>
    <t>Hasan, Md Rakhibul; Rudra, Shrawman Majumder; Karmoker, Nayon; Abu Yousuf, Mohammad; Akhter, Jesmin; Al-Moisheer, Asmaa Soliman; Alyami, Salem A.; Moni, Mohammad Ali</t>
  </si>
  <si>
    <t>Alyami, SA (corresponding author), Imam Mohammad Ibn Saud Islamic Univ IMSIU, Fac Sci, Dept Math &amp; Stat, Riyadh 13318, Saudi Arabia.; Moni, MA (corresponding author), Charles Sturt Univ, Artificial Intelligence &amp; Cyber Futures Ctr, AI &amp; Digital Hlth Technol, Bathurst, NSW 2795, Australia.; Moni, MA (corresponding author), Charles Sturt Univ, Rural Hlth Res Inst, AI &amp; Digital Hlth Technol, Orange, NSW 2800, Australia.</t>
  </si>
  <si>
    <t>asalmoisheer@imamu.edu.sa; yousuf@juniv.edu; saalyami@imamu.edu.sa; rakhibulhasan98@gmail.com; nayonkarmoker3@gmail.com; shrawmanrudra@gmail.com; m.moni@uq.edu.au; jesmin@juniv.edu</t>
  </si>
  <si>
    <t>Deanship of Scientific Research at Imam Mohammad Ibn Saud Islamic University (IMSIU) [IMSIU-DDRSP-RP26]</t>
  </si>
  <si>
    <t>Deanship of Scientific Research at Imam Mohammad Ibn Saud Islamic University (IMSIU) (Imam Mohammad Ibn Saud Islamic University (IMSIU))</t>
  </si>
  <si>
    <t>This work was supported and funded by the Deanship of Scientific Research at Imam Mohammad Ibn Saud Islamic University (IMSIU) (grant number IMSIU-DDRSP-RP26) .</t>
  </si>
  <si>
    <t>[Hasan, Md Rakhibul; Rudra, Shrawman Majumder; Karmoker, Nayon; Abu Yousuf, Mohammad; Akhter, Jesmin] Jahangirnagar Univ, Inst Informat Technol, Dhaka 1342, Savar, Bangladesh; [Al-Moisheer, Asmaa Soliman; Alyami, Salem A.] Imam Mohammad Ibn Saud Islamic Univ IMSIU, Fac Sci, Dept Math &amp; Stat, Riyadh 13318, Saudi Arabia; [Moni, Mohammad Ali] Charles Sturt Univ, Artificial Intelligence &amp; Cyber Futures Ctr, AI &amp; Digital Hlth Technol, Bathurst, NSW 2795, Australia; [Moni, Mohammad Ali] Charles Sturt Univ, Rural Hlth Res Inst, AI &amp; Digital Hlth Technol, Orange, NSW 2800, Australia</t>
  </si>
  <si>
    <t>Jahangirnagar University; Imam Mohammad Ibn Saud Islamic University (IMSIU); Charles Sturt University; Charles Sturt University</t>
  </si>
  <si>
    <t>3D MRI reconstruction and brain tumor diagnosis using deep learning with explainable AI</t>
  </si>
  <si>
    <t>EXPERT SYSTEMS WITH APPLICATIONS</t>
  </si>
  <si>
    <t>Brain tumor; Deep learning; Explainable AI; 3D reconstruction</t>
  </si>
  <si>
    <t>CLASSIFICATION</t>
  </si>
  <si>
    <t>Almoisheer, ASMAA/PWG-2798-2026; Abu+Yousuf, Mohammad/AAP-5280-2021; Alyami, Salem/AFF-1682-2022; Mansournia, Mohammad/AFA-8899-2022</t>
  </si>
  <si>
    <t>PERGAMON-ELSEVIER SCIENCE LTD</t>
  </si>
  <si>
    <t>OXFORD</t>
  </si>
  <si>
    <t>THE BOULEVARD, LANGFORD LANE, KIDLINGTON, OXFORD OX5 1GB, ENGLAND</t>
  </si>
  <si>
    <t>0957-4174</t>
  </si>
  <si>
    <t>1873-6793</t>
  </si>
  <si>
    <t>EXPERT SYST APPL</t>
  </si>
  <si>
    <t>Expert Syst. Appl.</t>
  </si>
  <si>
    <t>JUN 10 2026</t>
  </si>
  <si>
    <t>315</t>
  </si>
  <si>
    <t>131513</t>
  </si>
  <si>
    <t>10.1016/j.eswa.2026.131513</t>
  </si>
  <si>
    <t>http://dx.doi.org/10.1016/j.eswa.2026.131513</t>
  </si>
  <si>
    <t>Computer Science, Artificial Intelligence; Engineering, Electrical &amp; Electronic; Operations Research &amp; Management Science</t>
  </si>
  <si>
    <t>Computer Science; Engineering; Operations Research &amp; Management Science</t>
  </si>
  <si>
    <t>EO1KF</t>
  </si>
  <si>
    <t>WOS:001705713200001</t>
  </si>
  <si>
    <t>hybrid; Green Published</t>
  </si>
  <si>
    <t>Murakami, K; Tago, SI; Takishita, S; Morikawa, H; Kojima, R; Yokoyama, K; Ogawa, M; Fukushima, H; Takamori, H; Nannya, Y; Imoto, S; Fuji, M</t>
  </si>
  <si>
    <t>Simple Summary Cancer genome analysis often reveals structural variants (SVs) involving fusion genes that are difficult to classify as drivers or passengers. Obtaining accurate AI predictions and explanations, which are crucial for a reliable diagnosis, is challenging. We developed an explainable AI (XAI) system that predicts the pathogenicity of SVs with gene fusions, providing reasons for its predictions. Our XAI achieved high accuracy, comparable to existing tools, and generated plausible explanations based on pathogenic mechanisms. This research represents a promising step towards AI-supported decision making in genomic medicine, enabling efficient and accurate diagnosis.Abstract When analyzing cancer sample genomes in clinical practice, many structural variants (SVs), other than single nucleotide variants (SNVs), have been identified. To identify driver variants, the leading candidates must be narrowed down. When fusion genes are involved, selection is particularly difficult, and highly accurate predictions from AI is important. Furthermore, we also wanted to determine how the prediction can make more reliable diagnoses. Here, we developed an explainable AI (XAI) suitable for SVs with gene fusions, based on the XAI technology we previously developed for the prediction of SNV pathogenicity. To cope with gene fusion variants, we added new data to the previous knowledge graph for SVs and we improved the algorithm. Its prediction accuracy was as high as that of existing tools. Moreover, our XAI could explain the reasons for these predictions. We used some variant examples to demonstrate that the reasons are plausible in terms of pathogenic basic mechanisms. These results can be seen as a hopeful step toward the future of genomic medicine, where efficient and correct decisions can be made with the support of AI.</t>
  </si>
  <si>
    <t>Murakami, Katsuhiko; Tago, Shin-ichiro; Takishita, Sho; Morikawa, Hiroaki; Kojima, Rikuhiro; Yokoyama, Kazuaki; Ogawa, Miho; Fukushima, Hidehito; Takamori, Hiroyuki; Nannya, Yasuhito; Imoto, Seiya; Fuji, Masaru</t>
  </si>
  <si>
    <t>Fuji, M (corresponding author), Fujitsu Ltd, Quantum Lab, Fujitsu Res, Atsugi, Kanagawa 2430197, Japan.</t>
  </si>
  <si>
    <t>fuji.masaru@fujitsu.com</t>
  </si>
  <si>
    <t>[Murakami, Katsuhiko; Tago, Shin-ichiro; Takishita, Sho; Morikawa, Hiroaki; Kojima, Rikuhiro; Fuji, Masaru] Fujitsu Ltd, Quantum Lab, Fujitsu Res, Atsugi, Kanagawa 2430197, Japan; [Yokoyama, Kazuaki; Ogawa, Miho; Fukushima, Hidehito; Takamori, Hiroyuki; Nannya, Yasuhito] Univ Tokyo, Inst Med Sci, Div Hematopoiet Dis Control, Tokyo 1088639, Japan; [Ogawa, Miho] Univ Tokyo Hosp, Univ Tokyo, Tokyo 1138655, Japan; [Imoto, Seiya] Univ Tokyo, Inst Med Sci, Human Genome Ctr, Div Hlth Med Intelligence, Tokyo 1088639, Japan</t>
  </si>
  <si>
    <t>Fujitsu Ltd; University of Tokyo; University of Tokyo; University of Tokyo</t>
  </si>
  <si>
    <t>Pathogenicity Prediction of Gene Fusion in Structural Variations: A Knowledge Graph-Infused Explainable Artificial Intelligence (XAI) Framework</t>
  </si>
  <si>
    <t>CANCERS</t>
  </si>
  <si>
    <t>gene fusion; structural sariant; genomic medicine; explainable artificial intelligence; knowledge graph</t>
  </si>
  <si>
    <t>CANCER; ADENOCARCINOMA; LEUKEMIA; GENOME</t>
  </si>
  <si>
    <t>murakami, katsuhiko/V-4513-2017</t>
  </si>
  <si>
    <t>Tago, Shin-ichiro/0000-0003-3071-5165; murakami, katsuhiko/0000-0002-1923-4259; Imoto, Seiya/0000-0002-2989-308X</t>
  </si>
  <si>
    <t>48</t>
  </si>
  <si>
    <t>2072-6694</t>
  </si>
  <si>
    <t>Cancers</t>
  </si>
  <si>
    <t>1915</t>
  </si>
  <si>
    <t>10.3390/cancers16101915</t>
  </si>
  <si>
    <t>http://dx.doi.org/10.3390/cancers16101915</t>
  </si>
  <si>
    <t>Oncology</t>
  </si>
  <si>
    <t>SD9Z5</t>
  </si>
  <si>
    <t>38791993</t>
  </si>
  <si>
    <t>WOS:001232651100001</t>
  </si>
  <si>
    <t>Ong, WK; Chan, CS</t>
  </si>
  <si>
    <t>Federated Learning (FL) enables decentralized model training while preserving patient privacy, making it essential for medical AI applications. However, regulatory frameworks such as GDPR, CCPA, and LGPD mandate "the right to be forgotten", requiring patient data removal from trained models upon request. This has driven growing interest in Federated Unlearning (FU), but existing methods require the collaborative participation of all clients, which is often impractical and raises privacy concerns, particularly in privacy sensitive medical domain. This paper introduces Maverick++, the first collaboration-free FU framework designed specifically for medical imaging applications. Inspired by Lipschitz continuity, Maverick++ quantifies memorization through a novel model sensitivity metric and frames the unlearning task as a localized optimization problem. When an unlearning request is issued, only the target client performs local unlearning by applying a locally bounded optimization procedure. This process enables effective unlearning without requiring collaboration from other clients. Theoretical analysis and extensive experiments on three diverse imaging benchmarks, Colorectal Cancer Histology, Pigmented Skin Lesions, and Blood Cells, demonstrate that Maverick++ sustains classification accuracy on retain data within 1-2% of retraining from scratch, reduces accuracy on unlearn data to below 1%, and lowers the attack success rate of Membership Inference Attack (MIA) to under 10%. Furthermore, Maverick++ achieves speedups of 8x - 45x over state-of-the-art baselines by eliminating the need for global client coordination. These results establish Maverick++ as a practical, efficient, and privacy-aware solution for enforcing data deletion requests for FL in medical imaging domain. The code is publicly available at https://github.com/OngWinKent/Maverick</t>
  </si>
  <si>
    <t>Ong, Win Kent; Chan, Chee Seng</t>
  </si>
  <si>
    <t>Chan, CS (corresponding author), Univ Malaya, Fac Comp Sci &amp; Informat Technol, Dept Artificial Intelligence, Kuala Lumpur 50603, Malaysia.</t>
  </si>
  <si>
    <t>cs.chan@um.edu.my</t>
  </si>
  <si>
    <t>Fundamental Research Grant Scheme from the Ministry of Higher Education, Malaysia [FRGS/1/2024/ICT02/UM/01/1]</t>
  </si>
  <si>
    <t>Fundamental Research Grant Scheme from the Ministry of Higher Education, Malaysia</t>
  </si>
  <si>
    <t>This work was supported by the Fundamental Research Grant Scheme from the Ministry of Higher Education, Malaysia, under Grant FRGS/1/2024/ICT02/UM/01/1.</t>
  </si>
  <si>
    <t>[Ong, Win Kent; Chan, Chee Seng] Univ Malaya, Fac Comp Sci &amp; Informat Technol, Dept Artificial Intelligence, Kuala Lumpur 50603, Malaysia</t>
  </si>
  <si>
    <t>Universiti Malaya</t>
  </si>
  <si>
    <t>Maverick plus plus : Collaboration-Free Unlearning for Medical Privacy Preservation in Healthcare Federated Systems</t>
  </si>
  <si>
    <t>Data models; Privacy; Biomedical imaging; Data privacy; Computational modeling; Collaboration; Training; Federated learning; Servers; Sensitivity; Medical image; trustworthy AI; federated learning; federated unlearning; machine unlearning</t>
  </si>
  <si>
    <t>Chan, Chee Seng/B-9754-2011</t>
  </si>
  <si>
    <t>Chan, Chee Seng/0000-0001-7677-2865</t>
  </si>
  <si>
    <t>89</t>
  </si>
  <si>
    <t>165441</t>
  </si>
  <si>
    <t>165455</t>
  </si>
  <si>
    <t>10.1109/ACCESS.2025.3611992</t>
  </si>
  <si>
    <t>http://dx.doi.org/10.1109/ACCESS.2025.3611992</t>
  </si>
  <si>
    <t>7XU1I</t>
  </si>
  <si>
    <t>WOS:001582187200044</t>
  </si>
  <si>
    <t>Daghir-Wojtkowiak, E; Alfaro, J; Mastromattei, M; Palkowski, A; Stares, M; Roca-Umbert, A; Krajnc, A; Leoni, R; Boland, A; Nourbaksh, A; Kallor, A; Ducki, C; Venditti, D; Montesano, C; Cipriani, C; Faria, D; Pflieger, D; Zago, E; Bardet, E; Serrano, F; Jeanneret, F; Alouges, D; Yin, LW; Coquelet, E; Bacquet, A; Bonchi, F; Maiorino, F; Torino, F; Bedran, G; Long, JA; Balbi, L; Guyon, L; Bevilacqua, L; Fiorelli, M; Wagner, MC; Reyes, M; Roselli, M; Silva, MC; Waleron, M; Dovrolis, N; Filhol-Cochet, O; Um, IH; Wolflein, G; Eugénio, P; Bazelle, P; Golnas, P; Thorpe, P; Bove, P; Borole, P; Bernardini, R; Kumar, R; Cicconi, R; Kaltenbrunner, S; Gravina, S; Brezar, S; Symeonides, S; Mcginn, S; Nunes, S; Hupp, T; Gordienko, Y; Varvaras, D; Stirenko, S; Xumerle, L; Mariani, S; Bouzit, A; Gazut, S; Poth, H; Souliotis, K; Katifelis, H; Verzoni, E; Procopio, G; Schoch, S; Lupiáñez-Villanueva, F; Türk, S; Barud, K; Koroliouk, D; Caubet, J; Moreno, Y; Descotes, JL; Golna, C; Guadalupi, V; Garagnani, P; Gazouli, M; Deleuze, JF; Folkvord, F; Forgó, N; Harrison, DJ; Axelson, H; Stellato, A; Mattei, M; Rajan, A; Laird, A; Battail, C; Pesquita, C; Zanzotto, FM</t>
  </si>
  <si>
    <t>Integrating multi-modal patient data to support personalized medicine has gained a lot of interest across different health domains over the past decade. Addressing this challenge requires the development and implementation of an informed, evidence-based AI-driven decision-support system continuously maintained and updated to align with the latest clinical guidelines. A key challenge to ensure its real-life adoption lies in translating the outcomes of complex AI-driven data integration and modeling into a form easily understood by the clinical audience. To ensure explainability, knowledge graphs have emerged as data models integrating multi-omics data sources and representing them as interconnected networks. Knowledge graphs offer a framework which AI models can progressively refine, highlighting the most influential features and relationships facilitating transparency of complex interactions and interdependencies. In this perspective we present major components and challenges upon developing a knowledge-based explainable AI system. Additionally, we showcase a current effort undertaken by the Knowledge at the Tips of your Fingers (KATY) consortium to develop the infrastructure for an explainable system supporting best treatment decision for a renal cancer patient.</t>
  </si>
  <si>
    <t>Daghir-Wojtkowiak, Emilia; Alfaro, Javier; Mastromattei, Michele; Palkowski, Aleksander; Stares, Mark; Roca-Umbert, Ana; Krajnc, Andraz; Leoni, Riccardo; Boland, Anne; Nourbaksh, Aria; Kallor, Ashwin; Ducki, Camille; Venditti, Davide; Montesano, Carla; Cipriani, Chiara; Faria, Daniel; Pflieger, Delphine; Zago, Elisa; Bardet, Etienne; Serrano, Filipa; Jeanneret, Florian; Alouges, Damien; Yin, Liangwei; Coquelet, Elodine; Bacquet, Apolline; Bonchi, Francesco; Maiorino, Francesco; Torino, Francesco; Bedran, Georges; Long, Jean-Alexandre; Balbi, Laura; Guyon, Laurent; Bevilacqua, Liana; Fiorelli, Manuel; Wagner, Marie-Catherine; Reyes, Mario; Roselli, Mario; Silva, Marta Contreiras; Waleron, Michal; Dovrolis, Nikolas; Filhol-Cochet, Odile; Um, In Hwa; Wolflein, Georg; Eugenio, Patricia; Bazelle, Pauline; Golnas, Pavlos; Thorpe, Peter; Bove, Pierluigi; Borole, Piyush; Bernardini, Roberta; Kumar, Rohit; Cicconi, Rosella; Kaltenbrunner, Saskia; Gravina, Saverio; Brezar, Simona; Symeonides, Stefan; Mcginn, Steven; Nunes, Susana; Hupp, Ted; Gordienko, Yuri; Varvaras, Dimitrios; Stirenko, Sergii; Xumerle, Luciano; Mariani, Stefania; Bouzit, Assilah; Gazut, Stephane; Poth, Heiko; Souliotis, Kyriakos; Katifelis, Hector; Verzoni, Elena; Procopio, Giuseppe; Schoch, Sarah; Lupianez-Villanueva, Francisco; Turk, Sandra; Barud, Katarzyna; Koroliouk, Dimitri; Caubet, Juan; Moreno, Yamir; Descotes, Jean-Luc; Golna, Christina; Guadalupi, Valentina; Garagnani, Paolo; Gazouli, Maria; Deleuze, Jean-Francois; Folkvord, Frans; Forgo, Nikolaus; Harrison, David J.; Axelson, Hakan; Stellato, Armando; Mattei, Maurizio; Rajan, Ajitha; Laird, Alexander; Battail, Christophe; Pesquita, Catia; Zanzotto, Fabio Massimo</t>
  </si>
  <si>
    <t>Zanzotto, FM (corresponding author), Univ Roma Tor Vergata, Rome, Italy.</t>
  </si>
  <si>
    <t>fabio.massimo.zanzotto@uniroma2.it</t>
  </si>
  <si>
    <t>European Union programme [H2020-SCI-FA-DTS-2020-1, 101017453]</t>
  </si>
  <si>
    <t>European Union programme (European Union (EU))</t>
  </si>
  <si>
    <t>The author(s) declare that financial support was received for the research and/or publication of this article. This study was funded by the European Union programme Horizon 2020 under the call H2020-SCI-FA-DTS-2020-1 (contract number 101017453).</t>
  </si>
  <si>
    <t>[Daghir-Wojtkowiak, Emilia; Alfaro, Javier; Palkowski, Aleksander; Kallor, Ashwin; Bedran, Georges; Waleron, Michal] Univ Gdansk, Int Ctr Canc Vaccine Sci, Gdansk, Poland; [Mastromattei, Michele; Nourbaksh, Aria; Venditti, Davide; Montesano, Carla; Cipriani, Chiara; Maiorino, Francesco; Torino, Francesco; Fiorelli, Manuel; Roselli, Mario; Bove, Pierluigi; Bernardini, Roberta; Cicconi, Rosella; Stellato, Armando; Mattei, Maurizio; Zanzotto, Fabio Massimo] Univ Roma Tor Vergata, Rome, Italy; [Stares, Mark; Symeonides, Stefan; Laird, Alexander] NHS Lothian, Western Gen Hosp, Urol Dept, Edinburgh, Scotland; [Roca-Umbert, Ana; Lupianez-Villanueva, Francisco; Folkvord, Frans] PredictBy Res &amp; Consulting SLU, Barcelona, Spain; [Krajnc, Andraz; Thorpe, Peter; Brezar, Simona] Caretronic doo, Kranj, Slovenia; [Leoni, Riccardo; Gravina, Saverio] DSTECH Srl, Rome, Italy; [Boland, Anne; Mcginn, Steven; Deleuze, Jean-Francois] Univ Paris Saclay, Ctr Natl Rech Genom Humaine, CEA, Evry, France; [Ducki, Camille; Long, Jean-Alexandre; Bouzit, Assilah; Descotes, Jean-Luc] Ctr Hosp Univ Grenoble CHU, Grenoble, France; [Faria, Daniel; Serrano, Filipa; Balbi, Laura; Silva, Marta Contreiras; Eugenio, Patricia; Nunes, Susana; Gazut, Stephane; Pesquita, Catia] Univ Lisbon, Fac Ciencias, LASIGE, Lisbon, Portugal; [Pflieger, Delphine; Bardet, Etienne; Jeanneret, Florian; Alouges, Damien; Yin, Liangwei; Coquelet, Elodine; Bacquet, Apolline; Guyon, Laurent; Filhol-Cochet, Odile; Bazelle, Pauline; Battail, Christophe] Univ Grenoble Alpes, IRIG, Lab Biosci &amp; Bioingn Sante, INSERM,CEA,UGA,UA2, Grenoble, France; [Zago, Elisa; Xumerle, Luciano; Mariani, Stefania; Garagnani, Paolo] Personal Genom Srl, Verona, Italy; [Bonchi, Francesco; Reyes, Mario; Kumar, Rohit; Caubet, Juan] Ctr Tecnol Catalunya, Eurecat, Barcelona, Spain; [Bevilacqua, Liana; Verzoni, Elena; Procopio, Giuseppe; Guadalupi, Valentina] Fdn IRCCS Ist Nazl Tumori INT, Milan, Italy; [Wagner, Marie-Catherine; Kaltenbrunner, Saskia; Barud, Katarzyna; Forgo, Nikolaus] Univ Vienna, Dept Innovat &amp; Digitalisat Law, Vienna, Austria; [Dovrolis, Nikolas; Katifelis, Hector; Gazouli, Maria] Natl &amp; Kapodistrian Univ Athens, Med Sch, Lab Biol, Athens, Greece; [Um, In Hwa; Wolflein, Georg; Harrison, David J.] Univ St Andrews, Sch Med, St Andrews, Scotland; [Golnas, Pavlos; Varvaras, Dimitrios; Souliotis, Kyriakos; Golna, Christina] Hlth Policy Inst HPI, Maroussi, Greece; [Borole, Piyush; Rajan, Ajitha] Univ Edinburgh, Sch Informat, Edinburgh, Scotland; [Hupp, Ted] Univ Edinburgh, Inst Genet &amp; Canc, Edinburgh, Scotland; [Gordienko, Yuri; Stirenko, Sergii; Koroliouk, Dimitri] Natl Tech Univ Ukraine, Igor Sikorsky Kyiv Polytech Inst, Kyiv, Ukraine; [Poth, Heiko; Turk, Sandra] EURICE, Heinrich Hertz Allee 1, St Ingbert, Germany; [Schoch, Sarah; Axelson, Hakan] Lund Univ, Dept Lab Med, Div Translat Canc Res, Lund, Sweden; [Lupianez-Villanueva, Francisco] Open Univ Catalonia, Barcelona, Spain; [Moreno, Yamir] Univ Zaragoza, Inst Biocomputat &amp; Phys Complex Syst, Zaragoza, Spain; [Moreno, Yamir] Univ Zaragoza, Dept Theoret Phys, Zaragoza, Spain; [Folkvord, Frans] Tilburg Sch Humanities &amp; Digital Sci, Dept Commun &amp; Cognit, Tilburg, Netherlands</t>
  </si>
  <si>
    <t>Fahrenheit Universities; University of Gdansk; University of Rome Tor Vergata; University of Edinburgh; Universite Paris Saclay; CEA; Universidade de Lisboa; Communaute Universite Grenoble Alpes; Institut National de la Sante et de la Recherche Medicale (Inserm); CEA; Universite Grenoble Alpes (UGA); Fondazione IRCCS Istituto Nazionale Tumori Milan; University of Vienna; National &amp; Kapodistrian University of Athens; University of St Andrews; University of Edinburgh; University of Edinburgh; Ministry of Education &amp; Science of Ukraine; Igor Sikorsky Kyiv Polytechnic Institute; Lund University; UOC Universitat Oberta de Catalunya; University of Zaragoza; University of Zaragoza; Tilburg University</t>
  </si>
  <si>
    <t>Leveraging knowledge for explainable AI in personalized cancer treatment: challenges and future directions</t>
  </si>
  <si>
    <t>FRONTIERS IN DIGITAL HEALTH</t>
  </si>
  <si>
    <t>personalized cancer treatment; knowledge graphs; explainability; AI; foundation models; clinical decision-making</t>
  </si>
  <si>
    <t>MANAGEMENT; DECISIONS; SYSTEM</t>
  </si>
  <si>
    <t>DESCOTES, Jean/P-3419-2014; Katifelis, Hector/OFO-0887-2025; Bove, Pierluigi/AAR-7019-2020; Moreno, Yamir/A-1076-2009; Gazouli, Maria/I-2572-2018; Zanzotto, Fabio/L-6634-2015; Guadalupi, Valentina/AAB-3460-2021; Pesquita, Catia/O-8883-2015; Verzoni, Elena/K-6025-2016; SOULIOTIS, KYRIAKOS/AAM-3164-2021; /A-9181-2012; Filhol-Cochet, Odile/I-3962-2016; Mattei, Maurizio/AAC-1303-2019; PFLIEGER, Delphine/ABD-1496-2021; Nunes, Susana/LKO-4336-2024; Torino, Francesco/AAU-5873-2021; Stirenko, Sergii/AAD-8345-2019; Mastromattei, Michele/NYS-4337-2025; Cipriani, Chiara/AAC-3669-2022; Palkowski, Aleksander/J-7272-2012; Stellato, Armando/K-8181-2015; Gordienko, Yuri/J-8880-2017; Waleron, Malgorzata/KJM-8211-2024; Bernardini, Roberta/AAC-1301-2019; Procopio, Giuseppe/K-2072-2016; Roselli, Mario/AAJ-5481-2020</t>
  </si>
  <si>
    <t>Pesquita, Catia/0000-0002-1847-9393; Um, In Hwa/0000-0001-9999-4292; Nunes, Susana/0000-0002-0160-5875; Rajan, Ajitha/0000-0003-3765-3075; PFLIEGER, Delphine/0000-0003-2122-3900; Dovrolis, Nikolas/0000-0003-3832-9939</t>
  </si>
  <si>
    <t>2673-253X</t>
  </si>
  <si>
    <t>FRONT DIGIT HEALTH</t>
  </si>
  <si>
    <t>Front. Digit. Health</t>
  </si>
  <si>
    <t>SEP 29 2025</t>
  </si>
  <si>
    <t>1637195</t>
  </si>
  <si>
    <t>10.3389/fdgth.2025.1637195</t>
  </si>
  <si>
    <t>http://dx.doi.org/10.3389/fdgth.2025.1637195</t>
  </si>
  <si>
    <t>8LI0G</t>
  </si>
  <si>
    <t>41089270</t>
  </si>
  <si>
    <t>WOS:001591391600001</t>
  </si>
  <si>
    <t>Khan, AE; Hasan, MJ; Anjum, H; Mohammed, N; Momen, S</t>
  </si>
  <si>
    <t>Life satisfaction is a crucial facet of human well-being. Hence, research on life satisfaction is incumbent for understanding how individuals experience their lives and influencing interventions targeted at enhancing mental health and well-being. Life satisfaction has traditionally been measured using analog, complicated, and frequently error-prone methods. These methods raise questions concerning validation and propagation. However, this study demonstrates the potential for machine learning algorithms to predict life satisfaction with a high accuracy of 93.80% and a 73.00% macro F1-score. The dataset comes from a government survey of 19000 people aged 16-64 years in Denmark. Using feature learning techniques, 27 significant questions for assessing contentment were extracted, making the study highly reproducible, simple, and easily interpretable. Furthermore, clinical and biomedical large language models (LLMs) were explored for predicting life satisfaction by converting tabular data into natural language sentences through mapping and adding meaningful counterparts, achieving an accuracy of 93.74% and macro F1- score of 73.21%. It was found that life satisfaction prediction is more closely related to the biomedical domain than the clinical domain. Ablation studies were also conducted to understand the impact of data resampling and feature selection techniques on model performance. Moreover, the correlation between primary determinants with different age brackets was analyzed, and it was found that health condition is the most important determinant across all ages. The best performing Machine Learning model trained in this study is deployed on a public server, ensuring unrestricted usage of the model. We highlight the advantages of machine learning methods for predicting life satisfaction and the significance of XAI for interpreting and validating these predictions. This study demonstrates how machine learning, large language models and XAI can jointly contribute to building trust and understanding in using AI to investigate human behavior, with significant ramifications for academics and professionals working to quantify and comprehend subjective well-being.</t>
  </si>
  <si>
    <t>Khan, Alif Elham; Hasan, Mohammad Junayed; Anjum, Humayra; Mohammed, Nabeel; Momen, Sifat</t>
  </si>
  <si>
    <t>Khan, AE (corresponding author), North South Univ, Dept Elect &amp; Comp Engn, Plot 15,Block B,Bashundhara R-A, Dhaka 1229, Bangladesh.</t>
  </si>
  <si>
    <t>alif.khan1@northsouth.edu</t>
  </si>
  <si>
    <t>[Khan, Alif Elham; Hasan, Mohammad Junayed; Anjum, Humayra; Mohammed, Nabeel; Momen, Sifat] North South Univ, Dept Elect &amp; Comp Engn, Plot 15,Block B,Bashundhara R-A, Dhaka 1229, Bangladesh</t>
  </si>
  <si>
    <t>Predicting life satisfaction using machine learning and explainable AI</t>
  </si>
  <si>
    <t>HELIYON</t>
  </si>
  <si>
    <t>Machine learning; Explainable AI; Life satisfaction; Ensemble model</t>
  </si>
  <si>
    <t>HEALTH</t>
  </si>
  <si>
    <t>Hasan, Mohammad Junayed/0009-0008-3451-0267; Khan, Alif Elham/0009-0002-3275-0001; Momen, Sifat/0000-0001-8683-7247</t>
  </si>
  <si>
    <t>59</t>
  </si>
  <si>
    <t>2405-8440</t>
  </si>
  <si>
    <t>Heliyon</t>
  </si>
  <si>
    <t>MAY 30 2024</t>
  </si>
  <si>
    <t>e31158</t>
  </si>
  <si>
    <t>10.5061/dryad.qd2nj</t>
  </si>
  <si>
    <t>http://dx.doi.org/10.5061/dryad.qd2nj</t>
  </si>
  <si>
    <t>D8G5X</t>
  </si>
  <si>
    <t>38818204</t>
  </si>
  <si>
    <t>WOS:001298513600001</t>
  </si>
  <si>
    <t>Abdelsabour, I; Elgarayhi, A; Sallah, M; Elmogy, M</t>
  </si>
  <si>
    <t>Breast cancer (BC) remains one of the leading causes of death among women in the world, depending on the requirement for precise, effective, and interpretable computer-aided diagnosis systems (CADs). In this work, a hybrid deep learning (DL) framework is presented for multi-class BI-RADS BC classification using mammographic images. This framework fuses MobileNetV1, a lightweight convolutional neural network (CNN), to capture fine-grained local features and combines it with a Vision Transformer (ViT) to model global contextual connections, thereby enabling corresponding representation learning through a dual-stream structure. The evaluation was performed on the publicly available King Abdulaziz University BC Mammogram Dataset (KAUBC), which includes multi-view mammograms (craniocaudal (CC) and mediolateral oblique (MLO)) arranged according to the BI-RADS classification scheme and characterized by class imbalance. Feature-level fusion is performed, followed by a bagging-based logistic regression (LR) classifier to enhance robustness and decrease prediction conflict. The proposed approach was extensively analyzed using 5-fold cross-validation and compared with multiple state-of-the-art CNN and transformer models, each fused with various machine learning (ML) classifiers. The experimental results demonstrate higher and stable performance across all BI-RADS categories, with accuracy (ACC), sensitivity (SEN), and specificity (SPE) exceeding 99%. In addition, explainable artificial intelligence (XAI) techniques, including Grad-CAM and Grad-CAM++, were applied to provide clinically interpretable visual explanations by highlighting diagnostically relevant regions in mammograms. These results indicate that the proposed MobileNetV1-ViT-Bagging framework recommends an effective, computationally structured, and explainable solution for multi-class BI-RADS BC diagnosis, with strong potential for clinical decision-support applications.</t>
  </si>
  <si>
    <t>Abdelsabour, Israa; Elgarayhi, Ahmed; Sallah, Mohammed; Elmogy, Mohammed</t>
  </si>
  <si>
    <t>Elmogy, M (corresponding author), Mansoura Univ, Fac Comp &amp; Informat, Informat Technol Dept, Mansoura 35516, Egypt.</t>
  </si>
  <si>
    <t>melmogy@mans.edu.eg</t>
  </si>
  <si>
    <t>Mansoura University</t>
  </si>
  <si>
    <t>Mansoura University (Egyptian Knowledge Bank (EKB), Mansoura University)</t>
  </si>
  <si>
    <t>Open access funding provided by The Science, Technology &amp; Innovation Funding Authority (STDF) in cooperation with The Egyptian Knowledge Bank (EKB).</t>
  </si>
  <si>
    <t>[Abdelsabour, Israa; Elgarayhi, Ahmed; Sallah, Mohammed] Mansoura Univ, Fac Sci, Phys Dept, Mansoura 35516, Egypt; [Elmogy, Mohammed] Mansoura Univ, Fac Comp &amp; Informat, Informat Technol Dept, Mansoura 35516, Egypt</t>
  </si>
  <si>
    <t>Egyptian Knowledge Bank (EKB); Mansoura University; Egyptian Knowledge Bank (EKB); Mansoura University</t>
  </si>
  <si>
    <t>Different BI-RADS breast cancer diagnosis using MobileNetV1 and vision transformer based on explainable artificial intelligence (XAI)</t>
  </si>
  <si>
    <t>DENSITY</t>
  </si>
  <si>
    <t>Elmogy, Mohammed/E-3428-2018</t>
  </si>
  <si>
    <t>FEB 17 2026</t>
  </si>
  <si>
    <t>7190</t>
  </si>
  <si>
    <t>10.1038/s41598-026-37199-2</t>
  </si>
  <si>
    <t>http://dx.doi.org/10.1038/s41598-026-37199-2</t>
  </si>
  <si>
    <t>EA3AS</t>
  </si>
  <si>
    <t>41702964</t>
  </si>
  <si>
    <t>WOS:001696313500001</t>
  </si>
  <si>
    <t>Alhumaid, M; Fayoumi, AG</t>
  </si>
  <si>
    <t>Accurate diagnosis of sinusitis is essential due to its widespread prevalence and its considerable impact on patient quality of life. While multiple imaging techniques are available for detecting maxillary sinus, computed tomography (CT) remains the preferred modality because of its high sensitivity and spatial resolution. Although recent advances in deep learning have led to the development of automated methods for sinusitis classification, many existing models perform poorly in the presence of complex pathological features and offer limited interpretability, which hinders their integration into clinical workflows. In this study, we propose a hybrid deep learning framework that combines EfficientNetB0, a convolutional neural network, with the Swin Transformer, a vision transformer, to improve feature representation. An attention-based fusion module is used to integrate both local and global information, thereby enhancing diagnostic accuracy. To improve transparency and support clinical adoption, the model incorporates explainable artificial intelligence (XAI) techniques using Gradient-weighted Class Activation Mapping (Grad-CAM). This allows for visualization of the regions influencing the model's predictions, helping radiologists assess the clinical relevance of the results. We evaluate the proposed method on a curated maxillary sinus CT dataset covering four diagnostic categories: Normal, Opacified, Polyposis, and Retention Cysts. The model achieves a classification accuracy of 95.83%, with precision, recall, and F1 score all at 95%. Grad-CAM visualizations indicate that the model consistently focuses on clinically significant regions of the sinus anatomy, supporting its potential utility as a reliable diagnostic aid in medical practice.</t>
  </si>
  <si>
    <t>Alhumaid, Mohammad; Fayoumi, Ayman G.</t>
  </si>
  <si>
    <t>Alhumaid, M (corresponding author), King Abdulaziz Univ, Fac Comp &amp; Informat Technol, Informat Syst Dept, Jeddah 21589, Saudi Arabia.; Alhumaid, M (corresponding author), Univ Hail, Coll Comp Sci &amp; Engn, Hail 81481, Saudi Arabia.</t>
  </si>
  <si>
    <t>malhumaid0003@stu.kau.edu.sa; afayoumi@kau.edu.sa</t>
  </si>
  <si>
    <t>Faculty of Computing and Information Technology (FCIT), King Abdulaziz University (KAU), Jeddah, Saudi Arabia</t>
  </si>
  <si>
    <t>The authors gratefully acknowledge the support provided by the Faculty of Computing and Information Technology (FCIT), King Abdulaziz University (KAU), Jeddah, Saudi Arabia.</t>
  </si>
  <si>
    <t>[Alhumaid, Mohammad; Fayoumi, Ayman G.] King Abdulaziz Univ, Fac Comp &amp; Informat Technol, Informat Syst Dept, Jeddah 21589, Saudi Arabia; [Alhumaid, Mohammad] Univ Hail, Coll Comp Sci &amp; Engn, Hail 81481, Saudi Arabia</t>
  </si>
  <si>
    <t>King Abdulaziz University; University Ha'il</t>
  </si>
  <si>
    <t>Hybrid CNN-Swin Transformer Model to Advance the Diagnosis of Maxillary Sinus Abnormalities on CT Images Using Explainable AI</t>
  </si>
  <si>
    <t>COMPUTERS</t>
  </si>
  <si>
    <t>maxillary sinus; deep learning; vision transformer; grad-cam</t>
  </si>
  <si>
    <t>ACCURACY</t>
  </si>
  <si>
    <t>Fayoumi, Ayman/E-7236-2014</t>
  </si>
  <si>
    <t>Fayoumi, Ayman/0000-0002-4160-3305</t>
  </si>
  <si>
    <t>2073-431X</t>
  </si>
  <si>
    <t>Computers</t>
  </si>
  <si>
    <t>OCT 2 2025</t>
  </si>
  <si>
    <t>419</t>
  </si>
  <si>
    <t>10.3390/computers14100419</t>
  </si>
  <si>
    <t>http://dx.doi.org/10.3390/computers14100419</t>
  </si>
  <si>
    <t>Computer Science, Interdisciplinary Applications</t>
  </si>
  <si>
    <t>9BM1C</t>
  </si>
  <si>
    <t>WOS:001602377500001</t>
  </si>
  <si>
    <t>Liu, JY; He, SR; Zhang, H; Mai, HZ; Li, XZ; Liang, H; Cui, P; Lan, LY; Liao, WP; Huang, QQ; Ning, H; Li, ZX; Liang, YX; Yang, X; Huang, JG</t>
  </si>
  <si>
    <t>Background Liver cirrhosis (LC) is a chronic liver disease with global prevalence. Current diagnostic methods for LC still face limitations in safety and accessibility. We aimed to develop an interpretable machine learning (ML) prediction model for LC using gut microbes and deploy it as a web-based clinical decision support tool. Methods Data were retrieved from PubMed and BioProject databases. Bioinformatics re-analysis and discriminant analysis effect size (LEfSe) analysis was conducted to preliminarily identify key genera associated with LC. Further feature selection was performed using Least Absolute Shrinkage and Selection Operator (LASSO) regression. The independent datasets were combined to form an integrated dataset, which was then subjected to five-fold cross-validation and leave-one-dataset-out (LODO) analysis. Model performance was evaluated using metrics such as the area under the receiver operating characteristic curve (AUC), and the optimal model was selected. The decision mechanism of the optimal model was interpreted using SHapley Additive exPlanations (SHAP), and the model was deployed as a web application using the Streamlit framework. Results We ultimately included 11 datasets related to LC. The genera Veillonella, Lachnospira, Romboutsia, Akkermansia, Erysipelatoclostridium, Prevotella, UCG.005, and Streptococcus were identified as key predictors distinguishing LC patients from healthy controls. The Random Forest (RF) model demonstrated the best predictive performance (AUC in five-fold cross-validation: 0.875, 95% CI: 0.823-0.905; AUC in LODO analysis: 0.793, 95% CI: 0.702-0.940) and was deployed as an online LC prediction tool. Conclusion The interpretable RF model, along with its web-based implementation, has the potential to provide decision support for healthcare professionals and shows promise as a valuable auxiliary tool for LC screening and early clinical intervention.</t>
  </si>
  <si>
    <t>Liu, Jianyuan; He, Shiran; Zhang, Heng; Mai, Huanzhuo; Li, Xiaozhen; Liang, Hao; Cui, Ping; Lan, Liuyan; Liao, Wenping; Huang, Qianqian; Ning, Huan; Li, Zhuoxin; Liang, Yunxiao; Yang, Xing; Huang, Jiegang</t>
  </si>
  <si>
    <t>Huang, JG (corresponding author), Guangxi Med Univ, Sch Publ Hlth, Nanning, Guangxi, Peoples R China.; Huang, JG (corresponding author), Guangxi Acad Artificial Intelligence, Nanning, Guangxi, Peoples R China.; Huang, JG (corresponding author), Guangxi Med Univ, Guangxi Key Lab AIDS Prevent &amp; Treatment, Nanning, Guangxi, Peoples R China.; Huang, JG (corresponding author), Guangxi Med Univ, Educ Dept Guangxi Zhuang Autonomous Reg, Key Lab Prevent &amp; Control Highly Prevalent Dis, Nanning, Guangxi, Peoples R China.; Liang, YX; Yang, X (corresponding author), Guangxi Acad Med Sci, Nanning, Guangxi, Peoples R China.; Liang, YX (corresponding author), Dept Gastroenterol, Peoples Hosp Guangxi Zhuang Autonomous Reg, Nanning, Guangxi, Peoples R China.; Yang, X (corresponding author), Peoples Hosp Guangxi Zhuang Autonomous Reg, Res Ctr, Nanning, Guangxi, Peoples R China.</t>
  </si>
  <si>
    <t>jieganghuang@gxmu.edu.cn; yangxingastrid@163.com; yxliang@gxams.org.cn</t>
  </si>
  <si>
    <t>National Natural Science Foundation of China [82160385, 82273694]; Natural Science Foundation of Guangxi Zhuang AutonomousRegion [2024GXNSFBA010104, 2023GXNSFDA026036]; Guangxi Zhuang Autonomous Region "Qingmiao" Talent Funding Research Project (To Xing Yang); Science and Technology Project for Disease Control and Prevention of Guangxi Zhuang Autonomous Region [GXJKKJ2025ZC004]</t>
  </si>
  <si>
    <t>National Natural Science Foundation of China (National Natural Science Foundation of China (NSFC)); Natural Science Foundation of Guangxi Zhuang AutonomousRegion (National Natural Science Foundation of Guangxi Province); Guangxi Zhuang Autonomous Region "Qingmiao" Talent Funding Research Project (To Xing Yang); Science and Technology Project for Disease Control and Prevention of Guangxi Zhuang Autonomous Region</t>
  </si>
  <si>
    <t>This research was supported by the Natural Science Foundation of Guangxi Zhuang Autonomous Region (grant no. 2024GXNSFBA010104), the Science and Technology Project for Disease Control and Prevention of Guangxi Zhuang Autonomous Region (grant no. GXJKKJ2025ZC004), the Scientific Research Start-up Foundation of People's Hospital of Guangxi Zhuang Autonomous Region (grant no. YKY-GCRC-202509), the Guangxi Zhuang Autonomous Region "Qingmiao" Talent Funding Research Project (to Xing Yang), and the Open Research Project from Key Laboratory of Prevention and Control of Highly Prevalent Diseases (grant no. KLPCHPD202501).</t>
  </si>
  <si>
    <t>[Liu, Jianyuan; He, Shiran; Zhang, Heng; Liang, Hao; Liao, Wenping; Huang, Qianqian; Ning, Huan; Li, Zhuoxin; Huang, Jiegang] Guangxi Med Univ, Sch Publ Hlth, Nanning, Guangxi, Peoples R China; [Liu, Jianyuan; Huang, Jiegang] Guangxi Acad Artificial Intelligence, Nanning, Guangxi, Peoples R China; [Liu, Jianyuan; He, Shiran; Zhang, Heng; Liang, Hao; Cui, Ping; Liao, Wenping; Huang, Qianqian; Ning, Huan; Li, Zhuoxin; Huang, Jiegang] Guangxi Med Univ, Guangxi Key Lab AIDS Prevent &amp; Treatment, Nanning, Guangxi, Peoples R China; [Liu, Jianyuan; He, Shiran; Zhang, Heng; Liao, Wenping; Huang, Qianqian; Ning, Huan; Li, Zhuoxin; Huang, Jiegang] Guangxi Med Univ, Educ Dept Guangxi Zhuang Autonomous Reg, Key Lab Prevent &amp; Control Highly Prevalent Dis, Nanning, Guangxi, Peoples R China; [Mai, Huanzhuo] Capital Med Univ, Sch Publ Hlth, Beijing, Peoples R China; [Li, Xiaozhen] Peoples Hosp Guangxi Zhuang Autonomous Reg, Outpatient Dept, Nanning, Guangxi, Peoples R China; [Li, Xiaozhen; Lan, Liuyan; Liang, Yunxiao; Yang, Xing] Guangxi Acad Med Sci, Nanning, Guangxi, Peoples R China; [Liang, Hao; Cui, Ping] Guangxi Med Univ, Life Sci Inst, Nanning, Guangxi, Peoples R China; [Lan, Liuyan] Peoples Hosp Guangxi Zhuang Autonomous Reg, Off Hosp Qual &amp; Safety Management Comm, Nanning, Guangxi, Peoples R China; [Liang, Yunxiao] Dept Gastroenterol, Peoples Hosp Guangxi Zhuang Autonomous Reg, Nanning, Guangxi, Peoples R China; [Yang, Xing] Peoples Hosp Guangxi Zhuang Autonomous Reg, Res Ctr, Nanning, Guangxi, Peoples R China</t>
  </si>
  <si>
    <t>Guangxi Medical University; Guangxi Medical University; Guangxi Medical University; Capital Medical University; Guangxi Medical University</t>
  </si>
  <si>
    <t>Machine learning-driven clinical decision support for liver cirrhosis: a gut microbiome-based web prediction model with explainable AI integration</t>
  </si>
  <si>
    <t>BMC GASTROENTEROLOGY</t>
  </si>
  <si>
    <t>Gut microbiota; 16S ribosomal RNA gene amplicon sequencing; Liver cirrhosis; Machine learning; Web-based deployment</t>
  </si>
  <si>
    <t>METABOLISM; DIAGNOSIS; FIBROSIS</t>
  </si>
  <si>
    <t>Huang, Jiegang/Y-5218-2018</t>
  </si>
  <si>
    <t>68</t>
  </si>
  <si>
    <t>1471-230X</t>
  </si>
  <si>
    <t>BMC GASTROENTEROL</t>
  </si>
  <si>
    <t>BMC Gastroenterol.</t>
  </si>
  <si>
    <t>MAY 6 2026</t>
  </si>
  <si>
    <t>318</t>
  </si>
  <si>
    <t>10.1186/s12876-026-04890-7</t>
  </si>
  <si>
    <t>http://dx.doi.org/10.1186/s12876-026-04890-7</t>
  </si>
  <si>
    <t>Gastroenterology &amp; Hepatology</t>
  </si>
  <si>
    <t>IH9SF</t>
  </si>
  <si>
    <t>42092798</t>
  </si>
  <si>
    <t>WOS:001772124600001</t>
  </si>
  <si>
    <t>Yagin, FH; Inceoglu, F; Colak, C; Alkhalifa, AK; Alzakari, SA; Aghaei, M</t>
  </si>
  <si>
    <t>Aim: Nephrotic syndrome (NS) represents a complex glomerular disorder with significant clinical heterogeneity across pediatric and adult populations. Although glucocorticosteroids have constituted the mainstay of therapeutic intervention for more than six decades, primary treatment resistance manifests in approximately 20% of pediatric patients and 50% of adult cohorts. Steroid-resistant nephrotic syndrome (SRNS) is associated with substantially greater morbidity compared to steroid-sensitive nephrotic syndrome (SSNS), characterized by both iatrogenic glucocorticoid toxicity and progressive nephron loss with attendant decline in renal function. Based on this, the current study aims to develop a robust machine learning (ML) model integrated with explainable artificial intelligence (XAI) to distinguish SRNS and identify important biomarker candidate metabolites. Methods: In the study, biomarker candidate compounds obtained from proton nuclear magnetic resonance (1 H NMR) metabolomics analyses on plasma samples taken from 41 patients with NS (27 SSNS and 14 SRNS) were used. We developed ML models to predict steroid resistance in pediatric NS using metabolomic data. After preprocessing with MICE-LightGBM imputation for missing values (&lt;30%) and standardization, the dataset was randomly split into training (80%) and testing (20%) sets, repeated 100 times for robust evaluation. Four supervised algorithms (XGBoost, LightGBM, AdaBoost, and Random Forest) were trained and evaluated using AUC, sensitivity, specificity, F1-score, accuracy, and Brier score. XAI methods including SHAP (for global feature importance and model interpretability) and LIME (for individual patient-level explanations) were applied to identify key metabolomic biomarkers and ensure clinical transparency of predictions. Results: Among four ML algorithms evaluated, Random Forest demonstrated superior performance with the highest accuracy (0.87 +/- 0.12), sensitivity (0.90 +/- 0.18), AUC (0.92 +/- 0.09), and lowest Brier score (0.20 +/- 0.03), followed by LightGBM, AdaBoost, and XGBoost. The superiority of the Random Forest model was confirmed by paired t-tests, which revealed significantly higher AUC and lower Brier scores compared to all other algorithms (p &lt; 0.05). SHAP analysis identified key metabolomic biomarkers consistently across all models, including glucose, creatine, 1-methylhistidine, homocysteine, and acetone. Low glucose and creatine levels were positively associated with steroid resistance risk, while higher propylene glycol and carnitine concentrations increased SRNS probability. LIME analysis provided patient-specific interpretability, confirming these metabolomic patterns at individual level. The XAI approach successfully identified clinically relevant metabolomic signatures for predicting steroid resistance with high accuracy and interpretability. Conclusions: The present study successfully identified candidate metabolomic biomarkers capable of predicting SRNS prior to treatment initiation and elucidating critical molecular mechanisms underlying steroid resistance regulation.</t>
  </si>
  <si>
    <t>Yagin, Fatma Hilal; Inceoglu, Feyza; Colak, Cemil; Alkhalifa, Amal K.; Alzakari, Sarah A.; Aghaei, Mohammadreza</t>
  </si>
  <si>
    <t>Yagin, FH (corresponding author), Malatya Turgut Ozal Univ, Fac Med, Dept Biostat, TR-44280 Malatya, Turkiye.; Yagin, FH (corresponding author), Lakehead Univ, Dept Comp Sci, Thunder Bay, ON P7B 5E1, Canada.; Aghaei, M (corresponding author), Norwegian Univ Sci &amp; Technol NTNU, Dept Ocean Operat &amp; Civil Engn, N-6002 Alesund, Norway.</t>
  </si>
  <si>
    <t>hilal.yagin@gmail.com; mohammadreza.aghaei@ntnu.no</t>
  </si>
  <si>
    <t>Princess Nourah bint Abdulrahman University [PNURSP2025R721]</t>
  </si>
  <si>
    <t>Princess Nourah bint Abdulrahman University (Princess Nourah bint Abdulrahman University)</t>
  </si>
  <si>
    <t>Princess Nourah bint Abdulrahman University Researchers Supporting Project number (PNURSP2025R721), Princess Nourah bint Abdulrahman University, Riyadh, Saudi Arabia.</t>
  </si>
  <si>
    <t>[Yagin, Fatma Hilal; Inceoglu, Feyza] Malatya Turgut Ozal Univ, Fac Med, Dept Biostat, TR-44280 Malatya, Turkiye; [Yagin, Fatma Hilal] Lakehead Univ, Dept Comp Sci, Thunder Bay, ON P7B 5E1, Canada; [Colak, Cemil] Inonu Univ, Fac Med, Dept Biostat &amp; Med Informat, TR-44280 Malatya, Turkiye; [Alkhalifa, Amal K.; Alzakari, Sarah A.] Princess Nourah bint Abdulrahman Univ, Coll Comp &amp; Informat Sci, Dept Comp Sci, POB 84428, Riyadh 11671, Saudi Arabia; [Aghaei, Mohammadreza] Norwegian Univ Sci &amp; Technol NTNU, Dept Ocean Operat &amp; Civil Engn, N-6002 Alesund, Norway</t>
  </si>
  <si>
    <t>Malatya Turgut Ozal University; Lakehead University; Inonu University; Princess Nourah bint Abdulrahman University; Norwegian University of Science &amp; Technology (NTNU)</t>
  </si>
  <si>
    <t>Machine Learning-Integrated Explainable Artificial Intelligence Approach for Predicting Steroid Resistance in Pediatric Nephrotic Syndrome: A Metabolomic Biomarker Discovery Study</t>
  </si>
  <si>
    <t>PHARMACEUTICALS</t>
  </si>
  <si>
    <t>explainable artificial intelligence; pediatric nephrotic syndrome; metabolomic biomarker discovery; steroid resistance prediction</t>
  </si>
  <si>
    <t>CHILDREN; HOMOCYSTEINE; MECHANISMS</t>
  </si>
  <si>
    <t>ÇOLAK, Cemil/ABI-3261-2020; Aghaei, Mohammadreza/Y-3934-2018; İnceoğlu, Feyza/GVK-2847-2022; YAĞIN, Fatma Hilal/ABI-8066-2020</t>
  </si>
  <si>
    <t>ÇOLAK, Cemil/0000-0001-5406-098X; Aghaei, Mohammadreza/0000-0001-5735-3825; İnceoğlu, Feyza/0000-0003-1453-0937; YAĞIN, Fatma Hilal/0000-0002-9848-7958</t>
  </si>
  <si>
    <t>1424-8247</t>
  </si>
  <si>
    <t>PHARMACEUTICALS-BASE</t>
  </si>
  <si>
    <t>Pharmaceuticals</t>
  </si>
  <si>
    <t>NOV 1 2025</t>
  </si>
  <si>
    <t>1659</t>
  </si>
  <si>
    <t>10.3390/ph18111659</t>
  </si>
  <si>
    <t>http://dx.doi.org/10.3390/ph18111659</t>
  </si>
  <si>
    <t>H5123</t>
  </si>
  <si>
    <t>41304904</t>
  </si>
  <si>
    <t>WOS:001625620000001</t>
  </si>
  <si>
    <t>Ayon, SS; Al Mamun, A; Hossain, ME; Alamro, W; Allawi, YM; Prova, NNI; Miah, MSU; Sultan, SM; Abadleh, A</t>
  </si>
  <si>
    <t>Mental health challenges in Thalassemia patients are often overlooked, despite their significant impact on quality of life. Traditional statistical and machine learning approaches often fail to capture the complex, nonlinear relationships between psychosocial and clinical variables, limiting both accuracy and interpretability. To overcome this, we propose the Adaptive Multi-Stage Ensemble with Dynamic Feature Interaction (AMSE-DFI)-a novel feature selection framework that dynamically integrates mutual information, ensemble learning, and graph attention mechanisms to capture intricate feature interdependencies often missed by traditional approaches. Using the SF-36 health survey data from 356 Bangladeshi patients, AMSE-DFI effectively identified key predictors such as total SF score, role emotional, and physical health summary, which collectively reflect both physical and psychological well-being. The model outperformed conventional approaches, showing strong predictive reliability and robust generalization, with SMOTE effectively addressing class imbalance in the clinical data. Importantly, Local Interpretable Model-Agnostic Explanations (LIME) based explainable AI offered clear, interpretable insights into how key features affect individual patient outcomes, making the model more understandable and actionable for clinicians. This framework provides a practical, transparent tool to support early detection and personalized management of mental health challenges in Thalassemia care.</t>
  </si>
  <si>
    <t>Ayon, Shahriar Siddique; Al Mamun, Abdullah; Hossain, Md. Ebrahim; Alamro, Wasan; Allawi, Yazan M.; Prova, Nuzhat Noor Islam; Miah, Md. Saef Ullah; Sultan, Salman Md; Abadleh, Ahmad</t>
  </si>
  <si>
    <t>Allawi, YM (corresponding author), Princess Nourah Bint Abdulrahman Univ, Coll Engn, Dept Elect Engn, Riyadh, Saudi Arabia.</t>
  </si>
  <si>
    <t>ymallawi@pnu.edu.sa</t>
  </si>
  <si>
    <t>Princess Nourah Bint Abdulrahman University [PNURSP2026R829]</t>
  </si>
  <si>
    <t>Princess Nourah Bint Abdulrahman University (Princess Nourah bint Abdulrahman University)</t>
  </si>
  <si>
    <t>This work was supported by Princess Nourah bint Abdulrahman University Researchers Supporting Project number (PNURSP2026R829), Princess Nourah bint Abdulrahman University, Riyadh, Saudi Arabia. The funders had no role in study design, data collection and analysis, decision to publish, or preparation of the manuscript.</t>
  </si>
  <si>
    <t>[Ayon, Shahriar Siddique; Hossain, Md. Ebrahim; Miah, Md. Saef Ullah] Amer Int Univ Bangladesh AIUB, Dept Comp Sci &amp; Engn, Dhaka, Bangladesh; [Al Mamun, Abdullah] Dhaka Univ Engn &amp; Technol DUET, Dept Comp Sci &amp; Engn, Gazipur, Bangladesh; [Alamro, Wasan] Al Ahliyya Amman Univ, Fac Engn, Dept Commun &amp; Comp Engn, Amman, Jordan; [Allawi, Yazan M.] Princess Nourah Bint Abdulrahman Univ, Coll Engn, Dept Elect Engn, Riyadh, Saudi Arabia; [Prova, Nuzhat Noor Islam] Pace Univ, Seidenberg Sch, Dept Comp Sci &amp; Informat Syst, New York, NY USA; [Sultan, Salman Md] Innovat Skills LTD, Dhaka, Bangladesh; [Abadleh, Ahmad] Mutah Univ, CS Dept, Mutah, Jordan</t>
  </si>
  <si>
    <t>American International University Bangladesh (AIUB); Dhaka University of Engineering &amp; Technology (DUET); Al-Ahliyya Amman University; Princess Nourah bint Abdulrahman University; Pace University; Mutah University</t>
  </si>
  <si>
    <t>Explainable AI framework for improved Thalassemia mental health classification and feature selection</t>
  </si>
  <si>
    <t>Al Mamun, Abdullah/JFA-2273-2023; Prova, Nuzhat/KPY-2300-2024; Alamro, Wasan/AIE-9765-2022; Abadleh, Ahmad/JWQ-9933-2024; Allawi, Yazan/GRJ-5559-2022; Hossain, Ebrahim/QSP-6569-2026; Sultan, Salman/ONJ-6450-2025</t>
  </si>
  <si>
    <t>63</t>
  </si>
  <si>
    <t>JAN 23 2026</t>
  </si>
  <si>
    <t>e0341168</t>
  </si>
  <si>
    <t>10.1371/journal.pone.0341168</t>
  </si>
  <si>
    <t>http://dx.doi.org/10.1371/journal.pone.0341168</t>
  </si>
  <si>
    <t>DD8WJ</t>
  </si>
  <si>
    <t>41576147</t>
  </si>
  <si>
    <t>WOS:001681097100019</t>
  </si>
  <si>
    <t>Anand, P; Jin, YZ; Liu, J; Lii, J; Belitkar, S; Lin, KJ</t>
  </si>
  <si>
    <t>The previously developed algorithm for identifying subjects with high electronic health record (EHR)-continuity performed suboptimally in racially diverse populations. We aimed to improve the performance by optimizing the race modeling strategy. We randomly divided TriNetX claims-linked EHR dataset from 11 US-based healthcare organizations into training (70%) and testing data (30%) to develop and test models with and without race interactions and race-specific models. We held out a Medicaid-linked EHR dataset as validation data. Study subjects were &gt;= 18 years with &gt;= 365 days of continuous insurance enrollment overlapping an EHR encounter. We used cross-validated least absolute shrinkage and selection operator (LASSO) to select predictors of high EHR-continuity. We compared the model performance using area under receiver operating curve (AUC). There were 550,859, 236,089, and 65,956 subjects in the training, testing, and validation datasets, respectively. In the validation set, the introduction of race-interaction terms resulted in improved model performance in Black (AUC 0.821 vs. 0.812, P &lt; 0.001) and other non-White race (AUC 0.828 vs. 0.812, P &lt; 0.001) subgroups. The performance of the race-specific models did not differ substantially from that of the models with race-interaction terms in the race subgroups. Using the race interactions model, subjects in the top 50% of predicted EHR-continuity had 2-3-fold lesser misclassification of 40 comparative effectiveness research (CER) relevant variables. The inclusion of race-interaction terms improved model performance in the race subgroups. Using the EHR-continuity prediction algorithm with race-interaction terms can potentially reduce algorithmic bias for racial minorities.</t>
  </si>
  <si>
    <t>Anand, Priyanka; Jin, Yinzhu; Liu, Jun; Lii, Joyce; Belitkar, Shruti; Lin, Kueiyu Joshua</t>
  </si>
  <si>
    <t>Lin, KJ (corresponding author), Harvard Med Sch, Brigham &amp; Womens Hosp, Dept Med, Div Pharmacoepidemiol &amp; Pharmacoecon, Boston, MA 02115 USA.; Lin, KJ (corresponding author), Harvard Med Sch, Massachusetts Gen Hosp, Dept Med, Boston, MA 02115 USA.</t>
  </si>
  <si>
    <t>jklin@bwh.harvard.edu</t>
  </si>
  <si>
    <t>NIH [NIH R01LM013204]</t>
  </si>
  <si>
    <t>NIH (United States Department of Health &amp; Human Services, National Institutes of Health (NIH) - USA)</t>
  </si>
  <si>
    <t>This project was supported by NIH Grant NIH R01LM013204.</t>
  </si>
  <si>
    <t>[Anand, Priyanka; Jin, Yinzhu; Liu, Jun; Lii, Joyce; Belitkar, Shruti; Lin, Kueiyu Joshua] Harvard Med Sch, Brigham &amp; Womens Hosp, Dept Med, Div Pharmacoepidemiol &amp; Pharmacoecon, Boston, MA 02115 USA; [Lin, Kueiyu Joshua] Harvard Med Sch, Massachusetts Gen Hosp, Dept Med, Boston, MA 02115 USA</t>
  </si>
  <si>
    <t>Harvard University; Harvard Medical School; Harvard University Medical Affiliates; Brigham &amp; Women's Hospital; Harvard University; Harvard Medical School; Harvard University Medical Affiliates; Massachusetts General Hospital</t>
  </si>
  <si>
    <t>Minimizing Racial Algorithmic Bias when Predicting Electronic Health Record Data Completeness</t>
  </si>
  <si>
    <t>CLINICAL PHARMACOLOGY &amp; THERAPEUTICS</t>
  </si>
  <si>
    <t>Article; Early Access</t>
  </si>
  <si>
    <t>DATA INFRASTRUCTURE; VALIDATED METHODS; CODES; SELECTION; VALIDITY</t>
  </si>
  <si>
    <t>Jin, Yinzhu/AAA-9359-2021; Anand, Priyanka/IXD-5466-2023</t>
  </si>
  <si>
    <t>Lin, Joshua/0000-0003-4564-3715; Belitkar, Shruti/0009-0008-6678-9434; Jin, Yinzhu/0000-0002-1397-3106; Anand, Priyanka/0000-0002-0945-4100</t>
  </si>
  <si>
    <t>0009-9236</t>
  </si>
  <si>
    <t>1532-6535</t>
  </si>
  <si>
    <t>CLIN PHARMACOL THER</t>
  </si>
  <si>
    <t>Clin. Pharmacol. Ther.</t>
  </si>
  <si>
    <t>10.1002/cpt.3758</t>
  </si>
  <si>
    <t>http://dx.doi.org/10.1002/cpt.3758</t>
  </si>
  <si>
    <t>5EQ6D</t>
  </si>
  <si>
    <t>40696767</t>
  </si>
  <si>
    <t>WOS:001533873300001</t>
  </si>
  <si>
    <t>Jung, J; Kang, S; Choi, J; El-Kareh, R; Lee, H; Kim, H</t>
  </si>
  <si>
    <t>Background: Explainable Artificial Intelligence (XAI) is increasingly vital in healthcare, where clinicians need to understand and trust AI-generated recommendations. However, the impact of AI model explanations on clinical decision-making remains insufficiently explored. Objectives: To evaluate how AI model explanations influence clinicians' mental models, trust, and satisfaction regarding machine learning-based predictions of Intensive Care Unit (ICU) Length of Stay (LOS). Methods: This retrospective mixed-methods study analyzed electronic health record data from 8,579 patients admitted to a surgical ICU in South Korea between 2019 and 2022. Seven machine learning models were developed and evaluated to predict ICU LOS at 2-hour intervals during the initial 12 hours post-admission. The Random Forest (RF) model in the 10-to 12-hour window, with an AUROC of 0.903, was selected for explanation using SHapley Additive exPlanations. Fifteen ICU clinicians assessed four distinct types of explanations ('Why', 'Why not', 'How to', and 'What if') via web-based experiments, surveys, and interviews. Results: Clinicians' feature selections aligned more closely with the RF model after explanations, as demonstrated by an increase in Spearman correlation from-0.147 (p = 0.275) to 0.868 (p &lt; 0.001). The average trust score improved from 2.8 to 3.9. The average satisfaction scores for the 'Why', 'Why not', 'How to', and 'What if' explanations were 3.3, 3.8, 3.6, and 4.1, respectively. Conclusion: AI model explanations notably enhanced clinicians' understanding and trust in AI-generated ICU LOS predictions, although complete alignment with their mental models was not achieved. Further refinement of AI model explanations is needed to support better clinician-AI collaboration and its integration into clinical practice.</t>
  </si>
  <si>
    <t>Jung, Jinsun; Kang, Sunghoon; Choi, Jeeyae; El-Kareh, Robert; Lee, Hyungbok; Kim, Hyeoneui</t>
  </si>
  <si>
    <t>Kim, H (corresponding author), Seoul Natl Univ Hosp, Dept Pathol, 103 Daehak Ro, Seoul 03080, South Korea.</t>
  </si>
  <si>
    <t>ifilgood@snu.ac.kr</t>
  </si>
  <si>
    <t>[Jung, Jinsun; Lee, Hyungbok; Kim, Hyeoneui] Seoul Natl Univ, Coll Nursing, Seoul, South Korea; [Kang, Sunghoon] Seoul Natl Univ, Dept Sci Studies, Seoul, South Korea; [Choi, Jeeyae] Univ North Carolina, Sch Nursing, Wilmington, NC USA; [El-Kareh, Robert] Univ Calif San Diego, Dept Med, San Diego, CA USA; [El-Kareh, Robert] Univ Calif San Diego, Dept Qual, San Diego, CA USA; [Kim, Hyeoneui] Seoul Natl Univ, Res Inst Nursing Sci, Seoul, South Korea; [Jung, Jinsun; Kim, Hyeoneui] Seoul Natl Univ, Coll Nursing, Ctr Human Caring Nurse Leaders, Future Brain Korea 21 BK 21 Four Project, Seoul, South Korea; [Lee, Hyungbok] Seoul Natl Univ Hosp, Seoul, South Korea</t>
  </si>
  <si>
    <t>Seoul National University (SNU); Seoul National University (SNU); University of North Carolina; University of North Carolina Wilmington; University of California System; University of California San Diego; University of California System; University of California San Diego; Seoul National University (SNU); Seoul National University (SNU); Seoul National University (SNU); Seoul National University Hospital</t>
  </si>
  <si>
    <t>Evaluating the impact of explainable AI on clinicians' decision-making: A study on ICU length of stay prediction</t>
  </si>
  <si>
    <t>INTERNATIONAL JOURNAL OF MEDICAL INFORMATICS</t>
  </si>
  <si>
    <t>Explainable artificial intelligence; Evaluation of explanation effectiveness; Clinicians' mental models; Trust in AI models; Satisfaction with model explanations</t>
  </si>
  <si>
    <t>ARTIFICIAL-INTELLIGENCE; RISK</t>
  </si>
  <si>
    <t>Kim, Hyeoneui/NOE-3592-2025</t>
  </si>
  <si>
    <t>JUNG, JINSUN/0000-0003-0952-5877; Lee, hyungbok/0000-0002-8993-4728</t>
  </si>
  <si>
    <t>45</t>
  </si>
  <si>
    <t>ELSEVIER IRELAND LTD</t>
  </si>
  <si>
    <t>CLARE</t>
  </si>
  <si>
    <t>ELSEVIER HOUSE, BROOKVALE PLAZA, EAST PARK SHANNON, CO, CLARE, 00000, IRELAND</t>
  </si>
  <si>
    <t>1386-5056</t>
  </si>
  <si>
    <t>1872-8243</t>
  </si>
  <si>
    <t>INT J MED INFORM</t>
  </si>
  <si>
    <t>Int. J. Med. Inform.</t>
  </si>
  <si>
    <t>201</t>
  </si>
  <si>
    <t>105943</t>
  </si>
  <si>
    <t>10.1016/j.ijmedinf.2025.105943</t>
  </si>
  <si>
    <t>http://dx.doi.org/10.1016/j.ijmedinf.2025.105943</t>
  </si>
  <si>
    <t>Computer Science, Information Systems; Health Care Sciences &amp; Services; Medical Informatics</t>
  </si>
  <si>
    <t>Computer Science; Health Care Sciences &amp; Services; Medical Informatics</t>
  </si>
  <si>
    <t>2PI7M</t>
  </si>
  <si>
    <t>40318498</t>
  </si>
  <si>
    <t>WOS:001488109100001</t>
  </si>
  <si>
    <t>Savas, S</t>
  </si>
  <si>
    <t>Background/Objectives: Liver cirrhosis is a critical chronic condition with increasing global mortality and morbidity rates, emphasizing the necessity for early and accurate diagnosis. This study proposes a comprehensive deep-learning framework for the automatic diagnosis and staging of liver cirrhosis using T2-weighted MRI images. Methods: The methodology integrates stacked ensemble learning, multi-task learning (MTL), and transfer learning within an explainable artificial intelligence (XAI) context to improve diagnostic accuracy, reliability, and transparency. A hybrid model combining multiple pre-trained convolutional neural networks (VGG16, MobileNet, and DenseNet121) with XGBoost as a meta-classifier demonstrated robust performance in binary classification between healthy and cirrhotic cases. Results: The model achieved a mean accuracy of 96.92%, precision of 95.12%, recall of 98.93%, and F1-score of 96.98% across 10-fold cross-validation. For staging (mild, moderate, and severe), the MTL framework reached a main task accuracy of 96.71% and an average AUC of 99.81%, with a powerful performance in identifying severe cases. Grad-CAM visualizations reveal class-specific activation regions, enhancing the transparency and trust in the model's decision-making. The proposed system was validated using the CirrMRI600+ dataset with a 10-fold cross-validation strategy, achieving high accuracy (AUC: 99.7%) and consistent results across folds. Conclusions: This research not only advances State-of-the-Art diagnostic methods but also addresses the black-box nature of deep learning in clinical applications. The framework offers potential as a decision-support system for radiologists, contributing to early detection, effective staging, personalized treatment planning, and better-informed treatment planning for liver cirrhosis.</t>
  </si>
  <si>
    <t>Savas, Serkan</t>
  </si>
  <si>
    <t>Savas, S (corresponding author), Kirikkale Univ, Fac Engn &amp; Nat Sci, Dept Comp Engn, TR-71450 Kirikkale, Turkiye.</t>
  </si>
  <si>
    <t>serkansavas@kku.edu.tr</t>
  </si>
  <si>
    <t>[Savas, Serkan] Kirikkale Univ, Fac Engn &amp; Nat Sci, Dept Comp Engn, TR-71450 Kirikkale, Turkiye</t>
  </si>
  <si>
    <t>Kirikkale University</t>
  </si>
  <si>
    <t>Explainable Artificial Intelligence for Diagnosis and Staging of Liver Cirrhosis Using Stacked Ensemble and Multi-Task Learning</t>
  </si>
  <si>
    <t>liver cirrhosis; explainable artificial intelligence (XAI); stacked ensemble learning; multi-task learning (MTL); transfer learning; Grad-CAM; cirrhosis staging</t>
  </si>
  <si>
    <t>Savaş, Serkan/S-4340-2016</t>
  </si>
  <si>
    <t>Savaş, Serkan/0000-0003-3440-6271</t>
  </si>
  <si>
    <t>36</t>
  </si>
  <si>
    <t>MAY 6 2025</t>
  </si>
  <si>
    <t>1177</t>
  </si>
  <si>
    <t>10.3390/diagnostics15091177</t>
  </si>
  <si>
    <t>http://dx.doi.org/10.3390/diagnostics15091177</t>
  </si>
  <si>
    <t>2MT0D</t>
  </si>
  <si>
    <t>40361994</t>
  </si>
  <si>
    <t>WOS:001486340600001</t>
  </si>
  <si>
    <t>Cortez, N</t>
  </si>
  <si>
    <t>Large language models (LLMs) such as Claude and ChatGPT are the most powerful artificial intelligence (AI) systems ever created, and they are being used to diagnose and treat patients. But LLMs have been shown to be unreliable, unpredictable, and unsafe on occasion. New AI guidelines recommend hundreds of standards, such as 'transparency', 'trustworthiness', and 'safety'. But there is deep uncertainty whether these are sufficient. The literature focuses mostly on which standards best suit AI models, not on how to transmute standards into law. This article does that by considering AI guidelines as a starting point, then evaluating whether existing frameworks for ensuring quality in medicine might form the basis for AI governance. Along the way, the article identifies emerging areas of consensus, lingering questions, and lessons from other areas of law. This article suggests that we should not only treat LLMs like nascent medical professionals who must meet minimum standards of competence and responsibility, but also subject them to measurable, product-like standards of safety and performance. When paired with reimbursement incentives and legal liability, LLMs will be treated on par with others who diagnose and treat US patients. This article offers a path to genuine oversight of LLMs in medicine.</t>
  </si>
  <si>
    <t>Cortez, Nathan</t>
  </si>
  <si>
    <t>Cortez, N (corresponding author), Southern Methodist Univ SMU, Dedman Sch Law, Tsai Ctr Law Sci &amp; Innovat, Dallas, TX 75205 USA.</t>
  </si>
  <si>
    <t>ncortez@smu.edu</t>
  </si>
  <si>
    <t>[Cortez, Nathan] Southern Methodist Univ SMU, Dedman Sch Law, Tsai Ctr Law Sci &amp; Innovat, Dallas, TX 75205 USA</t>
  </si>
  <si>
    <t>Chat MD</t>
  </si>
  <si>
    <t>JOURNAL OF LAW AND THE BIOSCIENCES</t>
  </si>
  <si>
    <t>artificial intelligence; regulation; medicine; FDA; liability; chatbots</t>
  </si>
  <si>
    <t>HEALTH; ALGORITHMS; OPACITY; BIAS</t>
  </si>
  <si>
    <t>212</t>
  </si>
  <si>
    <t>OXFORD UNIV PRESS</t>
  </si>
  <si>
    <t>GREAT CLARENDON ST, OXFORD OX2 6DP, ENGLAND</t>
  </si>
  <si>
    <t>2053-9711</t>
  </si>
  <si>
    <t>J LAW BIOSCI</t>
  </si>
  <si>
    <t>J. Law Biosci.</t>
  </si>
  <si>
    <t>JAN-JUN 2026</t>
  </si>
  <si>
    <t>lsag003</t>
  </si>
  <si>
    <t>10.1093/jlb/lsag003</t>
  </si>
  <si>
    <t>http://dx.doi.org/10.1093/jlb/lsag003</t>
  </si>
  <si>
    <t>Ethics; Law; Medical Ethics; Medicine, Legal</t>
  </si>
  <si>
    <t>Social Sciences - Other Topics; Government &amp; Law; Medical Ethics; Legal Medicine</t>
  </si>
  <si>
    <t>JF4LC</t>
  </si>
  <si>
    <t>42273287</t>
  </si>
  <si>
    <t>WOS:001788051100001</t>
  </si>
  <si>
    <t>Giordani, C; Di Pumpo, M; Senarigo, F; Zambon, C; Valli, M; Sbrogiò, LG; Milano, N; Gusella, G; Zampieri, T; Allegro, F; Bovo, C; Biasi, L; Toffanello, ED; Viena, P; Vinelli, A; Visonà, S; Barbiero, M; Fortuna, P</t>
  </si>
  <si>
    <t>Objectives. To present the strategy developed by the Local Health Authority AULSS6, Padua Province, Italy, for implementing artificial intelligence (AI) in healthcare systems. Methods. Between December 2024 and December 2025, a series of structured meet- ings of a multidisciplinary Steering Committee were conducted. Ideas, priorities and initiatives were systematically collected, categorized, and refined through consensus. Results. The strategy produced several outcomes: an AI ethics and readiness checklist ensuring compliance with the EU AI Act, GDPR, (EU General Data Protection Regula- tion) and cybersecurity requirements; multi-level education programs for staff; system- atic technology evaluation guidelines and HTA (Health Technology Assessment) evalua- tion studies planning; active participation in projects on AI for public health and clinical outcomes prediction and resource optimization; communication strategies designed to enhance transparency and trust. Collectively, these initiatives enabled AULSS6 to build institutional capacity for responsible AI adoption at the local level. Conclusions. AULSS6 shows that local health authorities can lead responsible AI im- plementation in healthcare. Its multidimensional approach close to the population offers a replicable, scalable model for health systems across Italy and Europe, advancing digital transformation through a bottom-up strategy close to the communities served.</t>
  </si>
  <si>
    <t>Giordani, Carlo; Di Pumpo, Marcello; Senarigo, Fabio; Zambon, Chiara; Valli, Maddalena; Sbrogio, Luca Gino; Milano, Nadia; Gusella, Giulia; Zampieri, Tullio; Allegro, Francesco; Bovo, Chiara; Biasi, Laura; Toffanello, Elena Debora; Viena, Pietro; Vinelli, Angela; Visona, Susanna; Barbiero, Michela; Fortuna, Paolo</t>
  </si>
  <si>
    <t>Di Pumpo, M (corresponding author), Azienda ULSS6 Euganea, Via Enrico degli Scrovegni 12, I-35131 Padua, Regione Del Ven, Italy.</t>
  </si>
  <si>
    <t>marcello.dipumpo@aulss6.veneto.it</t>
  </si>
  <si>
    <t>[Giordani, Carlo; Di Pumpo, Marcello; Senarigo, Fabio; Zambon, Chiara; Sbrogio, Luca Gino; Milano, Nadia; Gusella, Giulia; Zampieri, Tullio; Allegro, Francesco; Bovo, Chiara; Biasi, Laura; Toffanello, Elena Debora; Viena, Pietro; Vinelli, Angela; Visona, Susanna; Barbiero, Michela; Fortuna, Paolo] Azienda ULSS6 Euganea, Via Enrico degli Scrovegni 12, I-35131 Padua, Regione Del Ven, Italy; [Valli, Maddalena] Grimaldi Alliance, Padua, Italy</t>
  </si>
  <si>
    <t>Building AI-ready health systems: the AULSS6 (Padua, Italy) local health authority artificial intelligence implementation strategy</t>
  </si>
  <si>
    <t>ANNALI DELL ISTITUTO SUPERIORE DI SANITA</t>
  </si>
  <si>
    <t>artificial intelligence; implementation strategy; local health authority; governance; ethics; health service research</t>
  </si>
  <si>
    <t>Istituto Superiore Sanita</t>
  </si>
  <si>
    <t>ROME</t>
  </si>
  <si>
    <t>Viale Regina Elena 299, ROME, ITALY</t>
  </si>
  <si>
    <t>0021-2571</t>
  </si>
  <si>
    <t>2384-8553</t>
  </si>
  <si>
    <t>ANN I SUPER SANITA</t>
  </si>
  <si>
    <t>Ann. Ist. Super. Sanita</t>
  </si>
  <si>
    <t>62</t>
  </si>
  <si>
    <t>87</t>
  </si>
  <si>
    <t>99</t>
  </si>
  <si>
    <t>10.4415/ANN_26_01_11</t>
  </si>
  <si>
    <t>http://dx.doi.org/10.4415/ANN_26_01_11</t>
  </si>
  <si>
    <t>FZ2DY</t>
  </si>
  <si>
    <t>41867158</t>
  </si>
  <si>
    <t>WOS:001730891500011</t>
  </si>
  <si>
    <t>Upreti, R; Lind, PG; Elmokashfi, A; Yazidi, A</t>
  </si>
  <si>
    <t>Artificial intelligence-based algorithms are widely adopted in critical applications such as healthcare and autonomous vehicles. Mitigating the security and privacy issues of AI models, and enhancing their trustworthiness have become of paramount importance. We present a detailed investigation of existing security, privacy, and defense techniques and strategies to make machine learning more secure and trustworthy. We focus on the new paradigm of machine learning called federated learning, where one aims to develop machine learning models involving different partners (data sources) that do not need to share data and information with each other. In particular, we discuss how federated learning bridges security and privacy, how it guarantees privacy requirements of AI applications, and then highlight challenges that need to be addressed in the future. Finally, after having surveyed the high-level concepts of trustworthy AI and its different components and identifying present research trends addressing security, privacy, and trustworthiness separately, we discuss possible interconnections and dependencies between these three fields. All in all, we provide some insight to explain how AI researchers should focus on building a unified solution combining security, privacy, and trustworthy AI in the future.</t>
  </si>
  <si>
    <t>Upreti, Ramesh; Lind, Pedro G.; Elmokashfi, Ahmed; Yazidi, Anis</t>
  </si>
  <si>
    <t>Yazidi, A (corresponding author), OsloMet Oslo Metropolitan Univ, Dept Comp Sci, Oslo, Norway.; Yazidi, A (corresponding author), NordSTAR Nord Ctr Sustainable &amp; Trustworthy AI Res, Oslo, Norway.</t>
  </si>
  <si>
    <t>rameshupreti321@gmail.com; ahmed@simula.no; anis.yazidi@oslomet.no; pedro.lind@oslomet.no</t>
  </si>
  <si>
    <t>OsloMet - Oslo Metropolitan University</t>
  </si>
  <si>
    <t>[Upreti, Ramesh; Lind, Pedro G.; Yazidi, Anis] OsloMet Oslo Metropolitan Univ, Dept Comp Sci, Oslo, Norway; [Upreti, Ramesh; Lind, Pedro G.; Yazidi, Anis] NordSTAR Nord Ctr Sustainable &amp; Trustworthy AI Res, Oslo, Norway; [Elmokashfi, Ahmed] Simula Metropolitan Ctr Digital Engn, Oslo, Norway</t>
  </si>
  <si>
    <t>Oslo Metropolitan University (OsloMet)</t>
  </si>
  <si>
    <t>Trustworthy machine learning in the context of security and privacy</t>
  </si>
  <si>
    <t>INTERNATIONAL JOURNAL OF INFORMATION SECURITY</t>
  </si>
  <si>
    <t>Machine learning; Federated learning; Trustworthiness; Security; Privacy</t>
  </si>
  <si>
    <t>ARTIFICIAL-INTELLIGENCE; ADVERSARIAL ATTACKS; INTEGRITY ATTACKS; POISONING ATTACKS; BLACK-BOX; COUNTERMEASURES; CHALLENGES; THREATS; AI</t>
  </si>
  <si>
    <t>Goncalves Lind, Pedro/G-5124-2010; Upreti, Ramesh/JCF-1511-2023</t>
  </si>
  <si>
    <t>Yazidi, Anis/0000-0001-7591-1659; Goncalves Lind, Pedro/0000-0002-8176-666X</t>
  </si>
  <si>
    <t>172</t>
  </si>
  <si>
    <t>1615-5262</t>
  </si>
  <si>
    <t>1615-5270</t>
  </si>
  <si>
    <t>INT J INF SECUR</t>
  </si>
  <si>
    <t>Int. J. Inf. Secur.</t>
  </si>
  <si>
    <t>2287</t>
  </si>
  <si>
    <t>2314</t>
  </si>
  <si>
    <t>10.1007/s10207-024-00813-3</t>
  </si>
  <si>
    <t>http://dx.doi.org/10.1007/s10207-024-00813-3</t>
  </si>
  <si>
    <t>Computer Science, Information Systems; Computer Science, Software Engineering; Computer Science, Theory &amp; Methods</t>
  </si>
  <si>
    <t>SD7Z5</t>
  </si>
  <si>
    <t>WOS:001196357600001</t>
  </si>
  <si>
    <t>Schaduangrat, N; Mookdarsanit, P; Mahmud, SMH; Kusonmano, K; Mookdarsanit, L; Shoombuatong, W</t>
  </si>
  <si>
    <t>Cancer continues to be a leading cause of mortality worldwide. While conventional therapies such as chemotherapy, radiation, and immunotherapy remain mainstays in clinical oncology, these approaches often result in systemic toxicity, adverse side effects, and the emergence of drug resistance. Small-molecule drugs have gained prominence as potent anticancer agents due to their favorable drug-like profiles, enabling oral bioavailability and systemic efficacy. The incorporation of computational methodologies has further revolutionized anticancer drug discovery. In particular, machine learning (ML) techniques have shown considerable success in accelerating the identification and optimization of small-molecule candidates. Therefore, we propose a novel ensemble-based explainable artificial intelligence (XAI) framework, termed XAI-ACSM, for the identification and characterization of anticancer small molecules (ACSMs) using only SMILES notation. XAI-ACSM was initially developed through a comprehensive evaluation of five popular ML algorithms in conjunction with 14 molecular descriptors derived from five different feature encoding schemes. Then, these molecular descriptors and ML algorithms were employed to develop 70 baseline models. Finally, the most effective baseline models were selected and integrated to provide high-precision prediction outcomes using a probability averaging strategy. Both cross-validation and independent tests showed that XAI-ACSM outperformed its baseline models and the existing method. Remarkably, XAI-ACSM achieved an accuracy of 0.826, specificity of 0.926, and MCC of 0.666 over the independent test data set, which were 3.65, 9.60, and 8.63% higher than the existing method. Furthermore, XAI-ACSM was applied to identify potential ACSMs among FDA-approved drugs, with predictions validated through molecular docking against the most prevalent cancer targets. XAI-ACSM offers a practical approach for screening large chemical libraries to identify potential ACSMs, particularly among compounds with limited existing characterization, while helping to reduce time and resource requirements.</t>
  </si>
  <si>
    <t>Schaduangrat, Nalini; Mookdarsanit, Pakpoom; Mahmud, S. M. Hasan; Kusonmano, Kanthida; Mookdarsanit, Lawankorn; Shoombuatong, Watshara</t>
  </si>
  <si>
    <t>Shoombuatong, W (corresponding author), Mahidol Univ, Fac Med Technol, Ctr Res Innovat &amp; Biomed Informat, Bangkok 10700, Thailand.; Mookdarsanit, L (corresponding author), Chandrakasem Rajabhat Univ, Fac Management Sci, Comp &amp; Digital Business Technol, Bangkok 10900, Thailand.</t>
  </si>
  <si>
    <t>watshara.sho@mahidol.ac.th; lawankorn.s@chandra.ac.th</t>
  </si>
  <si>
    <t>Mahidol University [N42A660380]; National Research Council of Thailand [NA]</t>
  </si>
  <si>
    <t>Mahidol University; National Research Council of Thailand (National Research Council of Thailand (NRCT))</t>
  </si>
  <si>
    <t>This project is supported by the National Research Council of Thailand and Mahidol University (N42A660380); Mahidol University Partnering Initiative under the MU-KMUTT Biomedical Engineering &amp; Biomaterials Research Consortium; Mahidol University (Strategic Research Fund): fiscal year 2025.</t>
  </si>
  <si>
    <t>[Schaduangrat, Nalini; Shoombuatong, Watshara] Mahidol Univ, Fac Med Technol, Ctr Res Innovat &amp; Biomed Informat, Bangkok 10700, Thailand; [Mookdarsanit, Pakpoom] Chandrakasem Rajabhat Univ, Fac Sci, Comp Sci &amp; Artificial Intelligence, Bangkok 10900, Thailand; [Mahmud, S. M. Hasan] Daffodil Int Univ, Dept Software Engn, Daffodil Smart City DSC, Dhaka 1216, Bangladesh; [Kusonmano, Kanthida] King Mongkuts Univ Technol Thonburi, Sch Bioresources &amp; Technol, Bioinformat &amp; Syst Biol Program, Bangkok 10150, Thailand; [Kusonmano, Kanthida] King Mongkuts Univ Technol Thonburi, Pilot Plant Dev &amp; Training Inst, Syst Biol &amp; Bioinformat Res Grp, Bangkok 10150, Thailand; [Mookdarsanit, Lawankorn] Chandrakasem Rajabhat Univ, Fac Management Sci, Comp &amp; Digital Business Technol, Bangkok 10900, Thailand</t>
  </si>
  <si>
    <t>Mahidol University; Chandrakasem Rajabhat University; Daffodil International University; King Mongkuts University of Technology Thonburi; King Mongkuts University of Technology Thonburi; Chandrakasem Rajabhat University</t>
  </si>
  <si>
    <t>XAI-ACSM: An Ensemble-Based Explainable Artificial Intelligence Framework for the Accurate Prediction of Anticancer Small Molecules</t>
  </si>
  <si>
    <t>ACS OMEGA</t>
  </si>
  <si>
    <t>IN-VITRO; BIOLOGICAL EVALUATION; CANCER; DESIGN; DERIVATIVES; DELIVERY; DRUGS</t>
  </si>
  <si>
    <t>Shoombuatong, Watshara/O-9986-2019</t>
  </si>
  <si>
    <t>Shoombuatong, Watshara/0000-0002-3394-8709; Schaduangrat, Nalini/0000-0002-0842-8277</t>
  </si>
  <si>
    <t>AMER CHEMICAL SOC</t>
  </si>
  <si>
    <t>WASHINGTON</t>
  </si>
  <si>
    <t>1155 16TH ST, NW, WASHINGTON, DC 20036 USA</t>
  </si>
  <si>
    <t>2470-1343</t>
  </si>
  <si>
    <t>ACS Omega</t>
  </si>
  <si>
    <t>DEC 2 2025</t>
  </si>
  <si>
    <t>57448</t>
  </si>
  <si>
    <t>57462</t>
  </si>
  <si>
    <t>10.1021/acsomega.5c07750</t>
  </si>
  <si>
    <t>http://dx.doi.org/10.1021/acsomega.5c07750</t>
  </si>
  <si>
    <t>NOV 2025</t>
  </si>
  <si>
    <t>Chemistry, Multidisciplinary</t>
  </si>
  <si>
    <t>Chemistry</t>
  </si>
  <si>
    <t>L1426</t>
  </si>
  <si>
    <t>41358099</t>
  </si>
  <si>
    <t>WOS:001617316000001</t>
  </si>
  <si>
    <t>Rahman, A; Hayat, M; Iqbal, N; Alarfaj, FK; Alkhalaf, S; Alturise, F</t>
  </si>
  <si>
    <t>Recent innovations in medical imaging have markedly improved brain tumor identification, surpassing conventional diagnostic approaches that suffer from low resolution, radiation exposure, and limited contrast. Magnetic Resonance Imaging (MRI) is pivotal in precise and accurate tumor characterization owing to its high-resolution, non-invasive nature. This study investigates the synergy among multiple feature representation schemes such as local Binary Patterns (LBP), Gabor filters, Discrete Wavelet Transform, Fast Fourier Transform, Convolutional Neural Networks (CNN), and Gray-Level Run Length Matrix alongside five learning algorithms namely: k-nearest Neighbor, Random Forest, Support Vector Classifier (SVC), and probabilistic neural network (PNN), and CNN. Empirical findings indicate that LBP in conjunction with SVC and CNN obtained high specificity and accuracy, rendering it a promising method for MRI-based tumor diagnosis. Further to investigate the contribution of LBP, Statistical analysis chi-square and p-value tests are used to confirm the significant impact of LBP feature space for identification of brain Tumor. In addition, The SHAP analysis was used to identify the most important features in classification. In a small dataset, CNN obtained 97.8% accuracy while SVC yielded 98.06% accuracy. In subsequent analysis, a large benchmark dataset is also utilized to evaluate the performance of learning algorithms in order to investigate the generalization power of the proposed model. CNN achieves the highest accuracy of 98.9%, followed by SVC at 96.7%. These results highlight CNN's effectiveness in automated, high-precision tumor diagnosis. This achievement is ascribed with MRI-based feature extraction by combining high resolution, non-invasive imaging capabilities with the powerful analytical abilities of CNN. CNN demonstrates superiority in medical imaging owing to its ability to learn intricate spatial patterns and generalize effectively. This interaction enhances the accuracy, speed, and consistency of brain tumor detection, ultimately leading to better patient outcomes and more efficient healthcare delivery. https://github.com/asifrahman557/BrainTumorDetection.</t>
  </si>
  <si>
    <t>Rahman, Asif; Hayat, Maqsood; Iqbal, Nadeem; Alarfaj, Fawaz Khaled; Alkhalaf, Salem; Alturise, Fahad</t>
  </si>
  <si>
    <t>Hayat, M (corresponding author), Abdul Wali Khan Univ Mardan, Dept Comp Sci, Mardan, Khyber Pakhtunk, Pakistan.; Alkhalaf, S (corresponding author), Qassim Univ, Coll Comp, Dept Comp Engn, Buraydah, Saudi Arabia.</t>
  </si>
  <si>
    <t>m.hayat@awkum.edu.pk; s.alkhalaf@qu.edu.sa</t>
  </si>
  <si>
    <t>Deanship of Graduate Studies and Scientific Research at Qassim University [QU-APC-2025]</t>
  </si>
  <si>
    <t>The Researchers would like to thank the Deanship of Graduate Studies and Scientific Research at Qassim University for financial support (QU-APC-2025).</t>
  </si>
  <si>
    <t>[Rahman, Asif; Hayat, Maqsood; Iqbal, Nadeem] Abdul Wali Khan Univ Mardan, Dept Comp Sci, Mardan, Khyber Pakhtunk, Pakistan; [Alarfaj, Fawaz Khaled] King Faisal Univ KFU, Sch Business, Dept Management Informat Syst MIS, Al Hasa 31982, Saudi Arabia; [Alkhalaf, Salem] Qassim Univ, Coll Comp, Dept Comp Engn, Buraydah, Saudi Arabia; [Alturise, Fahad] Qassim Univ, Coll Comp, Dept Cybersecur, Buraydah, Saudi Arabia</t>
  </si>
  <si>
    <t>Abdul Wali Khan University; Qassim University; Qassim University</t>
  </si>
  <si>
    <t>Enhanced MRI brain tumor detection using deep learning in conjunction with explainable AI SHAP based diverse and multi feature analysis</t>
  </si>
  <si>
    <t>Brain tumor; Machine learning; CNN; PNN; LBP; RF; MRI; SHAP analysis</t>
  </si>
  <si>
    <t>MACHINE; CLASSIFICATION; SEGMENTATION; DIAGNOSIS; IMAGES</t>
  </si>
  <si>
    <t>Alkhalaf, Salem/F-6912-2014; Alturise, Fahad/IUM-9332-2023; Hayat, Maqsood/ABB-7275-2021; Alarfaj, Fawaz/GMW-5634-2022</t>
  </si>
  <si>
    <t>80</t>
  </si>
  <si>
    <t>AUG 11 2025</t>
  </si>
  <si>
    <t>29411</t>
  </si>
  <si>
    <t>10.1038/s41598-025-14901-4</t>
  </si>
  <si>
    <t>http://dx.doi.org/10.1038/s41598-025-14901-4</t>
  </si>
  <si>
    <t>6AK3A</t>
  </si>
  <si>
    <t>40790336</t>
  </si>
  <si>
    <t>WOS:001548663100035</t>
  </si>
  <si>
    <t>Cansiz, B; Arslan, S; Gültekin, MZ; Serbes, G</t>
  </si>
  <si>
    <t>Purpose:: This study aims to enhance personalized medical assessments and the early detection of knee-related pathologies by examining the relationship between knee morphology and demographic factors such as age, gender, and body mass index. Additionally, gender-specific reference values for knee morphological features will be determined using explainable artificial intelligence (XAI). Methods:: A retrospective analysis was conducted on the MRI data of 500 healthy knees aged 20-40 years. The study included various knee morphological features such as Distal Femoral Width (DFW), Lateral Femoral Condyler Width (LFCW), Intercondylar Femoral Width (IFW), Anterior Cruciate Ligament Width (ACLW), and Anterior Cruciate Ligament Length (ACLL). Machine learning models, including Decision Trees, Random Forests, Light Gradient Boosting, Multilayer Perceptron, and Support Vector Machines, were employed to predict gender based on these features. The SHapley Additive exPlanation was used to analyze feature importance. Results:: The learning models demonstrated high classification performance, with 83.2% (+/- 5.15) for classification of clusters based on morphological feature and 88.06% (+/- 4.8) for gender classification. These results validated that the strong correlation between knee morphology and gender. Conclusion:: The study found that DFW is the most significant feature for gender prediction, with values below 78-79 mm range indicating females and values above this range indicating males. LFCW, IFW, ACLW, and ACLL also showed significant gender-based differences. The findings establish gender-specific reference values for knee morphological features, highlighting the impact of gender on knee morphology. These reference values can improve the accuracy of diagnoses and treatment plans tailored to each gender, enhancing personalized medical care. (c) 2025 Elsevier B.V. All rights are reserved, including those for text and data mining, AI training, and similar technologies.</t>
  </si>
  <si>
    <t>Cansiz, Berke; Arslan, Serdar; Gultekin, Muhammet Zeki; Serbes, Gorkem</t>
  </si>
  <si>
    <t>Serbes, G (corresponding author), Yildiz Tech Univ, Dept Biomed Engn, TR-34220 Istanbul, Turkiye.</t>
  </si>
  <si>
    <t>gserbes@yildiz.edu.tr</t>
  </si>
  <si>
    <t>[Cansiz, Berke; Serbes, Gorkem] Yildiz Tech Univ, Dept Biomed Engn, TR-34220 Istanbul, Turkiye; [Arslan, Serdar] Necmettin Erbakan Univ, Fac Nezehat Kelesoglu Hlth Sci, Dept Physiotherapy &amp; Rehabil, Konya, Turkiye; [Gultekin, Muhammet Zeki] Konya City Hosp, Dept Orthoped &amp; Traumatol, Konya, Turkiye</t>
  </si>
  <si>
    <t>Yildiz Technical University; Necmettin Erbakan University; Konya City Hospital</t>
  </si>
  <si>
    <t>Unveiling knee morphology with SHAP: shaping personalized medicine through explainable AI</t>
  </si>
  <si>
    <t>KNEE</t>
  </si>
  <si>
    <t>Knee morphology; Distal Femoral Width; Artificial intelligence; Turkish population; SHapley Additive exPlanations</t>
  </si>
  <si>
    <t>CRUCIATE LIGAMENT INJURY; ARTIFICIAL-INTELLIGENCE; SEXUAL-DIMORPHISM; RISK-FACTORS; NOTCH WIDTH; ANATOMY; TROCHLEA; MALES</t>
  </si>
  <si>
    <t>Serbes, Gorkem/AAZ-8822-2020; Arslan, Serdar/AAN-1594-2020</t>
  </si>
  <si>
    <t>0968-0160</t>
  </si>
  <si>
    <t>1873-5800</t>
  </si>
  <si>
    <t>Knee</t>
  </si>
  <si>
    <t>56</t>
  </si>
  <si>
    <t>415</t>
  </si>
  <si>
    <t>430</t>
  </si>
  <si>
    <t>10.1016/j.knee.2025.06.012</t>
  </si>
  <si>
    <t>http://dx.doi.org/10.1016/j.knee.2025.06.012</t>
  </si>
  <si>
    <t>Orthopedics; Sport Sciences; Surgery</t>
  </si>
  <si>
    <t>4XH5H</t>
  </si>
  <si>
    <t>40618552</t>
  </si>
  <si>
    <t>WOS:001528878700005</t>
  </si>
  <si>
    <t>Brankovic, A; Cook, D; Rahman, J; Khanna, S; Huang, WJ</t>
  </si>
  <si>
    <t>ObjectiveThis study aimed to assess the practicality and trustworthiness of explainable artificial intelligence (XAI) methods used for explaining clinical predictive models.MethodsTwo popular XAIs used for explaining clinical predictive models were evaluated based on their ability to generate domain-appropriate representations, impact clinical workflow, and consistency. Explanations were benchmarked against true clinical deterioration triggers recorded in the data system and agreement was quantified. The evaluation was conducted using two Electronic Medical Records datasets from major hospitals in Australia. Results were examined and commented on by a senior clinician.ResultsFindings demonstrate a violation of consistency criteria and moderate concordance (0.47-0.8) with true triggers, undermining reliability and actionability, criteria for clinicians' trust in XAI.ConclusionExplanations are not trustworthy to guide clinical interventions, though they may offer useful insights and help model troubleshooting. Clinician-informed XAI development and presentation, clear disclaimers on limitations, and critical clinical judgment can promote informed decisions and prevent over-reliance.</t>
  </si>
  <si>
    <t>Brankovic, Aida; Cook, David; Rahman, Jessica; Khanna, Sankalp; Huang, Wenjie</t>
  </si>
  <si>
    <t>Brankovic, A (corresponding author), CSIRO Australian Ehlth Res Ctr, Brisbane, Qld, Australia.</t>
  </si>
  <si>
    <t>aida.brankovic@csiro.au</t>
  </si>
  <si>
    <t>NA; Australian e-Health Research Centre</t>
  </si>
  <si>
    <t>NA; Australian e-Health Research Centre (Commonwealth Scientific &amp; Industrial Research Organisation (CSIRO))</t>
  </si>
  <si>
    <t>We acknowledge the Responsible Innovation Future Science Program for recognizing the value of this study, supporting its extension, and co-funding it alongside the Australian e-Health Research Centre.</t>
  </si>
  <si>
    <t>[Brankovic, Aida; Rahman, Jessica] CSIRO Australian Ehlth Res Ctr, Brisbane, Qld, Australia; [Cook, David] PRINCESS ALEXANDRA HOSP, Intens Care Unit, BRISBANE, QLD, Australia; [Huang, Wenjie] Univ Queensland, Brisbane, Qld, Australia</t>
  </si>
  <si>
    <t>Commonwealth Scientific &amp; Industrial Research Organisation (CSIRO); Princess Alexandra Hospital; University of Queensland</t>
  </si>
  <si>
    <t>Benchmarking the most popular XAI used for explaining clinical predictive models: Untrustworthy but could be useful</t>
  </si>
  <si>
    <t>HEALTH INFORMATICS JOURNAL</t>
  </si>
  <si>
    <t>explainable AI; interpretable ML; clinical decision support systems; clinical predictive models; electronic medical records; responsible AI</t>
  </si>
  <si>
    <t>Khanna, Sankalp/B-7561-2011; Rahman, Jessica Sharmin/ABC-1658-2021; Brankovic, Aida/GVU-4562-2022</t>
  </si>
  <si>
    <t>Khanna, Sankalp/0000-0001-6125-8871; Rahman, Jessica Sharmin/0000-0001-9930-241X; Huang, Wenjie/0009-0000-0443-7902; Brankovic, Aida/0000-0001-7978-575X</t>
  </si>
  <si>
    <t>SAGE PUBLICATIONS INC</t>
  </si>
  <si>
    <t>THOUSAND OAKS</t>
  </si>
  <si>
    <t>2455 TELLER RD, THOUSAND OAKS, CA 91320 USA</t>
  </si>
  <si>
    <t>1460-4582</t>
  </si>
  <si>
    <t>1741-2811</t>
  </si>
  <si>
    <t>HEALTH INFORM J</t>
  </si>
  <si>
    <t>Health Inform. J.</t>
  </si>
  <si>
    <t>OCT 2024</t>
  </si>
  <si>
    <t>14604582241304730</t>
  </si>
  <si>
    <t>10.1177/14604582241304730</t>
  </si>
  <si>
    <t>http://dx.doi.org/10.1177/14604582241304730</t>
  </si>
  <si>
    <t>Q1C3O</t>
  </si>
  <si>
    <t>39716973</t>
  </si>
  <si>
    <t>WOS:001382148600001</t>
  </si>
  <si>
    <t>Shiddik, MA; Toshi, FZ; Yesmin, S; Rahman, MS</t>
  </si>
  <si>
    <t>Dengue is a mosquito-borne viral disease which is predominantly endemic in tropical and subtropical countries. In Bangladesh, 321,179 dengue cases were reported in 2023, followed by 101,214 cases in 2024, which highlights a severe and ongoing public health challenge. Dengue transmission risks are shaped by climatic variability, rapid urbanization, socio-economic vulnerability, and healthcare strain. But existing dengue surveillance models remain limited in their ability to capture district-level disparities in Bangladesh. This study aimed to develop a district-level dengue early warning system that integrates climatic, socio-demographic, economic, healthcare, and environmental determinants to generate accurate and interpretable predictions. We examined dengue cases across all 64 districts in Bangladesh from 2017 to 2024, integrating Directorate General of Health Services (DGHS) case records with climate, socio-demographic, economic, and healthcare indicators. Machine learning and deep learning approaches, including Multi-Layer Perceptron (MLP) and Convolutional Long Short-Term Memory (ConvLSTM), were combined with SHAP (Shapley Additive Explanations)-based explainable artificial intelligence. We also used Bayesian spatio-temporal models to capture spatial clustering, temporal dependence, and the lagged transmission effects of dengue. Dengue outbreaks peaked in September 2023, with Dhaka recording 113,233 cases. DENV-4 (Dengue Virus type 4) emerged in 2022, accounting for 27% of infections in 2023. Climate was the strongest predictor of dengue transmission (humidity SHAP = 0.314; minimum temperature SHAP = 0.146; rainfall RR = 1.303). Poverty (SHAP = 0.193) and healthcare capacity (nursing/midwifery density SHAP = 0.073) mostly contributed to dengue prediction. The MLP model achieved the best yearly performance (accuracy = 0.93; ROC-AUC = 0.99), ConvLSTM was the best model in monthly prediction (recall = 0.88; ROC-AUC = 0.81), and Bayesian BYM2_RW2 with lagged effects improved predictive fit (DIC = 3671.055). Our integrated framework delivers transparent, interpretable predictions and district-level early warnings, supporting adaptive dengue outbreak preparedness and resource allocation in Bangladesh.</t>
  </si>
  <si>
    <t>Shiddik, Md. Abu Bokkor; Toshi, Farzana Zannat; Yesmin, Sadia; Rahman, Md. Siddikur</t>
  </si>
  <si>
    <t>Rahman, MS (corresponding author), Begum Rokeya Univ, Dept Stat, Rangpur 5404, Bangladesh.</t>
  </si>
  <si>
    <t>sadiayesmin.stat@gmail.com; siddikur@brur.ac.bd; abubokkor.brur60@gmail.com; farzana.stat93@brur.ac.bd</t>
  </si>
  <si>
    <t>[Shiddik, Md. Abu Bokkor; Toshi, Farzana Zannat; Yesmin, Sadia; Rahman, Md. Siddikur] Begum Rokeya Univ, Dept Stat, Rangpur 5404, Bangladesh</t>
  </si>
  <si>
    <t>District-Level Dengue Early Warning Prediction System in Bangladesh Using Hybrid Explainable AI and Bayesian Deep Learning</t>
  </si>
  <si>
    <t>TROPICAL MEDICINE AND INFECTIOUS DISEASE</t>
  </si>
  <si>
    <t>dengue fever; explainable artificial intelligence; spatio-temporal modeling; early warning system; Bangladesh</t>
  </si>
  <si>
    <t>Rahman, Md. Siddikur/GRI-9526-2022; Shiddik, Md Abu Bokkor/NQF-2693-2025</t>
  </si>
  <si>
    <t>2414-6366</t>
  </si>
  <si>
    <t>TROP MED INFECT DIS</t>
  </si>
  <si>
    <t>Trop. Med. Infect. Dis.</t>
  </si>
  <si>
    <t>MAR 5 2026</t>
  </si>
  <si>
    <t>73</t>
  </si>
  <si>
    <t>10.3390/tropicalmed11030073</t>
  </si>
  <si>
    <t>http://dx.doi.org/10.3390/tropicalmed11030073</t>
  </si>
  <si>
    <t>Infectious Diseases; Parasitology; Tropical Medicine</t>
  </si>
  <si>
    <t>FQ8XG</t>
  </si>
  <si>
    <t>41893409</t>
  </si>
  <si>
    <t>WOS:001725251200001</t>
  </si>
  <si>
    <t>Khan, H; Javaid, N; Bashir, T; Ali, Z; Khan, FA; Pamucar, D</t>
  </si>
  <si>
    <t>Diabetes mellitus is a prevalent chronic disease that impacts the metabolic system of an increasing number of individuals every year. Due to this persistent and rapid increase, hospitals worldwide face a significant global health burden. An advanced and accurate predictive system is essential to alleviate this increasing burden and enable early diagnosis and effective treatment. Existing predictive methods predominantly rely on traditional Artificial Intelligence (AI) models; however, these models often struggle to address challenges such as high feature complexity, data imbalance, non-linear pattern learning, and lack of interpretability. To address the significant class imbalance in the trustworthy and patient privacy-concious diabetes health indicator dataset, this study employs the proximity-weighted random affine shadow sampling technique, which reduces prediction bias by focusing on borderline instances. The point-biserial correlation coefficient is used to choose the most significant and important features from the dataset. To capture the complex relationships within the diabetes dataset, Deep Gated Network (DGNet), a novel Deep Learning (DL) model, is proposed. DGNet's architecture includes fully connected dense layers and a unique gating mechanism. The experimental findings demonstrate that the proposed DGNet performs significantly better than state-of-the-art logistic regression, support vector machines, decision trees, k-nearest neighbors, residual networks, long-short-term memory, multi-layer perceptrons, deep neural networks, highway networks, and deep belief networks. Compared to conventional models, DGNet achieves notable performance improvements, with gains of 11.4% in accuracy, 8.2 % in F1-score, 7.73% in recall, 9.13% in precision, 11.8% in receiver operating characteristics area under the curve, 12.22% in precision-recall area under the curve, and 40.54% reduction in log loss. The 10-fold cross validation technique is used to assess the DGNet's generalizability and reliability. Furthermore, advanced explainable AI techniques, Shapley additive explanations, and local interpretable model-agnostic explanations are employed to interpret the importance of features in early diabetes prediction. This study establishes the DGNet as an effective and interpretable approach for early-stage diabetes prediction, with the rising need for responsible AI solutions in healthcare, where transparency, trust, and data privacy have become necessary for patient-focused innovation.</t>
  </si>
  <si>
    <t>Khan, Hira; Javaid, Nadeem; Bashir, Tariq; Ali, Zeeshan; Khan, Farrukh Aslam; Pamucar, Dragan</t>
  </si>
  <si>
    <t>Javaid, N (corresponding author), Natl Yunlin Univ Sci &amp; Technol, Int Grad Sch Artificial Intelligence, ComSens Lab, Touliu 64002, Yunlin, Taiwan.</t>
  </si>
  <si>
    <t>javaidn@yuntech.edu.tw</t>
  </si>
  <si>
    <t>King Saud University, Riyadh, Saudi Arabia [ORF-Ctr-2025-4]</t>
  </si>
  <si>
    <t>King Saud University, Riyadh, Saudi Arabia (King Saud University)</t>
  </si>
  <si>
    <t>This research was supported by Ongoing Research Funding program, (ORF-Ctr-2025-4) , King Saud University, Riyadh, Saudi Arabia.</t>
  </si>
  <si>
    <t>[Khan, Hira; Bashir, Tariq] COMSATS Univ Islamabad, Dept Elect Engn, Islamabad 44000, Pakistan; [Javaid, Nadeem] Natl Yunlin Univ Sci &amp; Technol, Int Grad Sch Artificial Intelligence, ComSens Lab, Touliu 64002, Yunlin, Taiwan; [Ali, Zeeshan] Natl Yunlin Univ Sci &amp; Technol, Dept Informat Management, Touliu 64002, Yunlin, Taiwan; [Khan, Farrukh Aslam] King Saud Univ, Ctr Excellence Informat Assurance, DSR, Riyadh 11653, Saudi Arabia; [Pamucar, Dragan] Korea Univ, Coll Sci &amp; Technol, Dept Appl Math Sci, Sejong 30019, South Korea; [Pamucar, Dragan] Yuan Ze Univ, Dept Ind Engn &amp; Management, Taoyuan 320315, Taiwan</t>
  </si>
  <si>
    <t>COMSATS University Islamabad (CUI); National Yunlin University Science &amp; Technology; National Yunlin University Science &amp; Technology; King Saud University; Korea University; Yuan Ze University</t>
  </si>
  <si>
    <t>A novel deep gated network model for explainable diabetes mellitus prediction at early stages based on trustworthy data</t>
  </si>
  <si>
    <t>KNOWLEDGE-BASED SYSTEMS</t>
  </si>
  <si>
    <t>Deep belief network; Highway network; Residual network; Diabetes mellitus prediction; K-fold cross validation; Local interpretable model-agnostic; explanations; Point biserial correlation coefficient; SHapley Additive exPlanations; Ethical data use; Trustworthy artificial intelligence; Privacy conscious modeling</t>
  </si>
  <si>
    <t>ENSEMBLE</t>
  </si>
  <si>
    <t>Pamucar, Dragan/AAG-8288-2019; Javaid, Nadeem/B-8835-2014; Khan, Farrukh/J-8358-2019; Ali, Zeeshan/IAR-4077-2023; Bashir, Tariq/AAC-8823-2019</t>
  </si>
  <si>
    <t>Javaid, Nadeem/0000-0003-3777-8249; Bashir, Tariq/0000-0002-8014-7816</t>
  </si>
  <si>
    <t>0950-7051</t>
  </si>
  <si>
    <t>1872-7409</t>
  </si>
  <si>
    <t>KNOWL-BASED SYST</t>
  </si>
  <si>
    <t>Knowledge-Based Syst.</t>
  </si>
  <si>
    <t>OCT 25 2025</t>
  </si>
  <si>
    <t>328</t>
  </si>
  <si>
    <t>114178</t>
  </si>
  <si>
    <t>10.1016/j.knosys.2025.114178</t>
  </si>
  <si>
    <t>http://dx.doi.org/10.1016/j.knosys.2025.114178</t>
  </si>
  <si>
    <t>AUG 2025</t>
  </si>
  <si>
    <t>6IY1A</t>
  </si>
  <si>
    <t>WOS:001554461300002</t>
  </si>
  <si>
    <t>Muneer, S; Ghazal, TM; Alyas, T; Raza, MA; Abbas, S; Alzoubi, O; Ali, O</t>
  </si>
  <si>
    <t>Heart disease (HD) continues to rank as the top cause of morbidity and mortality worldwide, prompting the enormous importance of correct prediction for effective intervention and prevention strategies. The proposed research involves developing a novel explainable AI (XAI)-driven chatbot system for HD prediction, combined with cutting-edge machine learning (ML) algorithms and advanced XAI techniques. This research work highlights different approaches like Random Forest (RF), Decision Tree (DT), and Bagging-Quantum Support Vector Classifier (QSVC). The RF approach achieves the best performance, with 92.00% accuracy, 91.97% sensitivity, 56.81% specificity, 8.00% miss rate, and 99.93% precision compared to other approaches. SHAP and LIME provide XAI methods for which the chatbot's predictions and explanations endow trust and understanding with the user. This novel approach proves the potential of seamless integration of explanations in a wide range of web or mobile applications for healthcare. Future works will extend the work on incorporating other diseases' predictions inthe model and improve the explanation of those predictions using more advanced explainable AI approaches.</t>
  </si>
  <si>
    <t>Muneer, Salman; Ghazal, Taher M.; Alyas, Tahir; Raza, Muhammad Ahsan; Abbas, Sagheer; Alzoubi, Omar; Ali, Oualid</t>
  </si>
  <si>
    <t>Ghazal, TM (corresponding author), Univ Kebangsaan Malaysia, Fac Informat Sci &amp; Technol, Ctr Cyber Secur, Bangi 43600, Selangor, Malaysia.; Abbas, S (corresponding author), Prince Mohammad bin Fahd Univ, Dept Comp Sci, Al Khobar, Saudi Arabia.</t>
  </si>
  <si>
    <t>[Muneer, Salman] Natl Coll Business Adm &amp; Econ NCBA&amp;E, Sch Comp Sci, Lahore, Pakistan; [Ghazal, Taher M.] Univ Kebangsaan Malaysia, Fac Informat Sci &amp; Technol, Ctr Cyber Secur, Bangi 43600, Selangor, Malaysia; [Alyas, Tahir] Lahore Garrison Univ, Dept Comp Sci, Lahore, Pakistan; [Raza, Muhammad Ahsan] Univ Educ, Dept Informat Sci, Multan Campus, Lahore 60000, Pakistan; [Abbas, Sagheer] Prince Mohammad bin Fahd Univ, Dept Comp Sci, Al Khobar, Saudi Arabia; [Alzoubi, Omar; Ali, Oualid] Appl Sci Univ, Coll Arts &amp; Sci, POB 5055, Manama, Bahrain</t>
  </si>
  <si>
    <t>Universiti Kebangsaan Malaysia; Prince Mohammad Bin Fahd University</t>
  </si>
  <si>
    <t>Explainable AI-Driven Chatbot System for Heart Disease Prediction Using Machine Learning</t>
  </si>
  <si>
    <t>INTERNATIONAL JOURNAL OF ADVANCED COMPUTER SCIENCE AND APPLICATIONS</t>
  </si>
  <si>
    <t>Heart disease prediction; machine learning; chatbot system; XAI</t>
  </si>
  <si>
    <t>Ghazal, Taher/AAS-7443-2021; Abbas, Dr.Sagheer/AAB-1365-2020; Ali, Oualid/LOS-0834-2024; Alyas, Tahir/GPX-4695-2022; Raza, Muhammad Ahsan/ABD-5464-2020; Alzoubi, Omar/K-8991-2018</t>
  </si>
  <si>
    <t>Ali, Oualid/0009-0001-1433-017X; Raza, Muhammad Ahsan/0000-0003-2299-4440; Alzoubi, Omar/0000-0002-7978-1633; Muneer, Salman/0009-0007-4711-3845</t>
  </si>
  <si>
    <t>41</t>
  </si>
  <si>
    <t>SCIENCE &amp; INFORMATION SAI ORGANIZATION LTD</t>
  </si>
  <si>
    <t>WEST YORKSHIRE</t>
  </si>
  <si>
    <t>19 BOLLING RD, BRADFORD, WEST YORKSHIRE, 00000, ENGLAND</t>
  </si>
  <si>
    <t>2158-107X</t>
  </si>
  <si>
    <t>2156-5570</t>
  </si>
  <si>
    <t>INT J ADV COMPUT SC</t>
  </si>
  <si>
    <t>Int. J. Adv. Comput. Sci. Appl.</t>
  </si>
  <si>
    <t>249</t>
  </si>
  <si>
    <t>261</t>
  </si>
  <si>
    <t>10.14569/IJACSA.2024.0151227</t>
  </si>
  <si>
    <t>http://dx.doi.org/10.14569/IJACSA.2024.0151227</t>
  </si>
  <si>
    <t>Computer Science, Theory &amp; Methods</t>
  </si>
  <si>
    <t>S2W8N</t>
  </si>
  <si>
    <t>WOS:001396898400001</t>
  </si>
  <si>
    <t>Jahan, S; Abu Taher, K; Kaiser, MS; Mahmud, M; Rahman, MS; Hosen, ASMS; Ra, IH</t>
  </si>
  <si>
    <t>BackgroundAccording to the World Health Organization (WHO), dementia is the seventh leading reason of death among all illnesses and one of the leading causes of disability among the world's elderly people. Day by day the number of Alzheimer's patients is rising. Considering the increasing rate and the dangers, Alzheimer's disease should be diagnosed carefully. Machine learning is a potential technique for Alzheimer's diagnosis but general users do not trust machine learning models due to the black-box nature. Even, some of those models do not provide the best performance because of using only neuroimaging data.ObjectiveTo solve these issues, this paper proposes a novel explainable Alzheimer's disease prediction model using a multimodal dataset. This approach performs a data-level fusion using clinical data, MRI segmentation data, and psychological data. However, currently, there is very little understanding of multimodal five-class classification of Alzheimer's disease.MethodFor predicting five class classifications, 9 most popular Machine Learning models are used. These models are Random Forest (RF), Logistic Regression (LR), Decision Tree (DT), Multi-Layer Perceptron (MLP), K-Nearest Neighbor (KNN), Gradient Boosting (GB), Adaptive Boosting (AdaB), Support Vector Machine (SVM), and Naive Bayes (NB). Among these models RF has scored the highest value. Besides for explainability, SHapley Additive exPlanation (SHAP) is used in this research work.Results and conclusionsThe performance evaluation demonstrates that the RF classifier has a 10-fold cross-validation accuracy of 98.81% for predicting Alzheimer's disease, cognitively normal, non-Alzheimer's dementia, uncertain dementia, and others. In addition, the study utilized Explainable Artificial Intelligence based on the SHAP model and analyzed the causes of prediction. To the best of our knowledge, we are the first to present this multimodal (Clinical, Psychological, and MRI segmentation data) five-class classification of Alzheimer's disease using Open Access Series of Imaging Studies (OASIS-3) dataset. Besides, a novel Alzheimer's patient management architecture is also proposed in this work.</t>
  </si>
  <si>
    <t>Jahan, Sobhana; Abu Taher, Kazi; Kaiser, M. Shamim; Mahmud, Mufti; Rahman, Md. Sazzadur; Hosen, A. S. M. Sanwar; Ra, In-Ho</t>
  </si>
  <si>
    <t>Kaiser, MS (corresponding author), Jahangirnagar Univ, Inst Informat Technol, Dhaka, Bangladesh.; Ra, IH (corresponding author), Kunsan Natl Univ, Sch Comp Informat &amp; Commun Engn, Gunsan, South Korea.</t>
  </si>
  <si>
    <t>ihra@kunsan.ac.kr; mskaiser@juniv.edu</t>
  </si>
  <si>
    <t>ICT division of the Government of the People's Republic of Bangladesh; ICT Division of the Government of the People's Republic of Bangladesh; Kunsan National University; Bangladesh University of Professionals; National Institute on Aging [P30AG066444, P01AG003991, P01AG026276] Funding Source: NIH RePORTER</t>
  </si>
  <si>
    <t>ICT division of the Government of the People's Republic of Bangladesh; ICT Division of the Government of the People's Republic of Bangladesh; Kunsan National University; Bangladesh University of Professionals; National Institute on Aging (United States Department of Health &amp; Human Services, National Institutes of Health (NIH) - USA, NIH National Institute on Aging (NIA))</t>
  </si>
  <si>
    <t>The authors want to acknowledge sincere gratitude to the ICT Division of the Government of the People's Republic of Bangladesh, the Kunsan National University, the Woosong University, the Jahangirnagar University, and the Bangladesh University of Professionals.</t>
  </si>
  <si>
    <t>[Jahan, Sobhana] Bangladesh Univ Profess, Dept Comp Sci &amp; Engn, Dhaka, Bangladesh; [Jahan, Sobhana; Abu Taher, Kazi] Bangladesh Univ Profess, Dept Informat &amp; Commun Technol, Dhaka, Bangladesh; [Kaiser, M. Shamim; Rahman, Md. Sazzadur] Jahangirnagar Univ, Inst Informat Technol, Dhaka, Bangladesh; [Mahmud, Mufti] Nottingham Trent Univ, Dept Comp Sci, Nottingham NG11 8NS, England; [Hosen, A. S. M. Sanwar] Woosong Univ, Dept Artificial Intelligence &amp; Big Data, Daejeon, South Korea; [Ra, In-Ho] Kunsan Natl Univ, Sch Comp Informat &amp; Commun Engn, Gunsan, South Korea</t>
  </si>
  <si>
    <t>Jahangirnagar University; Nottingham Trent University; Woosong University; Kunsan National University</t>
  </si>
  <si>
    <t>Explainable AI-based Alzheimer's prediction and management using multimodal data</t>
  </si>
  <si>
    <t>DISEASE</t>
  </si>
  <si>
    <t>Kaiser, M/F-5750-2012; Jahan, Sobhana/GXM-8323-2022; Mahmud, Mufti/C-7752-2012; Hosen, A./U-7176-2019</t>
  </si>
  <si>
    <t>Kaiser, M/0000-0002-4604-5461; Jahan, Sobhana/0000-0003-4882-4327; Mahmud, Mufti/0000-0002-2037-8348</t>
  </si>
  <si>
    <t>32</t>
  </si>
  <si>
    <t>NOV 16 2023</t>
  </si>
  <si>
    <t>e0294253</t>
  </si>
  <si>
    <t>10.1371/journal.pone.0294253</t>
  </si>
  <si>
    <t>http://dx.doi.org/10.1371/journal.pone.0294253</t>
  </si>
  <si>
    <t>AP5I2</t>
  </si>
  <si>
    <t>37972072</t>
  </si>
  <si>
    <t>WOS:001119675000107</t>
  </si>
  <si>
    <t>Xian, TT; Mehandjiev, N; Constantinides, P; Chen, YW; Quboa, Q; Kitchen, G</t>
  </si>
  <si>
    <t>Background:: The complexity of many AI models hinders their clinical adoption because the clinicians using them do not regard them as transparent. This study addresses the lack of clinician-centered explainable AI (XAI) interfaces by designing and evaluating intuitive visual explanations for intubation prediction, testing the hypothesis that workflow-compatible designs enhance acceptance. Objective:: This study compares three, time-aware, visual explanations for XAI-based intubation prediction and evaluate their acceptance, comprehension, and perceived utility among clinicians. Methods:: We developed machine learning models to estimate the near-term risk of deterioration in the patient's condition which may lead to mechanical intubation using ICU time-series data. We generated global and local explanations using SHAP and designed three customized visual formats-a temporal force plot, a temporal bar chart, and a dual-encoded SHAP heatmap. Clinicians (n = 206) evaluated comprehension and usability using objective questions and a Likert-based survey. Results:: Based on 4608 critically ill patients with 10 medical variables over 7 hours of data for each patient, the Random Forest (RF) model achieved the highest area under the curve (AUC): 0.94. Furthermore, the local explanations were customized and evaluated by 206 clinicians through a survey conducted on the Prolific platform. A customized heatmap representation was selected as the visualization with the highest perceived clinical utility and alignment with clinical workflows. Discussion:: The reported findings support the need for explanation formats to be tailored to clinical reasoning and task context, supporting the concept of cognitive fit. The heatmap's close alignment with clinicians' mental models and its graphical integrity enhances interpretability and trust. This study demonstrates that explanation effectiveness depends on contextual relevance, rather than a universal standard, and that the presentation format itself significantly shapes clinicians' trust in XAI systems. Conclusion:: This study advances clinical XAI by introducing a time-aware explanation framework for ICU intubation decisions. By integrating temporal trends with model reasoning, our visualizations closely align with clinicians' cognitive workflows. Rigorous clinician-centered evaluation identified the dual-encoded SHAP heatmap as the most useful and workflow-compatible visualization, highlighting the importance of explanation design alongside predictive accuracy for clinical adoption.</t>
  </si>
  <si>
    <t>Xian, Tiantian; Mehandjiev, Nikolay; Constantinides, Panos; Chen, Yu-wang; Quboa, Qudamah; Kitchen, Gareth</t>
  </si>
  <si>
    <t>Constantinides, P (corresponding author), Univ Manchester, Alliance Manchester Business Sch, Oxford Rd, Manchester M13 9PL, England.</t>
  </si>
  <si>
    <t>panos.constantinides@manchester.ac.uk</t>
  </si>
  <si>
    <t>North West Lung Centre Charity Pickering Fellowiship [NIHR203308]</t>
  </si>
  <si>
    <t>North West Lung Centre Charity Pickering Fellowiship</t>
  </si>
  <si>
    <t>Panos Constantinides and Tiantian Xian are supported by Alliance Manchester Business School, at the University of Manchester. Gareth Kitchen is supported by the National Institute for Health and Care Research (NIHR) Manchester Biomedical Research Centre (BRC)</t>
  </si>
  <si>
    <t>[Xian, Tiantian; Constantinides, Panos; Chen, Yu-wang; Quboa, Qudamah] Univ Manchester, Alliance Manchester Business Sch, Oxford Rd, Manchester M13 9PL, England; [Mehandjiev, Nikolay] Univ Birmingham, Coll Social Sci, Birmingham, England; [Kitchen, Gareth] Univ Manchester, Fac Biol Med &amp; Hlth, Sch Biol Sci, Manchester, England; [Kitchen, Gareth] Manchester Univ NHS Fdn Trust, Anaesthesia &amp; Crit Care, Manchester, England</t>
  </si>
  <si>
    <t>University of Manchester; Alliance Manchester Business School; University of Birmingham; University of Manchester; Manchester University NHS Foundation Trust</t>
  </si>
  <si>
    <t>Clinician preferences for explainable AI in critical care: a comparative study of interpretable models and visualizations for intubation decision support</t>
  </si>
  <si>
    <t>Explainable artificial intelligence; Clinical decision support; Intensive care units; Intubation prediction; Visual analytics</t>
  </si>
  <si>
    <t>TECHNOLOGY ACCEPTANCE MODEL</t>
  </si>
  <si>
    <t>Kitchen, Gareth/AGN-8410-2022; Mehandjiev, Nikolay/O-5034-2016</t>
  </si>
  <si>
    <t>Xian, Tiantian/0000-0003-4630-0394</t>
  </si>
  <si>
    <t>APR 15 2026</t>
  </si>
  <si>
    <t>210</t>
  </si>
  <si>
    <t>106287</t>
  </si>
  <si>
    <t>10.1016/j.ijmedinf.2026.106287</t>
  </si>
  <si>
    <t>http://dx.doi.org/10.1016/j.ijmedinf.2026.106287</t>
  </si>
  <si>
    <t>JAN 2026</t>
  </si>
  <si>
    <t>CV5MY</t>
  </si>
  <si>
    <t>41570512</t>
  </si>
  <si>
    <t>WOS:001675441100001</t>
  </si>
  <si>
    <t>Jaber, D; Hajj, H; Maalouf, F; El-Hajj, W</t>
  </si>
  <si>
    <t>Background In the last decade, a lot of attention has been given to develop artificial intelligence (AI) solutions for mental health using machine learning. To build trust in AI applications, it is crucial for AI systems to provide for practitioners and patients the reasons behind the AI decisions. This is referred to as Explainable AI. While there has been significant progress in developing stress prediction models, little work has been done to develop explainable AI for mental health. Methods In this work, we address this gap by designing an explanatory AI report for stress prediction from wearable sensors. Because medical practitioners and patients are likely to be familiar with blood test reports, we modeled the look and feel of the explanatory AI on those of a standard blood test report. The report includes stress prediction and the physiological signals related to stressful episodes. In addition to the new design for explaining AI in mental health, the work includes the following contributions: Methods to automatically generate different components of the report, an approach for evaluating and validating the accuracies of the explanations, and a collection of ground truth of relationships between physiological measurements and stress prediction. Results Test results showed that the explanations were consistent with ground truth. The reference intervals for stress versus non-stress were quite distinctive with little variation. In addition to the quantitative evaluations, a qualitative survey, conducted by three expert psychiatrists confirmed the usefulness of the explanation report in understanding the different aspects of the AI system. Conclusion In this work, we have provided a new design for explainable AI used in stress prediction based on physiological measurements. Based on the report, users and medical practitioners can determine what biological features have the most impact on the prediction of stress in addition to any health-related abnormalities. The effectiveness of the explainable AI report was evaluated using a quantitative and a qualitative assessment. The stress prediction accuracy was shown to be comparable to state-of-the-art. The contributions of each physiological signal to the stress prediction was shown to correlate with ground truth. In addition to these quantitative evaluations, a qualitative survey with psychiatrists confirmed the confidence and effectiveness of the explanation report in the stress made by the AI system. Future work includes the addition of more explanatory features related to other emotional states of the patient, such as sadness, relaxation, anxiousness, or happiness.</t>
  </si>
  <si>
    <t>Jaber, Dalia; Hajj, Hazem; Maalouf, Fadi; El-Hajj, Wassim</t>
  </si>
  <si>
    <t>Jaber, D (corresponding author), Amer Univ Beirut, Elect &amp; Comp Engn Dept, Beirut, Lebanon.</t>
  </si>
  <si>
    <t>drj01@mail.aub.edu</t>
  </si>
  <si>
    <t>"Automated Emotion Recognition for Better Mental and Medical States of Being", American University of Beirut, Farouk K. Jabre Grant</t>
  </si>
  <si>
    <t>This work was funded by the "Automated Emotion Recognition for Better Mental and Medical States of Being", American University of Beirut, Farouk K. Jabre Grant.</t>
  </si>
  <si>
    <t>[Jaber, Dalia] Amer Univ Beirut, Elect &amp; Comp Engn Dept, Beirut, Lebanon; [Maalouf, Fadi] Amer Univ Beirut, Dept Psychiat, Beirut, Lebanon; [El-Hajj, Wassim] Amer Univ Beirut, Comp Sci Dept, Beirut, Lebanon; [Hajj, Hazem] Intel Corp, Pathfinding Automat Technol &amp; Analyt, Hillsboro, OR USA</t>
  </si>
  <si>
    <t>American University of Beirut; American University of Beirut; American University of Beirut; Intel Corporation; Intel USA</t>
  </si>
  <si>
    <t>Medically-oriented design for explainable AI for stress prediction from physiological measurements</t>
  </si>
  <si>
    <t>BMC MEDICAL INFORMATICS AND DECISION MAKING</t>
  </si>
  <si>
    <t>Explainable models; Stress prediction</t>
  </si>
  <si>
    <t>SYSTEM</t>
  </si>
  <si>
    <t>1472-6947</t>
  </si>
  <si>
    <t>BMC MED INFORM DECIS</t>
  </si>
  <si>
    <t>BMC Med. Inform. Decis. Mak.</t>
  </si>
  <si>
    <t>FEB 11 2022</t>
  </si>
  <si>
    <t>10.1186/s12911-022-01772-2</t>
  </si>
  <si>
    <t>http://dx.doi.org/10.1186/s12911-022-01772-2</t>
  </si>
  <si>
    <t>Medical Informatics</t>
  </si>
  <si>
    <t>YX6HG</t>
  </si>
  <si>
    <t>35148762</t>
  </si>
  <si>
    <t>WOS:000754201100001</t>
  </si>
  <si>
    <t>Naas, M; Mzoughi, H; Njeh, I; Ben Slima, M</t>
  </si>
  <si>
    <t>Breast cancer (BC) is a leading cause of death among women, with breast ultrasound (BUS) commonly used for early detection. However, BUS images are often affected by speckle noise, low tissue contrast, and artifacts, which can compromise image analysis tasks like segmentation and classification. Nowadays, Deep Learning (DL)-based Computer-Aided Diagnosis (CAD) systems could significantly enhance clinical diagnosis by leveraging self-learning capabilities to extract a sophisticated hierarchy of features from images. However, DL models often lack transparency in their internal decision-making processes, which is critical for sensitive applications like breast imaging. To address this, Explainable Artificial Intelligence (XAI) has emerged as a key approach to make DL models more transparent and interpretable for clinicians. This paper presents an efficient and fully automated DL-based CAD tool enhanced by XAI techniques for the precise exploration and diagnosis of BC using ultrasound images. The proposed CAD involves four key-steps: preprocessing, segmentation, XAI-based explainability, and feature extraction. In the preprocessing phase, an Autoencoder-based architecture is explored to effectively reduce speckle noise. For segmentation, our approach introduces an optimized architecture inspired by the DeepLabV3 + model. To ensure transparency in the model's predictions, Gradient-weighted Class Activation Mapping (Grad-CAM) is employed to provide interpretable insights into the decisions made by the deep neural network. Lastly, relevant features are extracted using the Gray-Level Co-occurrence Matrix (GLCM) technique. The proposed approach was rigourously evaluated on two publicly available benchmark datasets. For the first dataset (A), the evaluation metrics achieved were as follows: Dice coefficient (0.979), accuracy (0.935), intersection over union (0.955), precision (0.984), F1 score (0.981), and recall (0.980). Similarly, for the second dataset (B), the model showed notable improvements, achieving a Dice coefficient (0.981), accuracy (0.974), intersection over union (0.963), precision (0.986), F1 score (0.985), and recall (0.983).These results highlight the exceptional performance of the optimized DeepLabV3 + model in segmentation tasks, outperforming both U-Net and ResidualUnet architectures.</t>
  </si>
  <si>
    <t>Naas, Marwa; Mzoughi, Hiba; Njeh, Ines; Ben Slima, Mohamed</t>
  </si>
  <si>
    <t>Naas, M (corresponding author), Sfax Univ, Natl Engn Sch Sfax, UR ATISP LAB, Sfax, Tunisia.</t>
  </si>
  <si>
    <t>marwa.naas@enis.tn</t>
  </si>
  <si>
    <t>[Naas, Marwa] Sfax Univ, Natl Engn Sch Sfax, UR ATISP LAB, Sfax, Tunisia; [Mzoughi, Hiba] Gabes Univ, Natl Engn Sch Gabes, UR ATISP LAB, Gabes, Tunisia; [Njeh, Ines] Gabes Univ, Higher Inst Comp Sci &amp; Multimedia Gabes, UR ATISP LAB, Gabes, Tunisia; [Ben Slima, Mohamed] Sfax Univ, Natl Sch Elect &amp; Telecommun Sfax, UR ATISP, Sfax, Tunisia</t>
  </si>
  <si>
    <t>Universite de Sfax; Ecole Nationale dIngenieurs de Sfax (ENIS); Universite de Gabes; Universite de Gabes; Universite de Sfax</t>
  </si>
  <si>
    <t>Deep learning based computer aided diagnosis (CAD) tool supported by explainable artificial intelligence for breast cancer exploration</t>
  </si>
  <si>
    <t>APPLIED INTELLIGENCE</t>
  </si>
  <si>
    <t>Breast cancer; Deep learning; Explainable Artificial Intelligence (XAI); Segmentation</t>
  </si>
  <si>
    <t>0924-669X</t>
  </si>
  <si>
    <t>1573-7497</t>
  </si>
  <si>
    <t>APPL INTELL</t>
  </si>
  <si>
    <t>Appl. Intell.</t>
  </si>
  <si>
    <t>APR 21 2025</t>
  </si>
  <si>
    <t>679</t>
  </si>
  <si>
    <t>10.1007/s10489-025-06561-8</t>
  </si>
  <si>
    <t>http://dx.doi.org/10.1007/s10489-025-06561-8</t>
  </si>
  <si>
    <t>1RI9I</t>
  </si>
  <si>
    <t>WOS:001471828400006</t>
  </si>
  <si>
    <t>Kauffmann, J; Dippel, J; Ruff, L; Samek, W; Müller, KR; Montavon, G</t>
  </si>
  <si>
    <t>Unsupervised learning has become an essential building block of artifical intelligence systems. The representations it produces, for example, in foundation models, are critical to a wide variety of downstream applications. It is therefore important to carefully examine unsupervised models to ensure not only that they produce accurate predictions on the available data but also that these accurate predictions do not arise from a Clever Hans (CH) effect. Here, using specially developed explainable artifical intelligence techniques and applying them to popular representation learning and anomaly detection models for image data, we show that CH effects are widespread in unsupervised learning. In particular, through use cases on medical and industrial inspection data, we demonstrate that CH effects systematically lead to significant performance loss of downstream models under plausible dataset shifts or reweighting of different data subgroups. Our empirical findings are enriched by theoretical insights, which point to inductive biases in the unsupervised learning machine as a primary source of CH effects. Overall, our work sheds light on unexplored risks associated with practical applications of unsupervised learning and suggests ways to systematically mitigate CH effects, thereby making unsupervised learning more robust.</t>
  </si>
  <si>
    <t>Kauffmann, Jacob; Dippel, Jonas; Ruff, Lukas; Samek, Wojciech; Mueller, Klaus-Robert; Montavon, Gregoire</t>
  </si>
  <si>
    <t>Müller, KR; Montavon, G (corresponding author), Tech Univ Berlin, Dept Elect Engn &amp; Comp Sci, Berlin, Germany.; Müller, KR; Montavon, G (corresponding author), BIFOLD Berlin Inst Fdn Learning &amp; Data, Berlin, Germany.; Müller, KR (corresponding author), Korea Univ, Dept Artificial Intelligence, Seoul, South Korea.; Müller, KR (corresponding author), Max Planck Inst Informat, Saarbrucken, Germany.; Müller, KR (corresponding author), Google DeepMind, Berlin, Germany.; Montavon, G (corresponding author), Free Univ Berlin, Dept Math &amp; Comp Sci, Berlin, Germany.</t>
  </si>
  <si>
    <t>gregoire.montavon@fu-berlin.de; klaus-robert.mueller@tu-berlin.de</t>
  </si>
  <si>
    <t>Deutsche Forschungsgemeinschaft (German Research Foundation) [01IS14013A-E, 01GQ1115, 01GQ0850, 01IS18056A, 01IS18025A, 01IS18037A]; German Ministry for Education and Research [EXC 2046/1, 390685689, KI-FOR 5363, 459422098]; German Research Foundation (DFG) [KI-FOR 5363]; DFG [2019-0-00079]; Institute of Information and Communications Technology Planning and Evaluation (IITP) - Korea government (MSIT) [2022-0-00984]; Artificial Intelligence Graduate School Program, Korea University</t>
  </si>
  <si>
    <t>Deutsche Forschungsgemeinschaft (German Research Foundation) (German Research Foundation (DFG)); German Ministry for Education and Research (Federal Ministry of Education &amp; Research (BMBF)); German Research Foundation (DFG) (German Research Foundation (DFG)); DFG (German Research Foundation (DFG)); Institute of Information and Communications Technology Planning and Evaluation (IITP) - Korea government (MSIT) (Institute for Information &amp; Communication Technology Planning &amp; Evaluation (IITP), Republic of Korea); Artificial Intelligence Graduate School Program, Korea University (Korea University)</t>
  </si>
  <si>
    <t>This work was partly funded by the German Ministry for Education and Research (under refs 01IS14013A-E, 01GQ1115, 01GQ0850, 01IS18056A, 01IS18025A and 01IS18037A), the German Research Foundation (DFG) as Math+: Berlin Mathematics Research Center (EXC 2046/1, project ID 390685689) and the DeSBi Research Unit (KI-FOR 5363, project ID 459422098) and DFG KI-FOR 5363. Furthermore, K.-R.M. was partly supported by the Institute of Information and Communications Technology Planning and Evaluation (IITP) grants funded by the Korea government (MSIT) (no. 2019-0-00079, Artificial Intelligence Graduate School Program, Korea University and no. 2022-0-00984, Development of Artificial Intelligence Technology for Personalized Plug-and-Play Explanation and Verification of Explanation). We thank S. Ganscha for the valuable comments on the manuscript.</t>
  </si>
  <si>
    <t>[Kauffmann, Jacob; Dippel, Jonas; Ruff, Lukas; Samek, Wojciech; Mueller, Klaus-Robert; Montavon, Gregoire] Tech Univ Berlin, Dept Elect Engn &amp; Comp Sci, Berlin, Germany; [Kauffmann, Jacob; Dippel, Jonas; Samek, Wojciech; Mueller, Klaus-Robert; Montavon, Gregoire] BIFOLD Berlin Inst Fdn Learning &amp; Data, Berlin, Germany; [Dippel, Jonas; Ruff, Lukas] Aignostics, Berlin, Germany; [Samek, Wojciech] Fraunhofer Heinrich Hertz Inst, Dept Artificial Intelligence, Berlin, Germany; [Mueller, Klaus-Robert] Korea Univ, Dept Artificial Intelligence, Seoul, South Korea; [Mueller, Klaus-Robert] Max Planck Inst Informat, Saarbrucken, Germany; [Mueller, Klaus-Robert] Google DeepMind, Berlin, Germany; [Montavon, Gregoire] Free Univ Berlin, Dept Math &amp; Comp Sci, Berlin, Germany</t>
  </si>
  <si>
    <t>Technical University of Berlin; Fraunhofer Gesellschaft; Korea University; Max Planck Society; Alphabet Inc.; DeepMind; Free University of Berlin</t>
  </si>
  <si>
    <t>Explainable AI reveals Clever Hans effects in unsupervised learning models</t>
  </si>
  <si>
    <t>NATURE MACHINE INTELLIGENCE</t>
  </si>
  <si>
    <t>DEEP NEURAL-NETWORKS</t>
  </si>
  <si>
    <t>Mueller, Klaus-Robert/C-3196-2013; Samek, Wojciech/AAZ-2156-2021; Montavon, Grégoire/Q-1836-2016</t>
  </si>
  <si>
    <t>Mueller, Klaus-Robert/0000-0002-3861-7685; Ruff, Lukas/0000-0002-9707-297X; Samek, Wojciech/0000-0002-6283-3265</t>
  </si>
  <si>
    <t>2522-5839</t>
  </si>
  <si>
    <t>NAT MACH INTELL</t>
  </si>
  <si>
    <t>Nat. Mach. Intell.</t>
  </si>
  <si>
    <t>412</t>
  </si>
  <si>
    <t>422</t>
  </si>
  <si>
    <t>10.1038/s42256-025-01000-2</t>
  </si>
  <si>
    <t>http://dx.doi.org/10.1038/s42256-025-01000-2</t>
  </si>
  <si>
    <t>Computer Science, Artificial Intelligence; Computer Science, Interdisciplinary Applications</t>
  </si>
  <si>
    <t>0MX0Q</t>
  </si>
  <si>
    <t>WOS:001447473200001</t>
  </si>
  <si>
    <t>Johnson, DS; Hakobyan, O; Paletschek, J; Drimalla, H</t>
  </si>
  <si>
    <t>Affective computing often relies on audiovisual data to identify affective states from non-verbal signals, such as facial expressions and vocal cues. Since automatic affect recognition can be used in sensitive applications, such as healthcare and education, it is crucial to understand how models arrive at their decisions. Interpretability of machine learning models is the goal of the emerging research area of Explainable AI (explainable AI (XAI)). This scoping review aims to survey the field of audiovisual affective machine learning to identify how XAI is applied in this domain. We first provide an overview of XAI concepts relevant to affective computing. Next, following the recommended PRISMA guidelines, we perform a literature search in the ACM, IEEE, Web of Science and PubMed databases. After systematically reviewing 1190 articles, a final set of 65 papers is included in our analysis. We quantitatively summarize the scope, methods and evaluation of the XAI techniques used in the identified papers. Our findings show encouraging developments for using XAI to explain models in audiovisual affective computing, yet only a limited set of methods are used in the reviewed works. Following a critical discussion, we provide recommendations for incorporating interpretability in future work for affective machine learning.</t>
  </si>
  <si>
    <t>Johnson, David S.; Hakobyan, Olya; Paletschek, Jonas; Drimalla, Hanna</t>
  </si>
  <si>
    <t>Johnson, DS (corresponding author), Bielefeld Univ, Ctr Cognit Interact Technol CITEC, D-33615 Bielefeld, Germany.</t>
  </si>
  <si>
    <t>jpaletschek@techfak.uni-bielefeld.de; drimalla@techfak.uni-bielefeld.de; djohnson@techfak.uni-bielefeld.de; ohakobyan@techfak.uni-bielefeld.de</t>
  </si>
  <si>
    <t>Deutsche Forschungsgemeinschaft (DFG, German Research Foundation) [TRR 318/1 2021-438445824]; Federal Ministry of Education and Research Germany (BMBF) [01IS20046]</t>
  </si>
  <si>
    <t>Deutsche Forschungsgemeinschaft (DFG, German Research Foundation) (German Research Foundation (DFG)); Federal Ministry of Education and Research Germany (BMBF) (Federal Ministry of Education &amp; Research (BMBF))</t>
  </si>
  <si>
    <t>This work was supported by the Deutsche Forschungsgemeinschaft (DFG, German Research Foundation) via the Transregional Collaborative Research Centre 318 "Constructing Explainability" under Grant TRR 318/1 2021-438445824. In addition, we acknowledge the Federal Ministry of Education and Research Germany (BMBF; 01IS20046).</t>
  </si>
  <si>
    <t>[Johnson, David S.; Hakobyan, Olya; Paletschek, Jonas; Drimalla, Hanna] Bielefeld Univ, Ctr Cognit Interact Technol CITEC, D-33615 Bielefeld, Germany</t>
  </si>
  <si>
    <t>University of Bielefeld</t>
  </si>
  <si>
    <t>Explainable AI for Audio and Visual Affective Computing: A Scoping Review</t>
  </si>
  <si>
    <t>IEEE TRANSACTIONS ON AFFECTIVE COMPUTING</t>
  </si>
  <si>
    <t>Computational modeling; Affective computing; Machine learning; Analytical models; Reviews; Explainable AI; Predictive models; Data models; Visualization; Feature extraction; Affective machine learning; audiovisual; interpretability; XAI</t>
  </si>
  <si>
    <t>EXPLANATIONS; NETWORKS; QUALITY; PAIN</t>
  </si>
  <si>
    <t>Hakobyan, Olya/GVT-5600-2022</t>
  </si>
  <si>
    <t>Drimalla, Hanna/0000-0003-3783-7237; Hakobyan, Olya/0000-0002-3828-0533</t>
  </si>
  <si>
    <t>144</t>
  </si>
  <si>
    <t>1949-3045</t>
  </si>
  <si>
    <t>IEEE T AFFECT COMPUT</t>
  </si>
  <si>
    <t>IEEE Trans. Affect. Comput.</t>
  </si>
  <si>
    <t>APR-JUN 2025</t>
  </si>
  <si>
    <t>518</t>
  </si>
  <si>
    <t>536</t>
  </si>
  <si>
    <t>10.1109/TAFFC.2024.3505269</t>
  </si>
  <si>
    <t>http://dx.doi.org/10.1109/TAFFC.2024.3505269</t>
  </si>
  <si>
    <t>Computer Science, Artificial Intelligence; Computer Science, Cybernetics</t>
  </si>
  <si>
    <t>3GC0L</t>
  </si>
  <si>
    <t>WOS:001499503500006</t>
  </si>
  <si>
    <t>Latha, M; Kumar, PS; Chandrika, RR; Mahesh, TR; Kumar, VV; Guluwadi, S</t>
  </si>
  <si>
    <t>Breast cancer is a leading cause of mortality among women globally, necessitating precise classification of breast ultrasound images for early diagnosis and treatment. Traditional methods using CNN architectures such as VGG, ResNet, and DenseNet, though somewhat effective, often struggle with class imbalances and subtle texture variations, leading to reduced accuracy for minority classes such as malignant tumors. To address these issues, we propose a methodology that leverages EfficientNet-B7, a scalable CNN architecture, combined with advanced data augmentation techniques to enhance minority class representation and improve model robustness. Our approach involves fine-tuning EfficientNet-B7 on the BUSI dataset, implementing RandomHorizontalFlip, RandomRotation, and ColorJitter to balance the dataset and improve model robustness. The training process includes early stopping to prevent overfitting and optimize performance metrics. Additionally, we integrate Explainable AI (XAI) techniques, such as Grad-CAM, to enhance the interpretability and transparency of the model's predictions, providing visual and quantitative insights into the features and regions of ultrasound images influencing classification outcomes. Our model achieves a classification accuracy of 99.14%, significantly outperforming existing CNN-based approaches in breast ultrasound image classification. The incorporation of XAI techniques enhances our understanding of the model's decision-making process, thereby increasing its reliability and facilitating clinical adoption. This comprehensive framework offers a robust and interpretable tool for the early detection and diagnosis of breast cancer, advancing the capabilities of automated diagnostic systems and supporting clinical decision-making processes.</t>
  </si>
  <si>
    <t>Latha, M.; Kumar, P. Santhosh; Chandrika, R. Roopa; Mahesh, T. R.; Kumar, V. Vinoth; Guluwadi, Suresh</t>
  </si>
  <si>
    <t>Guluwadi, S (corresponding author), Adama Sci &amp; Technol Univ, Adama 302120, Ethiopia.</t>
  </si>
  <si>
    <t>suresh.guluwadi@astu.edu.et</t>
  </si>
  <si>
    <t>[Latha, M.; Kumar, P. Santhosh] SRM Inst Sci &amp; Technol, Dept Informat Technol, Chennai, India; [Chandrika, R. Roopa] Karpagam Acad Higher Educ Deemed Univ, Fac Engn, Dept Comp Sci &amp; Engn, Coimbatore, India; [Mahesh, T. R.] JAIN Deemed Univ, Fac Engn &amp; Technol, Dept Comp Sci &amp; Engn, Bengaluru 562112, India; [Kumar, V. Vinoth] Vellore Inst Technol, Sch Comp Sci Engn &amp; Informat Syst, Vellore 632014, India; [Guluwadi, Suresh] Adama Sci &amp; Technol Univ, Adama 302120, Ethiopia</t>
  </si>
  <si>
    <t>SRM Institute of Science &amp; Technology Chennai; Karpagam Academy of Higher Education (KAHE); Jain University; Vellore Institute of Technology (VIT); VIT Vellore; Adama Science &amp; Technology University</t>
  </si>
  <si>
    <t>Revolutionizing breast ultrasound diagnostics with EfficientNet-B7 and Explainable AI</t>
  </si>
  <si>
    <t>BMC MEDICAL IMAGING</t>
  </si>
  <si>
    <t>Breast ultrasound imaging; EfficientNet; Fine-tuning; Data augmentation; Image classification; Deep learning; Grad-Cam</t>
  </si>
  <si>
    <t>TR, Mahesh/AAC-2339-2020; M, Latha/KOC-4431-2024</t>
  </si>
  <si>
    <t>Muthaiah, Latha/0000-0001-6730-3194</t>
  </si>
  <si>
    <t>1471-2342</t>
  </si>
  <si>
    <t>BMC MED IMAGING</t>
  </si>
  <si>
    <t>BMC Med. Imag.</t>
  </si>
  <si>
    <t>SEP 2 2024</t>
  </si>
  <si>
    <t>230</t>
  </si>
  <si>
    <t>10.1186/s12880-024-01404-3</t>
  </si>
  <si>
    <t>http://dx.doi.org/10.1186/s12880-024-01404-3</t>
  </si>
  <si>
    <t>E5E1R</t>
  </si>
  <si>
    <t>39223507</t>
  </si>
  <si>
    <t>WOS:001303223600002</t>
  </si>
  <si>
    <t>Carter, TS; Yang, GH; Loke, G; Yan, W</t>
  </si>
  <si>
    <t>The sounds made by the heart are regularly used to determine the mechanics and status of blood flow within the heart. While machine-learning algorithms have been presented to classify different heart conditions via auscultation, these models typically output a single-label decision and offer little insight into the magnitude or severity of the classified condition. The inner workings of these networks are a 'black box', offering a diagnosis prediction without a metric for explaining how the conclusion was drawn. Here, we present a novel approach, combining deep convolutional neural networks and explainable AI algorithms, to extract key temporal signatures in recordings of multiple heart conditions to enable multi-label classification and severity determination. Signatures found are supported by previous research and offer more information than a simple single-label classification algorithm. The neural networks are able to reach a multi-label classification accuracy of up to 78% (alongside 98% single-label accuracy) after being trained solely on single-label data. This approach may assist physicians in making quick, accurate, and comprehensive diagnoses and provide new insights for the progress of multi-label machine learning for medical diagnosis.</t>
  </si>
  <si>
    <t>Carter, Trevor S.; Yang, Grace H.; Loke, Gabriel; Yan, Wei</t>
  </si>
  <si>
    <t>Carter, TS (corresponding author), MIT, Dept Elect Engn &amp; Comp Sci, Boston, MA 02139 USA.</t>
  </si>
  <si>
    <t>trevorsc@mit.edu</t>
  </si>
  <si>
    <t>[Carter, Trevor S.] MIT, Dept Elect Engn &amp; Comp Sci, Boston, MA 02139 USA; [Yang, Grace H.] MIT, Dept Chem Engn, Boston, MA USA; [Loke, Gabriel; Yan, Wei] MIT, Dept Mat Sci &amp; Engn, Boston, MA USA</t>
  </si>
  <si>
    <t>Massachusetts Institute of Technology (MIT); Massachusetts Institute of Technology (MIT); Massachusetts Institute of Technology (MIT)</t>
  </si>
  <si>
    <t>Deciphering simultaneous heart conditions with spectrogram and explainable-AI approach</t>
  </si>
  <si>
    <t>BIOMEDICAL SIGNAL PROCESSING AND CONTROL</t>
  </si>
  <si>
    <t>Explainable -AI; Convolutional neural network; Phonocardiogram; Spectrogram; Machine learning; Stenosis; Auscultation; Regurgitation</t>
  </si>
  <si>
    <t>Loke, Gabriel/L-7506-2019</t>
  </si>
  <si>
    <t>1746-8094</t>
  </si>
  <si>
    <t>1746-8108</t>
  </si>
  <si>
    <t>BIOMED SIGNAL PROCES</t>
  </si>
  <si>
    <t>Biomed. Signal Process. Control</t>
  </si>
  <si>
    <t>AUG 2023</t>
  </si>
  <si>
    <t>104990</t>
  </si>
  <si>
    <t>10.1016/j.bspc.2023.104990</t>
  </si>
  <si>
    <t>http://dx.doi.org/10.1016/j.bspc.2023.104990</t>
  </si>
  <si>
    <t>MAY 2023</t>
  </si>
  <si>
    <t>Engineering, Biomedical</t>
  </si>
  <si>
    <t>I3DJ0</t>
  </si>
  <si>
    <t>WOS:001001616000001</t>
  </si>
  <si>
    <t>Burr, CD; Qian, S; Winter, P; Chico, T; Smith, CR; Wagg, D; Niederer, SA</t>
  </si>
  <si>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</si>
  <si>
    <t>Burr, Christopher David; Qian, Shuang; Winter, Peter; Chico, Tim; Smith, Camila Rangel; Wagg, David; Niederer, Steven Alexander</t>
  </si>
  <si>
    <t>Burr, CD (corresponding author), Alan Turing Inst, London, England.</t>
  </si>
  <si>
    <t>peter.winter@bristol.ac.uk; s.qian23@imperial.ac.uk; david.wagg@sheffield.ac.uk; cburr@turing.ac.uk; t.j.chico@sheffield.ac.uk; crangelsmith@turing.ac.uk; sniederer@turing.ac.uk</t>
  </si>
  <si>
    <t>Engineering and Physical Sciences Research Council [EP/Y016289/1, EP/Z531297/1]</t>
  </si>
  <si>
    <t>Engineering and Physical Sciences Research Council</t>
  </si>
  <si>
    <t>Engineering and Physical Sciences Research Council,EP/Y016289/1,EP/Z531297/1</t>
  </si>
  <si>
    <t>[Burr, Christopher David; Smith, Camila Rangel; Niederer, Steven Alexander] Alan Turing Inst, London, England; [Qian, Shuang] Imperial Coll London, Natl Heart &amp; Lung Inst, London, England; [Winter, Peter] Univ Bristol, Bristol, England; [Chico, Tim] Univ Sheffield, Sch Med &amp; Populat Hlth, Sheffield, England; [Wagg, David] Univ Sheffield, Sch Mech Aerosp &amp; Civil Engn, Sheffield, England</t>
  </si>
  <si>
    <t>Alan Turing Institute; Imperial College London; University of Bristol; University of Sheffield; University of Sheffield</t>
  </si>
  <si>
    <t>Realising the digital twin: a thematic review and analysis of the ethical, legal, and social issues for digital twins in healthcare</t>
  </si>
  <si>
    <t>AI &amp; SOCIETY</t>
  </si>
  <si>
    <t>Digital twins; Digital healthcare; Data ethics; AI governance; Law; Biomedical ethics</t>
  </si>
  <si>
    <t>Wagg, David/AFQ-4079-2022; Chico, Tim/E-6169-2010</t>
  </si>
  <si>
    <t>Winter, Peter/0000-0003-0766-6297; Wagg, David/0000-0002-7266-2105</t>
  </si>
  <si>
    <t>0951-5666</t>
  </si>
  <si>
    <t>1435-5655</t>
  </si>
  <si>
    <t>AI SOC</t>
  </si>
  <si>
    <t>AI Soc.</t>
  </si>
  <si>
    <t>5243</t>
  </si>
  <si>
    <t>5267</t>
  </si>
  <si>
    <t>10.1007/s00146-025-02833-6</t>
  </si>
  <si>
    <t>http://dx.doi.org/10.1007/s00146-025-02833-6</t>
  </si>
  <si>
    <t>FEB 2026</t>
  </si>
  <si>
    <t>JC9UB</t>
  </si>
  <si>
    <t>42254856</t>
  </si>
  <si>
    <t>WOS:001681859900001</t>
  </si>
  <si>
    <t>hybrid; Green Submitted; Green Published</t>
  </si>
  <si>
    <t>Hosain, AKMS; Zereen, AN</t>
  </si>
  <si>
    <t>Osteoporosis, a widespread bone disorder affecting over 200 million people globally, is associated with significant morbidity, particularly due to increased fracture risk. While traditionally considered a condition afflicting the elderly, younger individuals are also susceptible. In this study, a deep learning framework utilizing convolutional neural networks (CNNs) to detect osteoporosis from knee X-ray images is presented. Two models: MobileNet V3 and EfficientNet B0 are employed and fine-tuned on a dataset of 774 knee X-ray images. Model performance is further enhanced through the curation of a proposed dataset, wherein critical features are emphasized utilizing Explainable AI (XAI) frameworks (LIME and Grad-CAM). The results show that while both models achieved an accuracy of 0.77 on the original dataset, EfficientNet B0 consistently outperformed MobileNet V3 on the proposed dataset with an accuracy of 0.9189 and an F1 score of 0.9315, compared to MobileNet V3's accuracy of 0.8243 and F1 score of 0.8169. These findings demonstrate the effectiveness of CNNs, particularly EfficientNet B0, in accurately diagnosing osteoporosis from medical images and underscore the importance of both model selection and feature-focused data preprocessing in improving diagnostic performance.</t>
  </si>
  <si>
    <t>Hosain, A. K. M. Salman; Zereen, Aniqua Nusrat</t>
  </si>
  <si>
    <t>Zereen, AN (corresponding author), Mahidol Univ, Fac Informat &amp; Commun Technol, Salaya, Thailand.</t>
  </si>
  <si>
    <t>aniqua.zer@mahidol.ac.th</t>
  </si>
  <si>
    <t>[Hosain, A. K. M. Salman] BRAC Univ, Dept Comp Sci &amp; Engn, Dhaka, Bangladesh; [Zereen, Aniqua Nusrat] Mahidol Univ, Fac Informat &amp; Commun Technol, Salaya, Thailand</t>
  </si>
  <si>
    <t>Bangladesh Rural Advancement Committee BRAC; BRAC University; Mahidol University</t>
  </si>
  <si>
    <t>Feature-Driven Deep Learning for Osteoporosis Detection: Leveraging Explainable AI</t>
  </si>
  <si>
    <t>APPLIED COMPUTATIONAL INTELLIGENCE AND SOFT COMPUTING</t>
  </si>
  <si>
    <t>CNN; EfficientNet; MobileNet; osteoporosis; XAI</t>
  </si>
  <si>
    <t>Zereen, Aniqua Nusrat/JMA-9189-2023</t>
  </si>
  <si>
    <t>1687-9724</t>
  </si>
  <si>
    <t>1687-9732</t>
  </si>
  <si>
    <t>APPL COMPUT INTELL S</t>
  </si>
  <si>
    <t>Appl. Comput. Intell. Soft Comput.</t>
  </si>
  <si>
    <t>8214937</t>
  </si>
  <si>
    <t>10.1155/acis/8214937</t>
  </si>
  <si>
    <t>http://dx.doi.org/10.1155/acis/8214937</t>
  </si>
  <si>
    <t>LB4ZR</t>
  </si>
  <si>
    <t>WOS:001820645700001</t>
  </si>
  <si>
    <t>Ghosh, J; Kant, R; Bhardwaj, P; Muralidhar, S; Christodoulides, M; Taneja, J</t>
  </si>
  <si>
    <t>Introduction Reproductive tract infections (RTIs) and sexually transmitted infections (STIs) pose a substantial economic burden and public health concern in developing countries such as India, where inadequate early detection and prevention strategies often lead to increased morbidity, mortality, stigma, cancer and adverse reproductive health outcomes in both men and women.Methods The present cross-sectional study employed machine-learning models to predict the risk of RTI/STI among young women in Delhi, India, by analysing self-reported symptoms along with demographic, reproductive health, lifestyle, and hygiene-related factors. The data were analysed using multiple machine learning algorithms, including decision trees, random forest, k-nearest neighbors (KNN), stochastic gradient descent (SGD), and XGBoost. Prior to analysis, the data was preprocessed through different steps including missing-value imputation, outlier removal using the interquartile range (IQR) method, and the synthetic minority oversampling technique (SMOTE) to address class imbalance.Results A comparative analysis of model performance revealed that the XGBoost algorithm achieved the highest accuracy (89.1%) and the greatest area under receiver operating characteristics curve (ROC-AUC = 0.935), with random forest performing strongly as the second-best model (accuracy = 87.6%, ROC-AUC = 0.921), demonstrating its strong ability to capture non-linear relationships among RTI risk factors. SHAP (SHapley Additive exPlanations) analysis identified family medical history, personal RTI history, and menstrual cycle characteristics as the most influential predictors.Discussion The findings underscore the potential of machine learning-driven predictive models in RTI risk stratification, screening support, and hypothesis generation.</t>
  </si>
  <si>
    <t>Ghosh, Joyeta; Kant, Ravi; Bhardwaj, Priya; Muralidhar, Sumathi; Christodoulides, Myron; Taneja, Jyoti</t>
  </si>
  <si>
    <t>Taneja, J (corresponding author), Univ Delhi, Daulat Ram Coll, Dept Zool, Lab Reprod Epidemiol &amp; Infect Immunol, New Delhi, India.</t>
  </si>
  <si>
    <t>jyotitaneja@dr.du.ac.in</t>
  </si>
  <si>
    <t>[Ghosh, Joyeta] Amity Univ, Amity Inst Appl Sci AIAS, Dept Dietet &amp; Appl Nutr, Kolkata Campus, Kolkata, West Bengal, India; [Kant, Ravi] Shoolini Univ, Fac Appl Sci &amp; Biotechnol, Computat Drug &amp; Vaccine Discovery Lab, Solan, Himachal Prades, India; [Bhardwaj, Priya] All India Inst Med Sci, Dept Pharmacol, New Delhi, India; [Muralidhar, Sumathi] Safdarjang Hosp, Apex Reg STD Ctr, New Delhi, India; [Christodoulides, Myron] Univ Southampton, Southampton Gen Hosp, Sch Clin &amp; Expt Sci, Mol Microbiol,Fac Med, Southampton, England; [Taneja, Jyoti] Univ Delhi, Daulat Ram Coll, Dept Zool, Lab Reprod Epidemiol &amp; Infect Immunol, New Delhi, India</t>
  </si>
  <si>
    <t>All India Institute of Medical Sciences (AIIMS) New Delhi; Vardhman Mahavir Medical College &amp; Safdarjung Hospital; University of Southampton; University of Delhi</t>
  </si>
  <si>
    <t>Prediction of female reproductive tract infections risk among college-going young adult women in Delhi using explainable artificial intelligence</t>
  </si>
  <si>
    <t>artificial intelligence (AI); explainable artificial intelligence (XAI); machine learning (ML); public health surveillance; reproductive tract infections (RTIs); risk prediction; sexually transmitted infections (STIs); women health</t>
  </si>
  <si>
    <t>PREVALENCE</t>
  </si>
  <si>
    <t>JUL 17 2026</t>
  </si>
  <si>
    <t>1803913</t>
  </si>
  <si>
    <t>10.3389/frai.2026.1803913</t>
  </si>
  <si>
    <t>http://dx.doi.org/10.3389/frai.2026.1803913</t>
  </si>
  <si>
    <t>LY8MD</t>
  </si>
  <si>
    <t>42539569</t>
  </si>
  <si>
    <t>WOS:001836477000001</t>
  </si>
  <si>
    <t>Ganguly, B; Dasgupta, R; Dey, D</t>
  </si>
  <si>
    <t>Sleep apnea is a common sleep disorder that occurs due to repetitive obstruction of the airflow in human body and affect human lives. Conventional machine and deep learning-based methods hardly have the transparency in the decision making and work as a "black-box". To alleviate this problem, this article aims to present an explainable deep learning framework for diagnosis of sleep apnea using single channel electrocardiogram signals. The recorded electrocardiogram signals are preprocessed and converted into two-dimensional time-frequency images via continuous wavelet transform for necessary feature extraction followed by classification via residual neural network. The prime motive to employ time-frequency representation is to produce temporal and spectral information simultaneously. Also, time-frequency graphs are beneficial to analyze and represent non stationary signals possessing multiple time varying frequencies. The contributions of the proposed research are threefold: Firstly, the proposed framework not only diagnose sleep apnea in terms of classification accuracy, but also obtain the graphical explanation in a supervised manner. Secondly, relevance maps, generated through layer wise relevance propagation, are analyzed at each convolutional layer for multiclass sleep apnea diagnosis. Thirdly, an optimal explainable deep learning framework has been proposed to yield a fine-tuned and precise time frequency plot. Substantial experiments reveal that the proposed method achieves a significant accuracy of 98.16%, outperforming state-of-the-art sleep apnea diagnosis methods, along with specificity 99.05% and sensitivity 97.64%. Moreover, the method yields an accuracy of 97.52 % in another database. The presented topology can also be further used to other medical modalities in different biomedical systems.</t>
  </si>
  <si>
    <t>Ganguly, Biswarup; Dasgupta, Rajobrata; Dey, Debangshu</t>
  </si>
  <si>
    <t>Ganguly, B (corresponding author), Natl Inst Technol Silchar, Dept Elect Engn, Silchar 788010, Assam, India.</t>
  </si>
  <si>
    <t>debangshudey80@gmail.com; dasguptarajobrata@gmail.com; bganguly@ee.nits.ac.in</t>
  </si>
  <si>
    <t>[Ganguly, Biswarup] Natl Inst Technol Silchar, Dept Elect Engn, Silchar 788010, Assam, India; [Dasgupta, Rajobrata; Dey, Debangshu] Jadavpur Univ, Dept Elect Engn, Kolkata 700032, India</t>
  </si>
  <si>
    <t>National Institute of Technology (NIT System); National Institute of Technology Silchar; Jadavpur University</t>
  </si>
  <si>
    <t>A residual deep learning framework for sleep apnea diagnosis from single lead electrocardiogram signals: An explainable artificial intelligence approach</t>
  </si>
  <si>
    <t>ENGINEERING APPLICATIONS OF ARTIFICIAL INTELLIGENCE</t>
  </si>
  <si>
    <t>Computer aided diagnosis; Deep learning; Electrocardiogram signals; Feature extraction; Sleep apnea; Time frequency images</t>
  </si>
  <si>
    <t>NEURAL-NETWORK; CLASSIFICATION; SYSTEM</t>
  </si>
  <si>
    <t>Dey, Debangshu/ABI-8670-2022; Ganguly, Biswarup/AAG-2650-2020</t>
  </si>
  <si>
    <t>Ganguly, Biswarup/0000-0001-5331-0799</t>
  </si>
  <si>
    <t>0952-1976</t>
  </si>
  <si>
    <t>1873-6769</t>
  </si>
  <si>
    <t>ENG APPL ARTIF INTEL</t>
  </si>
  <si>
    <t>Eng. Appl. Artif. Intell.</t>
  </si>
  <si>
    <t>MAY 15 2025</t>
  </si>
  <si>
    <t>148</t>
  </si>
  <si>
    <t>110481</t>
  </si>
  <si>
    <t>10.1016/j.engappai.2025.110481</t>
  </si>
  <si>
    <t>http://dx.doi.org/10.1016/j.engappai.2025.110481</t>
  </si>
  <si>
    <t>Automation &amp; Control Systems; Computer Science, Artificial Intelligence; Engineering, Multidisciplinary; Engineering, Electrical &amp; Electronic</t>
  </si>
  <si>
    <t>Automation &amp; Control Systems; Computer Science; Engineering</t>
  </si>
  <si>
    <t>Z8U9Q</t>
  </si>
  <si>
    <t>WOS:001441601100001</t>
  </si>
  <si>
    <t>Jang, JY; Lee, JN; Park, JH; Lee, JY</t>
  </si>
  <si>
    <t>Myocardial infarction (MI) remains one of the most critical causes of death worldwide, demanding predictive models that balance accuracy with clinical interpretability. This study introduces an explainable artificial intelligence (XAI) framework that integrates least absolute shrinkage and selection operator (LASSO) regression for feature selection, logistic regression for prediction, and Shapley additive explanations (SHAP) for interpretability. Using a dataset of 918 patients and 12 signal-derived clinical variables, the model achieved an accuracy of 87.7%, a recall of 0.87, and an F1 score of 0.89, confirming its robust performance. The key risk factors identified were age, fasting blood sugar, ST depression, flat ST slope, and exercise-induced angina, while the maximum heart rate and upward ST slope served as protective factors. Comparative analyses showed that the SHAP and p-value methods largely aligned, consistently highlighting ST_Slope_Flat and ExerciseAngina_Y, though discrepancies emerged for ST_Slope_Up, which showed limited statistical significance but high SHAP contribution. By combining predictive strength with transparent interpretation, this study addresses the black-box limitations of conventional models and offers actionable insights for clinicians. The findings highlight the potential of signal-driven XAI approaches to improve early detection and patient-centered prevention of MI. Future work should validate these models on larger and more diverse datasets to enhance generalizability and clinical adoption.</t>
  </si>
  <si>
    <t>Jang, Ji-Yeong; Lee, Ji-Na; Park, Ji-Hye; Lee, Ji-Yeoun</t>
  </si>
  <si>
    <t>Lee, JY (corresponding author), Eulji Univ, Dept Bigdata Med Convergence, 553 Sanseong Daero, Seongnam Si 13135, South Korea.</t>
  </si>
  <si>
    <t>jylee@eulji.ac.kr</t>
  </si>
  <si>
    <t>[Jang, Ji-Yeong; Lee, Ji-Yeoun] Eulji Univ, Dept Bigdata Med Convergence, 553 Sanseong Daero, Seongnam Si 13135, South Korea; [Lee, Ji-Na] Seokyeong Univ, Div Global Business Languages, Seoul 02173, South Korea; [Park, Ji-Hye] Eulji Univ, Grad Sch, Dept Med Artificial Intelligence, 553 Sanseong Daero, Seongnam Si 13135, South Korea</t>
  </si>
  <si>
    <t>Eulji University; Seokyeong University; Eulji University</t>
  </si>
  <si>
    <t>Explainable AI-Based Clinical Signal Analysis for Myocardial Infarction Classification and Risk Factor Interpretation</t>
  </si>
  <si>
    <t>SIGNALS</t>
  </si>
  <si>
    <t>myocardial infarction; explainable artificial intelligence; LASSO regression; SHAP analysis; risk factors; predictive modeling; logistic regression</t>
  </si>
  <si>
    <t>2624-6120</t>
  </si>
  <si>
    <t>SIGNALS-BASEL</t>
  </si>
  <si>
    <t>Signals</t>
  </si>
  <si>
    <t>10.3390/signals6040062</t>
  </si>
  <si>
    <t>http://dx.doi.org/10.3390/signals6040062</t>
  </si>
  <si>
    <t>Engineering, Electrical &amp; Electronic</t>
  </si>
  <si>
    <t>AF9CE</t>
  </si>
  <si>
    <t>WOS:001647172400001</t>
  </si>
  <si>
    <t>Agarwal, D; Sharma, A; Garg, P</t>
  </si>
  <si>
    <t>Alzheimer's disease (AD) is a degenerative ailment that causes the brain to shrink and ultimately experience cell death. AD affects not only the individual but also families, caregivers, and society. The diagnosis of AD at early stages is challenging but possible with the help of multimodality imaging, such as magnetic resonance imaging (MRI) and fluorodeoxyglucose (FDG)-positron emission tomography (PET). In this study, a lightweight, custom-designed convolutional neural network (CNN) architecture tailored to classify four distinct stages of AD (NonDemented, VeryMildDemented, MildDemented, and ModerateDemented) using MRI scans is proposed. Unlike existing approaches, the dataset was enhanced by integrating under-represented classes from multiple public sources (Kaggle and ADNI), achieving a balanced dataset of 10,114 images. The baseline model is systematically evaluated against six well-known pre-trained architectures (VGG16, VGG19, ResNet50, ResNet101, Xception, and InceptionV3), demonstrating superior or comparable performance, especially in early-stage classification. The baseline model achieved an accuracy of 97.80% using 5-fold cross-validation, with high consistency across SMOTE-augmented and non-augmented cases. To ensure clinical relevance, Grad-CAM approach is employed to generate plausible regions of interest with heatmaps in the brain. These findings underscore the effectiveness of a custom-designed CNN for accurate staging of AD, offering potential clinical utility in supporting diagnostic decisions, therapeutic planning, and personalized care strategies. The proposed model and its implementation are publicly available via GitHub, offering a transparent, interpretable, and practical tool for AD stage diagnosis.</t>
  </si>
  <si>
    <t>Agarwal, Dhairiya; Sharma, Anju; Garg, Prabha</t>
  </si>
  <si>
    <t>Garg, P (corresponding author), Natl Inst Pharmaceut Educ &amp; Res, Dept Pharmacoinformat, S A S Nagar 160062, Punjab, India.</t>
  </si>
  <si>
    <t>anjusharma.online@gmail.com; prabhagarg@niper.ac.in; dhairiyaa@gmail.com</t>
  </si>
  <si>
    <t>Department of Science and Technology (DST) [DST/WISE-PDF/LS-122/2024]</t>
  </si>
  <si>
    <t>Department of Science and Technology (DST) (Department of Science &amp; Technology (India))</t>
  </si>
  <si>
    <t>This work has been sponsored by the Department of Science and Technology (DST, reference no. DST/WISE-PDF/LS-122/2024).</t>
  </si>
  <si>
    <t>[Agarwal, Dhairiya; Sharma, Anju; Garg, Prabha] Natl Inst Pharmaceut Educ &amp; Res, Dept Pharmacoinformat, S A S Nagar 160062, Punjab, India</t>
  </si>
  <si>
    <t>National Institute of Pharmaceutical Education &amp; Research, S.A.S. Nagar (Mohali)</t>
  </si>
  <si>
    <t>Explainable AI-driven Alzheimer's disease stage diagnosis leveraging CNN</t>
  </si>
  <si>
    <t>EVOLVING SYSTEMS</t>
  </si>
  <si>
    <t>Alzheimer's disease; Degenerative disorder; Convolution neural network; Transfer learning</t>
  </si>
  <si>
    <t>DEMENTIA; MODEL</t>
  </si>
  <si>
    <t>SPRINGER HEIDELBERG</t>
  </si>
  <si>
    <t>HEIDELBERG</t>
  </si>
  <si>
    <t>TIERGARTENSTRASSE 17, D-69121 HEIDELBERG, GERMANY</t>
  </si>
  <si>
    <t>1868-6478</t>
  </si>
  <si>
    <t>1868-6486</t>
  </si>
  <si>
    <t>EVOL SYST-GER</t>
  </si>
  <si>
    <t>Evol. Syst.</t>
  </si>
  <si>
    <t>MAR 14 2026</t>
  </si>
  <si>
    <t>10.1007/s12530-026-09818-w</t>
  </si>
  <si>
    <t>http://dx.doi.org/10.1007/s12530-026-09818-w</t>
  </si>
  <si>
    <t>FB8NR</t>
  </si>
  <si>
    <t>WOS:001715031000005</t>
  </si>
  <si>
    <t>Arifuzzaman, M; Ahmed, I; Chowdhury, MJU; Rahman, MS; Hossain, ME; Nath, AD; Absar, S</t>
  </si>
  <si>
    <t>Chronic kidney disease (CKD) represents a significant global health challenge characterized by a progressive decline in renal function, leading to the accumulation of waste products and disruptions in fluid balance within the body. Given its pervasive impact on public health, there is a pressing need for effective diagnostic tools to enable timely intervention. Our study delves into the application of cutting-edge transfer learning models for the early detection of CKD. We carefully test the performance of several cutting-edge models, such as EfficientNetV2, InceptionNetV2, MobileNetV2, and the Vision Transformer (ViT) technique, using a large dataset that is available to the public. Remarkably, our analysis demonstrates superior accuracy rates, surpassing the 90% threshold with MobileNetV2 and achieving 91.5% accuracy with ViT. Moreover, to enhance predictive capabilities further, we integrate these individual methodologies through ensemble modeling, resulting in our ensemble model exhibiting a remarkable 96% accuracy in the early detection of CKD. This significant advancement holds immense promise for improving clinical outcomes and underscores the critical role of machine learning in addressing complex medical challenges.</t>
  </si>
  <si>
    <t>Arifuzzaman, Md.; Ahmed, Iftekhar; Chowdhury, Md. Jalal Uddin; Rahman, Mohammad Shoaib; Hossain, Md. Ebrahim; Nath, Apurbo Deb; Absar, Shakib</t>
  </si>
  <si>
    <t>Arifuzzaman, M (corresponding author), Leading Univ, Dept Comp Sci &amp; Engn, Sylhet, Bangladesh.</t>
  </si>
  <si>
    <t>apurbodebnath50@gmail.com; shoaib_cse@lus.ac.bd; ebrahim.cse@lus.ac.bd; iftekharifat007@gmail.com; jalal_cse@lus.ac.bd; sabsar42@gmail.com; arif_cse@lus.ac.bd</t>
  </si>
  <si>
    <t>[Arifuzzaman, Md.; Ahmed, Iftekhar; Rahman, Mohammad Shoaib; Hossain, Md. Ebrahim; Nath, Apurbo Deb; Absar, Shakib] Leading Univ, Dept Comp Sci &amp; Engn, Sylhet, Bangladesh; [Chowdhury, Md. Jalal Uddin] DeepNet Res &amp; Dev Lab, Sylhet 3100, Bangladesh</t>
  </si>
  <si>
    <t>A Novel Ensemble-Based Deep Learning Model with Explainable AI for Accurate Kidney Disease Diagnosis</t>
  </si>
  <si>
    <t>ADVANCES IN ARTIFICIAL INTELLIGENCE AND MACHINE LEARNING</t>
  </si>
  <si>
    <t>Kidney disease; Deep learning; Transfer learning; Vision transformer; Ensemble model</t>
  </si>
  <si>
    <t>Shimur Publications</t>
  </si>
  <si>
    <t>New Moti Nagar</t>
  </si>
  <si>
    <t>Tc-1/7, TC-1, New Moti Nagar, Delhi, INDIA</t>
  </si>
  <si>
    <t>2582-9793</t>
  </si>
  <si>
    <t>ADV ARTIF INTELL MAC</t>
  </si>
  <si>
    <t>Adv. Artif. Intell. Mach. Learn.</t>
  </si>
  <si>
    <t>3425</t>
  </si>
  <si>
    <t>3445</t>
  </si>
  <si>
    <t>2OP9M</t>
  </si>
  <si>
    <t>WOS:001487617900013</t>
  </si>
  <si>
    <t>Bronze</t>
  </si>
  <si>
    <t>Mazandarani, ZA; Behnaz, M; AmiriFard, H; Ebadifar, A; Mirmohammadsadeghi, H; Dalaie, K; Kavousinejad, S</t>
  </si>
  <si>
    <t>Background Machine learning models for Obstructive Sleep Apnea (OSA) diagnosis have largely inherited some structural limitations: reliance on generic, opportunistically collected feature sets; use of the Apnea-Hypopnea Index (AHI) as the sole ground truth; poor performance in multi-class severity grading; and predictions that offer clinicians no mechanistic insight. This study addresses these gaps by prospectively assembling a multi-domain dataset that, alongside established demographic, anthropometric, and questionnaire-based predictors, incorporates a panel of craniofacial and intraoral metrics specifically designed to capture the structural-anatomical contributors to OSA - integrating these into an interpretable framework for three-class severity classification evaluated against both AHI and the Oxygen Desaturation Index (ODI).Methods In this single-center study, 233 treatment-na &amp; iuml;ve adults from a tertiary referral cohort (61.8% severe OSA prevalence) underwent in-laboratory polysomnography (PSG). All predictor variables were collected prior to PSG outcome disclosure through a standardized clinical examination, requiring no overnight recording or specialized equipment. An Artificial Neural Network (ANN) was independently trained for three-class severity classification (No/Mild, Moderate, Severe) for each index. Model performance was evaluated on an independent test set (n = 47; 20% of the sample), with interpretability assessed using SHapley Additive exPlanations (SHAP). Comparison with an anatomy-excluded ablation model was conducted to establish the added value of the full feature set.Results The AHI-based model achieved 87.2% overall accuracy (sensitivity/specificity: No/Mild 0.93/0.97, Moderate 0.80/0.91, Severe 0.88/0.93). The ODI-based model achieved 76.6% accuracy, offering reliable exclusion of severe desaturation burden (No/Mild specificity: 0.94). Univariate analyses confirmed significant associations between OSA severity and STOP-BANG score, age, BMI, neck circumference, observed apnea, loud snoring, high blood pressure, Cervico-Mental Angle, Mentocervical Distance, and submental fat (all p &lt;= .034 for both indices). SHAP analysis further identified V-shaped maxillary arch, Mallampati score, increased overjet, and alcohol use as influential model predictors - several reaching high model rankings despite modest univariate significance. Notably, AHI and ODI models diverged in their feature weighting - anatomy-driven features dominated AHI prediction while body habitus and comorbidity markers dominated ODI. Against a conventional demographic and questionnaire-based ablation model, the full anatomy-inclusive ANN achieved substantially higher accuracy (87.2% vs. 72.3%), with the largest gain at the Moderate-class boundary (sensitivity: 0.80 vs. 0.58).Conclusions As a proof-of-concept, this study demonstrates that an interpretable ML framework integrating craniofacial and intraoral assessments with standard clinical predictors can classify OSA severity across three classes and provide feature-level explanations to support clinical reasoning. By developing parallel AHI and ODI models, the framework moves beyond AHI-only paradigms, though both remain frequency-based surrogates; hypoxic burden - quantifying the cumulative oxygen desaturation load per sleep period - is the more physiologically complete target toward which this line of work should progress. Findings are limited by single-center design, spectrum bias from a tertiary referral cohort, modest sample size, and absence of inter-rater reliability data.External validation in larger, more representative populations is needed to confirm the robustness and clinical utility of this approach.</t>
  </si>
  <si>
    <t>Ameli Mazandarani, Zahra; Behnaz, Mohammad; AmiriFard, Hamed; Ebadifar, Asghar; Mirmohammadsadeghi, Hoori; Dalaie, Kazem; Kavousinejad, Shahab</t>
  </si>
  <si>
    <t>Kavousinejad, S (corresponding author), Shahid Beheshti Univ Med Sci, Res Inst Dent Sci, Dentofacial Deform Res Ctr, Tehran, Iran.; Kavousinejad, S (corresponding author), Shahid Beheshti Univ Med Sci, Sch Dent, Dept Orthodont, Deneshjoo Blvd, Tehran 1983969411, Tehran, Iran.</t>
  </si>
  <si>
    <t>dr.shahab.k93@gmail.com</t>
  </si>
  <si>
    <t>[Ameli Mazandarani, Zahra; Ebadifar, Asghar; Kavousinejad, Shahab] Shahid Beheshti Univ Med Sci, Res Inst Dent Sci, Dentofacial Deform Res Ctr, Tehran, Iran; [Behnaz, Mohammad; Ebadifar, Asghar; Mirmohammadsadeghi, Hoori; Dalaie, Kazem; Kavousinejad, Shahab] Shahid Beheshti Univ Med Sci, Sch Dent, Dept Orthodont, Deneshjoo Blvd, Tehran 1983969411, Tehran, Iran; [AmiriFard, Hamed] Univ Tehran Med Sci, Neurosci Inst, Iranian Ctr Neurol Res, Tehran, Iran</t>
  </si>
  <si>
    <t>Shahid Beheshti University Medical Sciences; Tehran University of Medical Sciences</t>
  </si>
  <si>
    <t>Three-class obstructive sleep apnea severity assessment: a parallel AHI and ODI explainable artificial intelligence framework using craniofacial-enriched clinical data</t>
  </si>
  <si>
    <t>SLEEP AND BREATHING</t>
  </si>
  <si>
    <t>Obstructive sleep apnea; Machine learning; Artificial intelligence; Orthodontics; Craniofacial phenotyping; Severity classificatio</t>
  </si>
  <si>
    <t>RISK-FACTORS; DIAGNOSIS; POSITION; OBESITY; IDENTIFICATION; HYPERTENSION; PATHOGENESIS; PHENOTYPES; GUIDELINE; AGREEMENT</t>
  </si>
  <si>
    <t>Kavousinejad, Shahab/HZJ-6031-2023; Behnaz, Mohammad/P-7845-2017</t>
  </si>
  <si>
    <t>Europaplatz 3, HEIDELBERG, GERMANY</t>
  </si>
  <si>
    <t>1520-9512</t>
  </si>
  <si>
    <t>1522-1709</t>
  </si>
  <si>
    <t>SLEEP BREATH</t>
  </si>
  <si>
    <t>Sleep Breath.</t>
  </si>
  <si>
    <t>JUL 30 2026</t>
  </si>
  <si>
    <t>229</t>
  </si>
  <si>
    <t>10.1007/s11325-026-03774-0</t>
  </si>
  <si>
    <t>http://dx.doi.org/10.1007/s11325-026-03774-0</t>
  </si>
  <si>
    <t>Clinical Neurology; Respiratory System</t>
  </si>
  <si>
    <t>Neurosciences &amp; Neurology; Respiratory System</t>
  </si>
  <si>
    <t>LY4FZ</t>
  </si>
  <si>
    <t>42530806</t>
  </si>
  <si>
    <t>WOS:001836189300001</t>
  </si>
  <si>
    <t>Arora, A; Tiwari, S</t>
  </si>
  <si>
    <t>Recent advances in machine learning (ML) and deep learning (DL) are increasingly influencing medical imaging by enhancing diagnostic accuracy, key task automation, early disease detection, and personalized treatments. Convolutional neural networks (CNNs) serves as the foundation of medical image analysis, showcasing improved results in classification, segmentation, and detection tasks. However, intrinsic limitations, including inability to accurately represent long-range dependencies, large data requirement for training, limited interpretability, and data privacy constraints have promoted interest in alternative artificial intelligence (AI) paradigms. Emerging approaches including vision transformers (ViTs), generative adversarial networks (GANs), explainable AI (XAI), and federated learning (FL) are reshaping the landscape of medical image generation, analysis, and deployment in clinical environments. ViTs have shown superior efficacy than CNNs in capturing global contextual information through self-attention mechanisms. GANs are offering innovative solutions for data augmentation, image enhancement, and modality translation. XAI techniques improve interpretability and trustworthiness of complex DL architectures applied on image data, thus supporting their safe and fair deployment in healthcare. FL enables collaborative model training across multiple decentralized medical centers while preserving data privacy. This study synthesizes insights from over 120 journal articles published between 2020 and 2025 and presents a unified conceptual framework integrating imaging modalities, emerging DL architectures, interpretability considerations, and privacy-aware deployment strategies. Additionally, it highlights key applications, benchmark datasets, existing challenges, and future research directions, offering practical guidance for researchers and clinicians in model selection and responsible AI implementation.</t>
  </si>
  <si>
    <t>Arora, Aditi; Tiwari, Smita</t>
  </si>
  <si>
    <t>Tiwari, S (corresponding author), Sharda Univ, Dept Comp Sci &amp; Engn, Greater Noida, Uttar Pradesh, India.</t>
  </si>
  <si>
    <t>2024317834.aditi@dr.sharda.ac.in; smita.tiwari@sharda.ac.in</t>
  </si>
  <si>
    <t>[Arora, Aditi; Tiwari, Smita] Sharda Univ, Dept Comp Sci &amp; Engn, Greater Noida, Uttar Pradesh, India</t>
  </si>
  <si>
    <t>Sharda University</t>
  </si>
  <si>
    <t>Advances in artificial intelligence paradigms in medical image based disease diagnosis</t>
  </si>
  <si>
    <t>Artificial intelligence; Medical imaging; Generative adversarial network; Vision transformer; Federated learning; Explainable artificial intelligence</t>
  </si>
  <si>
    <t>146</t>
  </si>
  <si>
    <t>OCT 15 2026</t>
  </si>
  <si>
    <t>115812</t>
  </si>
  <si>
    <t>10.1016/j.engappai.2026.115812</t>
  </si>
  <si>
    <t>http://dx.doi.org/10.1016/j.engappai.2026.115812</t>
  </si>
  <si>
    <t>MI8FM</t>
  </si>
  <si>
    <t>WOS:001843258300001</t>
  </si>
  <si>
    <t>Cho, DHY; You, SH; Kim, BK; Pak, A; Wallraven, C</t>
  </si>
  <si>
    <t>Despite high performance of deep learning in medical imaging applications, the critical lack of validated computational metrics for explainable AI (XAI) impedes clinical integration. To address this gap, our study introduces a multi-level validation framework to rigorously assess seven computational evaluation metrics applied to eight widely-used post-hoc attribution methods-spanning gradient-based, input attribution, and decomposition-based families-on large-scale structural MRI datasets (UK Biobank and ADNI) with two different benchmark tasks across several deep learning architectures. At the first level, we benchmark metrics against three scales of clinical relevance: voxel-based morphometry, regional volumetric associations, and expert radiologist assessments, revealing that many widely used conventional metrics exhibit negligible correlation with clinical evidence. At the second level, we show that metrics in addition are often significantly confounded by model architecture rather than reflecting explanation quality. At the third level, we conduct a computational efficiency and stability analysis focused on practical dimensions of the metrics. Across all levels, our statistical analyses show that only one of the metrics has consistent high performance: the Robustness score-defined as the stability of explanations across random training initializations-demonstrates strong alignment with morphometry, volumetric associations, and human expert judgments, effectively isolates the quality of the XAI method from architectural bias, and possesses good computational efficiency. Our novel, multi-level framework therefore establishes Robustness as a superior, scalable proxy for clinical validity and trustworthy AI in medical imaging.</t>
  </si>
  <si>
    <t>Cho, Daehyun; You, Sung-Hye; Kim, Bo Kyu; Pak, Arim; Wallraven, Christian</t>
  </si>
  <si>
    <t>Wallraven, C (corresponding author), Korea Univ, Dept Artificial Intelligence, Seoul, South Korea.; Wallraven, C (corresponding author), Korea Univ, Dept Brain &amp; Cognit Engn, Seoul, South Korea.</t>
  </si>
  <si>
    <t>wallraven@korea.ac.kr</t>
  </si>
  <si>
    <t>National Research Foundation of Korea [NRF-2022R1A2C2092118, NRF-2022R1H1A2092007, RS-2025-00555141]; Institute of Information &amp; Communications Technology Planning &amp; Evaluation (IITP) - Korea government (Department of Artificial Intelligence, Korea University) [RS-2019-II190079]; Institute of Information &amp; Communications Technology Planning &amp; Evaluation (IITP) - Korea government [RS-2026-25522672]</t>
  </si>
  <si>
    <t>National Research Foundation of Korea (National Research Foundation of Korea); Institute of Information &amp; Communications Technology Planning &amp; Evaluation (IITP) - Korea government (Department of Artificial Intelligence, Korea University); Institute of Information &amp; Communications Technology Planning &amp; Evaluation (IITP) - Korea government</t>
  </si>
  <si>
    <t>This study was supported by the National Research Foundation of Korea under project BK21 FOUR and grants NRF-2022R1A2C2092118, NRF-2022R1H1A2092007, RS-2025-00555141, as well as by Institute of Information &amp; Communications Technology Planning &amp; Evaluation (IITP) grants funded by the Korea government (No. RS-2019-II190079, Department of Artificial Intelligence, Korea University; No. RS-2026-25522672, Development of Unified Reasoning Technology Mimicking Human Cognition for Hierarchical Understanding and Unbounded Problem Solving) .</t>
  </si>
  <si>
    <t>[Cho, Daehyun; Wallraven, Christian] Korea Univ, Dept Artificial Intelligence, Seoul, South Korea; [You, Sung-Hye; Kim, Bo Kyu; Pak, Arim] Korea Univ, Anam Hosp, Dept Radiol, Coll Med, Seoul, South Korea; [Wallraven, Christian] Korea Univ, Dept Brain &amp; Cognit Engn, Seoul, South Korea</t>
  </si>
  <si>
    <t>Korea University; Korea University; Korea University Medicine (KU Medicine); Korea University</t>
  </si>
  <si>
    <t>Establishing the robustness metric as a scalable proxy for clinical relevance in medical AI explainability</t>
  </si>
  <si>
    <t>MEDICAL IMAGE ANALYSIS</t>
  </si>
  <si>
    <t>Explainable AI evaluation; Interpretable deep learning; Medical image analysis; Neuroimaging</t>
  </si>
  <si>
    <t>VOXEL-BASED MORPHOMETRY; ALZHEIMERS-DISEASE; BRAIN CHANGES; MRI; OPTIMIZATION; REGISTRATION; ATROPHY</t>
  </si>
  <si>
    <t>92</t>
  </si>
  <si>
    <t>1361-8415</t>
  </si>
  <si>
    <t>1361-8423</t>
  </si>
  <si>
    <t>MED IMAGE ANAL</t>
  </si>
  <si>
    <t>Med. Image Anal.</t>
  </si>
  <si>
    <t>SEP 2026</t>
  </si>
  <si>
    <t>113</t>
  </si>
  <si>
    <t>104159</t>
  </si>
  <si>
    <t>10.1016/j.media.2026.104159</t>
  </si>
  <si>
    <t>http://dx.doi.org/10.1016/j.media.2026.104159</t>
  </si>
  <si>
    <t>Computer Science, Artificial Intelligence; Computer Science, Interdisciplinary Applications; Engineering, Biomedical; Radiology, Nuclear Medicine &amp; Medical Imaging</t>
  </si>
  <si>
    <t>Computer Science; Engineering; Radiology, Nuclear Medicine &amp; Medical Imaging</t>
  </si>
  <si>
    <t>LN6GD</t>
  </si>
  <si>
    <t>42475759</t>
  </si>
  <si>
    <t>WOS:001828863100001</t>
  </si>
  <si>
    <t>Kwong, JCC; Khondker, A; Tran, C; Evans, E; Cozma, A; Javidan, A; Ali, A; Jamal, M; Short, T; Papanikolaou, F; Srigley, JR; Fine, B; Feifer, A</t>
  </si>
  <si>
    <t>Introduction: We aimed to develop an explainable machine learning (ML) model to predict side-specific extraprostatic extension (ssEPE) to identify patients who can safely undergo nerve-sparing radical prostatectomy using preoperative clinicopathological variables. Methods: A retrospective sample of clinicopathological data from 900 prostatic lobes at our institution was used as the training cohort. Primary outcome was the presence of ssEPE. The baseline model for comparison had the highest performance out of current biopsy derived predictive models for ssEPE. A separate logistic regression (LR) model was built using the same variables as the ML model. All models were externally validated using a testing cohort of 122 lobes from another institution. Models were assessed by area under receiver-operating-characteristic curve (AUROC), precision-recall curve (AUPRC), calibration, and decision curve analysis. Model predictions were explained using SHapley Additive exPlanations. This tool was deployed as a publicly available web application. Results: Incidence of ssEPE in the training and testing cohorts were 30.7 and 41.8%, respectively. The ML model achieved AUROC 0.81 (LR 0.78, baseline 0.74) and AUPRC 0.69 (LR 0.64, baseline 0.59) on the training cohort. On the testing cohort, the ML model achieved AUROC 0.81 (LR 0.76, baseline 0.75) and AUPRC 0.78 (LR 0.75, baseline 0.70). The ML model was explainable, well calibrated, and achieved the highest net benefit for clinically relevant cutoffs of 10-30%. Conclusions: We developed a user-friendly application that enables physicians without prior ML experience to assess ssEPE risk and understand factors driving these predictions to aid surgical planning and patient counselling (https://share.streamlit.io/jcckwong/ ssepe/main/ssEPE_V2.py).</t>
  </si>
  <si>
    <t>Kwong, Jethro C. C.; Khondker, Adree; Tran, Christopher; Evans, Emily; Cozma, Adrian, I; Javidan, Ashkan; Ali, Amna; Jamal, Munir; Short, Thomas; Papanikolaou, Frank; Srigley, John R.; Fine, Benjamin; Feifer, Andrew</t>
  </si>
  <si>
    <t>Feifer, A (corresponding author), Trillium Hlth Partners, Credit Valley Hosp, Mississauga, ON, Canada.</t>
  </si>
  <si>
    <t>andrew.feifer@thp.ca</t>
  </si>
  <si>
    <t>[Kwong, Jethro C. C.; Jamal, Munir; Short, Thomas; Papanikolaou, Frank; Feifer, Andrew] Univ Toronto, Dept Surg, Div Urol, Toronto, ON, Canada; [Kwong, Jethro C. C.] Univ Toronto, Temerty Ctr AI Res &amp; Educ Med, Toronto, ON, Canada; [Khondker, Adree; Tran, Christopher; Evans, Emily; Javidan, Ashkan] Univ Toronto, Temerty Fac Med, Toronto, ON, Canada; [Cozma, Adrian, I] Univ Toronto, Dept Radiat Oncol, Toronto, ON, Canada; [Ali, Amna; Fine, Benjamin; Feifer, Andrew] Trillium Hlth Partners, Inst Better Hlth, Mississauga, ON, Canada; [Srigley, John R.] Univ Toronto, Dept Lab Med &amp; Pathobiol, Toronto, ON, Canada; [Fine, Benjamin] Trillium Hlth Partners, Operat Analyt Lab, Mississauga, ON, Canada; [Fine, Benjamin] Univ Toronto, Dept Med Imaging, Toronto, ON, Canada</t>
  </si>
  <si>
    <t>University of Toronto; University of Toronto; University of Toronto; University of Toronto; University of Toronto; Trillium Health Partners; University of Toronto; University of Toronto; Trillium Health Partners; University of Toronto</t>
  </si>
  <si>
    <t>Explainable artificial intelligence to predict the risk of side-specific extraprostatic extension in pre-prostatectomy patients</t>
  </si>
  <si>
    <t>CUAJ-CANADIAN UROLOGICAL ASSOCIATION JOURNAL</t>
  </si>
  <si>
    <t>RADICAL PROSTATECTOMY; EXTERNAL VALIDATION; CANCER; BIOPSY; INVASION; NOMOGRAM</t>
  </si>
  <si>
    <t>Evans, Emily/MBG-5783-2025; Al hashimi, Amna/LWJ-2211-2024</t>
  </si>
  <si>
    <t>Fine, Benjamin/0000-0002-1405-8495</t>
  </si>
  <si>
    <t>CANADIAN UROLOGICAL ASSOCIATION</t>
  </si>
  <si>
    <t>DORVAL</t>
  </si>
  <si>
    <t>185 DORVAL AVENUE, STE 401, DORVAL, QC H9S 5J9, CANADA</t>
  </si>
  <si>
    <t>1911-6470</t>
  </si>
  <si>
    <t>1920-1214</t>
  </si>
  <si>
    <t>CUAJ-CAN UROL ASSOC</t>
  </si>
  <si>
    <t>CUAJ-Can. Urol. Assoc. J.</t>
  </si>
  <si>
    <t>213</t>
  </si>
  <si>
    <t>221</t>
  </si>
  <si>
    <t>10.5489/cuaj.7473</t>
  </si>
  <si>
    <t>http://dx.doi.org/10.5489/cuaj.7473</t>
  </si>
  <si>
    <t>Urology &amp; Nephrology</t>
  </si>
  <si>
    <t>1Y6DB</t>
  </si>
  <si>
    <t>35099382</t>
  </si>
  <si>
    <t>WOS:000808231100010</t>
  </si>
  <si>
    <t>Borinca, I</t>
  </si>
  <si>
    <t>Algorithmic decision-making systems are increasingly shaping critical social outcomes (e.g., hiring, lending, criminal justice, healthcare), yet technical approaches to bias mitigation ignore crucial psychological mechanisms that enable discriminatory use. To address this gap, I integrate motivated reasoning, system justification, and moral disengagement theories to argue that AI systems may function as "moral cover," allowing users to perpetuate inequality while maintaining beliefs in their own objectivity. Users often demonstrate "selective adherence," following algorithmic advice when it confirms stereotypes while dismissing counter-stereotypical outputs. System justification motives lead people to defend discriminatory algorithmic outcomes as legitimate, "data-driven" decisions. Moral disengagement mechanisms (including responsibility displacement, euphemistic labeling, and advantageous comparison) can enable discrimination while preserving moral self-regard. Finally, I argue that understanding AI bias as fundamentally psychological rather than merely technical demands interventions addressing these underlying psychological processes alongside algorithmic improvements.</t>
  </si>
  <si>
    <t>Borinca, Islam</t>
  </si>
  <si>
    <t>Borinca, I (corresponding author), Univ Groningen, Dept Social Psychol, Groningen, Netherlands.; Borinca, I (corresponding author), Univ Coll Dublin, Sch Psychol, Dublin, Ireland.</t>
  </si>
  <si>
    <t>i.borinca@rug.nl</t>
  </si>
  <si>
    <t>[Borinca, Islam] Univ Groningen, Dept Social Psychol, Groningen, Netherlands; [Borinca, Islam] Univ Coll Dublin, Sch Psychol, Dublin, Ireland</t>
  </si>
  <si>
    <t>University of Groningen; University College Dublin</t>
  </si>
  <si>
    <t>AI as moral cover: How algorithmic bias exploits psychological mechanisms to perpetuate social inequality</t>
  </si>
  <si>
    <t>ANALYSES OF SOCIAL ISSUES AND PUBLIC POLICY</t>
  </si>
  <si>
    <t>algorithmic bias; artificial intelligence; moral disengagement; motivated reasoning; system justification</t>
  </si>
  <si>
    <t>Borinca, Islam/F-4391-2016</t>
  </si>
  <si>
    <t>1529-7489</t>
  </si>
  <si>
    <t>1530-2415</t>
  </si>
  <si>
    <t>ANAL SOC ISS PUB POL</t>
  </si>
  <si>
    <t>Anal. Soc. Issues Public Policy</t>
  </si>
  <si>
    <t>DEC 2025</t>
  </si>
  <si>
    <t>e70031</t>
  </si>
  <si>
    <t>10.1111/asap.70031</t>
  </si>
  <si>
    <t>http://dx.doi.org/10.1111/asap.70031</t>
  </si>
  <si>
    <t>Social Issues; Psychology, Social</t>
  </si>
  <si>
    <t>Social Issues; Psychology</t>
  </si>
  <si>
    <t>AL2FY</t>
  </si>
  <si>
    <t>WOS:001650765000014</t>
  </si>
  <si>
    <t>Huang, LJ; Jing, HC</t>
  </si>
  <si>
    <t>New industrial paradigms, like Industry 5.0 and the industrial Internet of Things (IIoT), are developing in industrial contexts with the objective of fostering quality. The growth of 6G-enabled smart industries requires interpretable, secure, and adaptive anomaly detection structures able to operate under adversarial, dynamic, and resource-constrained environments. Inappropriately, the usage of these technologies, successively, strengthens the attacking surface and poses a significant attack to the novel goals of Industry 5.0, like enhancing the user experience, resilience, and sustainability. In this setting, human-machine collaboration and cyber-physical integration request that anomaly detection systems surpass only prediction and include resilience, interpretability, and scalability. Traditional anomaly detection systems in Industry 4.0, like machine learning (ML)-based detection, show remarkable challenges. These contain vulnerability to antagonistic attacks owing to vulnerable updates of the model, rigidity in adjusting to concepts and temporal drift, and unclear decision processes that hamper trust and accountability. Therefore, this study develops an explainable artificial intelligence (AI) with a feature selection (FS) strategy enabled anomaly detection (XAIFSS-AD) technique for improving trustworthiness in 6G-driven smart industry 5.0. The primary objective is to unravel the security issues in the smart industry environment via the anomaly identification process with the explainable AI (XAI) approach to elaborate on the proposed model. The presented XAIFSS-AD technique involves data scaling using a robust scalar that uses median and interquartile range to standardize the network data. In addition, the selection of features can be performed using the recursive feature elimination (RFE) process to eliminate the least significant features and enhance the classification process. A variational autoencoder with attention bidirectional long short-term memory (VAE-ABiLSTM) is deployed for anomaly detection. The performance of the classification model can be fine-tuned by a tree-structured Parzen estimator (TPE), which optimally chooses the hyperparameter values. Finally, the local interpretable model-agnostic explanations (LIMEs) methodology is applied to offer descriptions of the presented methods. The performance of the XAIFSS-AD approach is evaluated utilizing the benchmark datasets. The outcomes specify that the proposed model surpasses the other inspected systems and advanced models.</t>
  </si>
  <si>
    <t>Huang, Lijia; Jing, Hengchang</t>
  </si>
  <si>
    <t>Huang, LJ (corresponding author), Hohai Univ, Business Sch, Nanjing 211100, Jiangsu, Peoples R China.</t>
  </si>
  <si>
    <t>huanglijia@hhu.edu.cn; jhc@tzc.edu.cn</t>
  </si>
  <si>
    <t>[Huang, Lijia] Hohai Univ, Business Sch, Nanjing 211100, Jiangsu, Peoples R China; [Jing, Hengchang] Taizhou Univ, Sch Artificial Intelligence, Taizhou 318000, Zhejiang, Peoples R China</t>
  </si>
  <si>
    <t>Hohai University; Taizhou University</t>
  </si>
  <si>
    <t>Boosting Trustworthiness in 6G-Enabled Smart Industries 5.0 Through Explainable Artificial Intelligence on Industrial Machine Anomaly Data</t>
  </si>
  <si>
    <t>IEEE INTERNET OF THINGS JOURNAL</t>
  </si>
  <si>
    <t>6G mobile communication; Anomaly detection; Artificial intelligence; Security; Internet of Things; Fifth Industrial Revolution; Explainable AI; Industrial Internet of Things; Feature extraction; Medical services; attention mechanism; explainable artificial intelligence (AI); recursive feature elimination (RFE); tree-structured Parzen estimator</t>
  </si>
  <si>
    <t>2327-4662</t>
  </si>
  <si>
    <t>IEEE INTERNET THINGS</t>
  </si>
  <si>
    <t>IEEE Internet Things J.</t>
  </si>
  <si>
    <t>MAR 1 2026</t>
  </si>
  <si>
    <t>8182</t>
  </si>
  <si>
    <t>8189</t>
  </si>
  <si>
    <t>10.1109/JIOT.2025.3615253</t>
  </si>
  <si>
    <t>http://dx.doi.org/10.1109/JIOT.2025.3615253</t>
  </si>
  <si>
    <t>EA7FW</t>
  </si>
  <si>
    <t>WOS:001696600200033</t>
  </si>
  <si>
    <t>Wada, A; Nishizawa, M; Yamamoto, A; Akashi, T; Hagiwara, A; Irie, R; Hayakawa, Y; Kikuta, J; Shimoji, K; Sano, K; Nakanishi, A; Kamagata, K; Aoki, S</t>
  </si>
  <si>
    <t>Cloud-based Large Language Models (LLMs) excel at medical text processing, but privacy regulations impose significant constraints on transmitting Protected Health Information (PHI) to external services, creating barriers to AI adoption for many healthcare institutions. While contractual agreements (e.g., Business Associate Agreements under HIPAA) may permit such transmission under specific conditions, many institutions prefer or require complete data sovereignty. Local LLMs address this need but have historically underperformed. This study introduces a five-phase optimization framework to bridge this performance gap. Using 160 synthetic Japanese radiology reports, we benchmarked 14 local LLMs against cloud leaders. Our key finding is a notable performance pattern: models with baseline scores below 87-88 points gained an average of + 6.92 points (p &lt; 0.001), while higher-scoring models did not, suggesting a potential threshold effect for targeted optimization that warrants further investigation. The optimized Mistral-Small-3.2 with Self-Refine achieved 91.54 points-97.8% of GPT-4.1's performance-with perfect rule adherence and a clinically acceptable processing time of 24.6 s per report for batch workflows. Our work demonstrates that systematically optimized local LLMs can approach cloud-leader performance. Importantly, it provides a strategic framework guiding institutions on when and where to apply advanced optimization, enabling efficient and trustworthy AI deployment while ensuring patient privacy.</t>
  </si>
  <si>
    <t>Wada, Akihiko; Nishizawa, Mitsuo; Yamamoto, Akira; Akashi, Toshiaki; Hagiwara, Akifumi; Irie, Ryusuke; Hayakawa, Yayoi; Kikuta, Junko; Shimoji, Keigo; Sano, Katsuhiro; Nakanishi, Atsushi; Kamagata, Koji; Aoki, Shigeki</t>
  </si>
  <si>
    <t>Wada, A (corresponding author), Juntendo Univ, Dept Radiol, Grad Sch Med, 2-1-1 Hongo,Bunkyo Ku, Tokyo 1138421, Japan.</t>
  </si>
  <si>
    <t>a-wada@juntendo.ac.jp</t>
  </si>
  <si>
    <t>Japan Society for the Promotion of Science [JP25K02609 and JP22K07674]</t>
  </si>
  <si>
    <t>Japan Society for the Promotion of Science (Ministry of Education, Culture, Sports, Science and Technology, Japan (MEXT), Japan Society for the Promotion of Science)</t>
  </si>
  <si>
    <t>This work was supported by the Japan Society for the Promotion of Science (JSPS) KAKENHI Grant Numbers JP25K02609 and JP22K07674.</t>
  </si>
  <si>
    <t>[Wada, Akihiko; Akashi, Toshiaki; Hagiwara, Akifumi; Irie, Ryusuke; Hayakawa, Yayoi; Kikuta, Junko; Shimoji, Keigo; Sano, Katsuhiro; Nakanishi, Atsushi; Kamagata, Koji; Aoki, Shigeki] Juntendo Univ, Dept Radiol, Grad Sch Med, 2-1-1 Hongo,Bunkyo Ku, Tokyo 1138421, Japan; [Nishizawa, Mitsuo] Juntendo Univ, Dept Radiol, Urayasu Hosp, 2-1-1 Tomioka, Urayasu, Chiba 2790021, Japan; [Nishizawa, Mitsuo; Yamamoto, Akira; Shimoji, Keigo; Aoki, Shigeki] Juntendo Univ, Fac Hlth Data Sci, Grad Sch Med, 6-8-1 Hinode, Urayasu, Chiba 2790013, Japan</t>
  </si>
  <si>
    <t>Juntendo University; Juntendo University; Juntendo University</t>
  </si>
  <si>
    <t>Bridging the performance gap: systematic optimization of local LLMs for Japanese medical PHI extraction</t>
  </si>
  <si>
    <t>DE-IDENTIFICATION</t>
  </si>
  <si>
    <t>Hagiwara, Akifumi/GRJ-0730-2022; 下地, 啓五/KFQ-8698-2024; Kikuta, Junko/AAR-4743-2021; Nishizawa, Mitsuo/AAT-4154-2021; 鎌形, 康司/AFL-9072-2022</t>
  </si>
  <si>
    <t>Kikuta, Junko/0000-0003-1324-8614</t>
  </si>
  <si>
    <t>JAN 21 2026</t>
  </si>
  <si>
    <t>5910</t>
  </si>
  <si>
    <t>10.1038/s41598-026-36904-5</t>
  </si>
  <si>
    <t>http://dx.doi.org/10.1038/s41598-026-36904-5</t>
  </si>
  <si>
    <t>DP5DO</t>
  </si>
  <si>
    <t>41565967</t>
  </si>
  <si>
    <t>WOS:001688987700011</t>
  </si>
  <si>
    <t>Goldstein, BA; Mohottige, D; Bessias, S; Cary, MP Jr</t>
  </si>
  <si>
    <t>There has been a steady rise in the use of clinical decision support (CDS) tools to guide nephrology as well as general clinical care. Through guidance set by federal agencies and concerns raised by clinical investigators, there has been an equal rise in understanding whether such tools exhibit algorithmic bias leading to unfairness. This has spurred the more fundamental question of whether sensitive variables such as race should be included in CDS tools. In order to properly answer this question, it is necessary to understand how algorithmic bias arises. We break down 3 sources of bias encountered when using electronic health record data to develop CDS tools: (1) use of proxy variables, (2) observability concerns and (3) underlying heterogeneity. We discuss how answering the question of whether to include sensitive variables like race often hinges more on qualitative considerations than on quantitative analysis, dependent on the function that the sensitive variable serves. Based on our experience with our own institution's CDS governance group, we show how health system-based governance committees play a central role in guiding these difficult and important considerations. Ultimately, our goal is to foster a community practice of model development and governance teams that emphasizes consciousness about sensitive variables and prioritizes equity.</t>
  </si>
  <si>
    <t>Goldstein, Benjamin A.; Mohottige, Dinushika; Bessias, Sophia; Cary, Michael P.</t>
  </si>
  <si>
    <t>Goldstein, BA (corresponding author), 2424 Erwin Rd,Suite 9023, Durham, NC 27705 USA.</t>
  </si>
  <si>
    <t>ben.goldstein@duke.edu</t>
  </si>
  <si>
    <t>NCATS NIH HHS [UL1 TR002553] Funding Source: Medline; NIDDK NIH HHS [R01 DK123062, K23 DK139454] Funding Source: Medline</t>
  </si>
  <si>
    <t>NCATS NIH HHS (United States Department of Health &amp; Human Services, National Institutes of Health (NIH) - USA, NIH National Center for Advancing Translational Sciences (NCATS)); NIDDK NIH HHS (United States Department of Health &amp; Human Services, National Institutes of Health (NIH) - USA, NIH National Institute of Diabetes &amp; Digestive &amp; Kidney Diseases (NIDDK))</t>
  </si>
  <si>
    <t>[Goldstein, Benjamin A.] Duke Univ, Dept Biostat &amp; Bioinformat, Durham, NC USA; [Goldstein, Benjamin A.; Bessias, Sophia; Cary, Michael P.] Duke Univ, Sch Med, Hlth, Durham, NC USA; [Cary, Michael P.] Duke Univ, Sch Nursing, Durham, NC USA; [Mohottige, Dinushika] Icahn Sch Med Mt Sinai, Inst Hlth Equ Res, Dept Populat Hlth, New York, NY USA; [Mohottige, Dinushika] Icahn Sch Med Mt Sinai, Dept Med, Barbara T Murphy Div Nephrol, New York, NY USA</t>
  </si>
  <si>
    <t>Duke University; Duke University; Duke University; Icahn School of Medicine at Mount Sinai; Icahn School of Medicine at Mount Sinai</t>
  </si>
  <si>
    <t>Enhancing Clinical Decision Support in Nephrology: Addressing Algorithmic Bias Through Artificial Intelligence Governance</t>
  </si>
  <si>
    <t>AMERICAN JOURNAL OF KIDNEY DISEASES</t>
  </si>
  <si>
    <t>KIDNEY FAILURE RISK; RACIAL BIAS; HEALTH; RACE; PREDICTION; EQUITY; CARE</t>
  </si>
  <si>
    <t>Goldstein, Benjamin/ADR-2374-2022</t>
  </si>
  <si>
    <t>Mohottige, Dinushika/0000-0001-5099-4910</t>
  </si>
  <si>
    <t>W B SAUNDERS CO-ELSEVIER INC</t>
  </si>
  <si>
    <t>1600 JOHN F KENNEDY BOULEVARD, STE 1800, PHILADELPHIA, PA 19103-2899 USA</t>
  </si>
  <si>
    <t>0272-6386</t>
  </si>
  <si>
    <t>1523-6838</t>
  </si>
  <si>
    <t>AM J KIDNEY DIS</t>
  </si>
  <si>
    <t>Am. J. Kidney Dis.</t>
  </si>
  <si>
    <t>84</t>
  </si>
  <si>
    <t>780</t>
  </si>
  <si>
    <t>786</t>
  </si>
  <si>
    <t>10.1053/j.ajkd.2024.04.008</t>
  </si>
  <si>
    <t>http://dx.doi.org/10.1053/j.ajkd.2024.04.008</t>
  </si>
  <si>
    <t>NOV 2024</t>
  </si>
  <si>
    <t>N1J2W</t>
  </si>
  <si>
    <t>38851444</t>
  </si>
  <si>
    <t>WOS:001361971700001</t>
  </si>
  <si>
    <t>Takagi, G; Takeyama, S; Abe, T; Hashiguchi, A; Sakamoto, M; Suzuki, K; Yamaguchi, M</t>
  </si>
  <si>
    <t>Purpose Deep learning (DL) is rapidly advancing in computational pathology, offering high diagnostic accuracy but often functioning as a "black box" with limited interpretability. This lack of transparency hinders its clinical adoption, emphasizing the need for quantitative explainable artificial intelligence (QXAI) methods. We propose a QXAI approach to objectively and quantitatively elucidate the reasoning behind DL model decisions in hepatocellular carcinoma (HCC) pathological image analysis. Approach The proposed method utilizes clustering in the latent space of embeddings generated by a DL model to identify regions that contribute to the model's discrimination. Each cluster is then quantitatively characterized by morphometric features obtained through nuclear segmentation using HoverNet and key feature selection with LightGBM. Statistical analysis is performed to assess the importance of selected features, ensuring an interpretable relationship between morphological characteristics and classification outcomes. This approach enables the quantitative interpretation of which regions and features are critical for the model's decision-making, without sacrificing accuracy. Results Experiments on pathology images of hematoxylin-and-eosin-stained HCC tissue sections showed that the proposed method effectively identified key discriminatory regions and features, such as nuclear size, chromatin density, and shape irregularity. The clustering-based analysis provided structured insights into morphological patterns influencing classification, with explanations evaluated as clinically relevant and interpretable by a pathologist. Conclusions Our QXAI framework enhances the interpretability of DL-based pathology analysis by linking morphological features to classification decisions. This fosters trust in DL models and facilitates their clinical integration.</t>
  </si>
  <si>
    <t>Takagi, Gen; Takeyama, Saori; Abe, Tokiya; Hashiguchi, Akinori; Sakamoto, Michiie; Suzuki, Kenji; Yamaguchi, Masahiro</t>
  </si>
  <si>
    <t>Takagi, G (corresponding author), Inst Sci Tokyo, Sch Engn, Dept Informat &amp; Commun Engn, Yokohama, Japan.</t>
  </si>
  <si>
    <t>akinoh@keio.jp; suzuki.k.di@m.titech.ac.jp; yamaguchi.m.aa@m.titech.ac.jp; takeyama.s.aa@m.titech.ac.jp; msakamot@z5.keio.jp; tokiya.abe@keio.jp; takagi.g.ab@m.titech.ac.jp</t>
  </si>
  <si>
    <t>New Energy and Industrial Technology Development Organization (NEDO) [JPNP2006]</t>
  </si>
  <si>
    <t>New Energy and Industrial Technology Development Organization (NEDO) (New Energy and Industrial Technology Development Organization (NEDO))</t>
  </si>
  <si>
    <t>This paper is based on results obtained from a project, JPNP2006, subsidized by the New Energy and Industrial Technology Development Organization (NEDO). This paper is partially translated and edited using ChatGPT (OpenAI) and DeepL Translator to improve the clarity and grammar of specific sections. The final paper was carefully reviewed and approved by the authors, who assume full responsibility for its content.</t>
  </si>
  <si>
    <t>[Takagi, Gen; Takeyama, Saori; Suzuki, Kenji; Yamaguchi, Masahiro] Inst Sci Tokyo, Sch Engn, Dept Informat &amp; Commun Engn, Yokohama, Japan; [Abe, Tokiya; Hashiguchi, Akinori; Sakamoto, Michiie] Keio Univ, Dept Pathol, Sch Med, Tokyo, Japan; [Sakamoto, Michiie] Int Univ Hlth &amp; Welf, Int Sch Med, Narita, Japan</t>
  </si>
  <si>
    <t>Keio University; International University of Health &amp; Welfare</t>
  </si>
  <si>
    <t>Quantification-based explainable artificial intelligence for deep learning decisions: clustering and visualization of quantitative morphometric features in hepatocellular carcinoma discrimination</t>
  </si>
  <si>
    <t>JOURNAL OF MEDICAL IMAGING</t>
  </si>
  <si>
    <t>artificial intelligence; image analysis; computer vision</t>
  </si>
  <si>
    <t>WHOLE-SLIDE IMAGES; PATHOLOGY; CANCER; MODEL</t>
  </si>
  <si>
    <t>Takeyama, Saori/ADE-1294-2022; Suzuki, Kenji/A-1284-2007; Yamaguchi, Masahiro/L-4131-2013; Takagi, Gen/AEH-7539-2022</t>
  </si>
  <si>
    <t>Takagi, Gen/0009-0002-0287-5508; Takeyama, Saori/0000-0002-8282-2491</t>
  </si>
  <si>
    <t>53</t>
  </si>
  <si>
    <t>SPIE-SOC PHOTO-OPTICAL INSTRUMENTATION ENGINEERS</t>
  </si>
  <si>
    <t>BELLINGHAM</t>
  </si>
  <si>
    <t>1000 20TH ST, PO BOX 10, BELLINGHAM, WA 98225 USA</t>
  </si>
  <si>
    <t>2329-4302</t>
  </si>
  <si>
    <t>2329-4310</t>
  </si>
  <si>
    <t>J MED IMAGING</t>
  </si>
  <si>
    <t>J. Med. Imaging</t>
  </si>
  <si>
    <t>061407</t>
  </si>
  <si>
    <t>10.1117/1.JMI.12.6.061407</t>
  </si>
  <si>
    <t>http://dx.doi.org/10.1117/1.JMI.12.6.061407</t>
  </si>
  <si>
    <t>AM9IE</t>
  </si>
  <si>
    <t>41079974</t>
  </si>
  <si>
    <t>WOS:001651920000014</t>
  </si>
  <si>
    <t>Farrag, A; Gad, G; Fadlullah, ZM; Fouda, MM; Alsabaan, M</t>
  </si>
  <si>
    <t>Medical image segmentation aims to identify important or suspicious regions within medical images. However, many challenges are usually faced while developing networks for this type of analysis. First, preserving the original image resolution is of utmost importance for this task where identifying subtle features or abnormalities can significantly impact the accuracy of diagnosis. While introducing the dilated convolution improves the resolution of the convolutional neural network (CNN), it is not without shortcoming, i.e., the loss of local spatial resolution due to increased kernel sparsity in checkboard patterns. To address this shortcoming, we conceptualize a double-dilated convolution module for maintaining local spatial resolution while improving the receptive field size. Then, this approach is applied, as a proof-of-work, to tumor segmentation task in mammograms. In addition, our proposal also tackles the class imbalance problem, originating at the pixel level of the mammogram screenings, by identifying and selecting the best candidate among a number of potential loss functions to facilitate mass segmentation. We also carry out quantitative and qualitative evaluations of the interpretability of our proposal by leveraging Grad-CAM (Gradient weighted Class Activation Map). We also present a comparative performance evaluation with existing explainable techniques tailored for segmenting images. Moreover, an empirical assessment on lesion segmentation is conducted on mammogram samples from the INBreast dataset, both with and without incorporating our envisaged dilation module into CNN. The obtained results elucidate the effectiveness of our proposal based on mass segmentation performance measures, such as Dice similarity and Miss Detection rate. Our analysis also promotes using the Tversky Loss function in training pixel-imbalanced data and integrating Grad-CAM for explaining image segmentation results.</t>
  </si>
  <si>
    <t>Farrag, Aya; Gad, Gad; Fadlullah, Zubair Md.; Fouda, Mostafa M.; Alsabaan, Maazen</t>
  </si>
  <si>
    <t>Fouda, MM (corresponding author), Idaho State Univ, Dept Elect &amp; Comp Engn, Pocatello, ID 83209 USA.</t>
  </si>
  <si>
    <t>mfouda@ieee.org</t>
  </si>
  <si>
    <t>King Saud University, Riyadh, Saudi Arabia [RSPD2023R636]</t>
  </si>
  <si>
    <t>This work was supported by King Saud University, Riyadh, Saudi Arabia, through Researchers Supporting, under Project RSPD2023R636.</t>
  </si>
  <si>
    <t>[Farrag, Aya] Lakehead Univ, Dept Comp Sci, Thunder Bay, ON P7B 5E1, Canada; [Gad, Gad; Fadlullah, Zubair Md.] Western Univ, Dept Comp Sci, London, ON N6G 2V4, Canada; [Fouda, Mostafa M.] Idaho State Univ, Dept Elect &amp; Comp Engn, Pocatello, ID 83209 USA; [Alsabaan, Maazen] King Saud Univ, Coll Comp &amp; Informat Sci, Comp Engn Dept, Riyadh 11451, Saudi Arabia</t>
  </si>
  <si>
    <t>Lakehead University; Western University (University of Western Ontario); Idaho State University; King Saud University</t>
  </si>
  <si>
    <t>An Explainable AI System for Medical Image Segmentation With Preserved Local Resolution: Mammogram Tumor Segmentation</t>
  </si>
  <si>
    <t>Medical image analysis; tumor segmentation; mammograms; CAD; deep learning; CNN; explainable AI; spatial resolution; pixel-level class imbalance</t>
  </si>
  <si>
    <t>NEURAL-NETWORKS; CLASSIFICATION</t>
  </si>
  <si>
    <t>Fouda, Mostafa/G-7324-2012; Alsabaan, Maazen/N-2077-2014; gad, gad/NHQ-2483-2025; Fadlullah, Zubair/T-8659-2019</t>
  </si>
  <si>
    <t>Fouda, Mostafa/0000-0003-1790-8640; Farrag, Aya/0009-0008-0693-2526; gad, gad/0000-0001-9177-9950; Fadlullah, Zubair/0000-0002-4785-2425</t>
  </si>
  <si>
    <t>125543</t>
  </si>
  <si>
    <t>125561</t>
  </si>
  <si>
    <t>10.1109/ACCESS.2023.3330465</t>
  </si>
  <si>
    <t>http://dx.doi.org/10.1109/ACCESS.2023.3330465</t>
  </si>
  <si>
    <t>Y3ZD5</t>
  </si>
  <si>
    <t>WOS:001104672300001</t>
  </si>
  <si>
    <t>Offenberg, R; De Luca, A; Biessels, GJ; Barkhof, F; van der Flier, WM; van Harten, AC; van der Lelij, E; Pluim, J; Kuijf, H</t>
  </si>
  <si>
    <t>Lesion-symptom mapping methods assess the relationship between lesions caused by cerebral small vessel disease and cognition, but current technology like support vector regression (SVR)) primarily provide group-level results. We propose a novel lesion-symptom mapping approach that can indicate how lesion patterns contribute to cognitive impairment on an individual level. A convolutional neural network (CNN) predicts cognitive scores and is combined with explainable artificial intelligence (XAI) to map the relation between cognition and vascular lesions. This method was evaluated primarily using real white matter hyperintensity maps of 821 memory clinic patients and simulated cognitive data, with weighted lesions and noise levels. Simulated data provided ground truth locations to assess predictive performance of the CNN and accuracy of strategic lesion identification by XAI, using an established lesion-symptom mapping method, SVR, and a simple fully connected neural network (FNN) as benchmarks. Real cognitive scores were used in a final proof-of-principle analysis. Predictive performance in simulation experiments was high for the CNN (R2 = 0.964), SVR (R2 = 0.875), and FNN (R2 = 0.863). CNN with XAI provided patient-specific attribution maps that highlighted the ground truth locations. All methods showed similar sensitivity to noise. Using real cognitive scores, SVR (R2 = 0.291) obtained a somewhat higher predictive performance than the CNN (R2 = 0.216), although both methods substantially exceeded the predictive performance of total WMH volume alone (R2 = 0.013). The FNN performed worse on real data (R2 = 0.020). To conclude, results show that CNNs combined with XAI can perform lesion-symptom mapping and generate individual attribution maps, which could be a valuable feature with further method development.</t>
  </si>
  <si>
    <t>Offenberg, Ryanne; De Luca, Alberto; Biessels, Geert Jan; Barkhof, Frederik; van der Flier, Wiesje M.; van Harten, Argonde C.; van der Lelij, Ewoud; Pluim, Josien; Kuijf, Hugo</t>
  </si>
  <si>
    <t>Offenberg, R (corresponding author), UMC Utrecht, Image Sci Inst, Heidelberglaan 100, NL-3584 CX Utrecht, Netherlands.</t>
  </si>
  <si>
    <t>r.offenberg-2@umcutrecht.nl</t>
  </si>
  <si>
    <t>Dutch Heart Foundation [03004-2021-T043]; ZonMw [10510032120003]; Dutch National Dementia Strategy; Roche diagnostics; Amprion; Alzheimer Nederland [WE-03-2022-11]; Alzheimer center Amsterdam; Stichting Alzheimer Nederland; Stichting Steun Alzheimercentrum Amsterdam; Pasman stichting</t>
  </si>
  <si>
    <t>Dutch Heart Foundation (Netherlands Heart Foundation); ZonMw (Netherlands Organization for Health Research and Development); Dutch National Dementia Strategy; Roche diagnostics; Amprion; Alzheimer Nederland; Alzheimer center Amsterdam; Stichting Alzheimer Nederland; Stichting Steun Alzheimercentrum Amsterdam; Pasman stichting</t>
  </si>
  <si>
    <t>This study received funding from the Dutch Heart Foundation (03004-2021-T043) . This work was also supported by TAP-Dementia, as funded project by ZonMw (#10510032120003) part of the Dutch National Dementia Strategy, for a Timely Accurate and Personalized diagnosis of dementia. TAP-dementia receives co-financing from Avid Radiopharmaceuticals, Roche diagnostics, and Amprion. The research of Alberto De Luca is also supported by funding from Alzheimer Nederland (WE-03-2022-11) . Research of Alzheimer center Amsterdam is part of the neurodegeneration research program of Amsterdam Neuroscience. Alzheimer Center Amsterdam is supported by Stichting Alzheimer Nederland and Stichting Steun Alzheimercentrum Amsterdam. The chair of Wiesje van der Flier is supported by the Pasman stichting.</t>
  </si>
  <si>
    <t>[Offenberg, Ryanne; De Luca, Alberto; Pluim, Josien; Kuijf, Hugo] UMC Utrecht, Image Sci Inst, Heidelberglaan 100, NL-3584 CX Utrecht, Netherlands; [Biessels, Geert Jan; van der Lelij, Ewoud] UMC Utrecht, Dept Neurol, Utrecht, Netherlands; [Barkhof, Frederik] Vrije Univ, Dept Radiol &amp; Nucl Med, Amsterdam UMC, Amsterdam, Netherlands; [Barkhof, Frederik] UCL, Queen Sq Inst Neurol, London, England; [Barkhof, Frederik] UCL, Ctr Med Image Comp, London, England; [van der Flier, Wiesje M.; van Harten, Argonde C.] Vrije Univ Amsterdam, Alzheimer Ctr Amsterdam, Neurol, Amsterdam UMC Locat VUmc, Amsterdam, Netherlands; [van der Flier, Wiesje M.; van Harten, Argonde C.] Amsterdam Neurosci, Neurodegenerat, Amsterdam, Netherlands; [van der Flier, Wiesje M.] Vrije Univ Amsterdam, Epidemiol &amp; Data Sci, Amsterdam UMC Locat VUmc, Amsterdam, Netherlands; [Pluim, Josien] Eindhoven Univ Technol, Dept Biomed Engn, Eindhoven, Netherlands</t>
  </si>
  <si>
    <t>Utrecht University; Utrecht University Medical Center; Utrecht University; Utrecht University Medical Center; University of Amsterdam; Vrije Universiteit Amsterdam; University of London; University College London; University of London; University College London; Amsterdam University Medical Center; Vrije Universiteit Amsterdam; Vrije Universiteit Amsterdam; Amsterdam University Medical Center; Vrije Universiteit Amsterdam; Eindhoven University of Technology</t>
  </si>
  <si>
    <t>Individualized lesion-symptom mapping using explainable artificial intelligence for the cognitive impact of white matter hyperintensities</t>
  </si>
  <si>
    <t>NEUROIMAGE-CLINICAL</t>
  </si>
  <si>
    <t>Lesion-symptom mapping; Neural network; Explainable artificial intelligence; Vascular cognitive impairment; Machine learning</t>
  </si>
  <si>
    <t>De Luca, Alberto/I-2717-2019; Kuijf, Hugo/G-2711-2013; Barkhof, Frederik/AAJ-6226-2020</t>
  </si>
  <si>
    <t>Barkhof, Frederik/0000-0003-3543-3706; Offenberg, Ryanne/0009-0004-8718-2026</t>
  </si>
  <si>
    <t>2213-1582</t>
  </si>
  <si>
    <t>NEUROIMAGE-CLIN</t>
  </si>
  <si>
    <t>NeuroImage-Clin.</t>
  </si>
  <si>
    <t>103790</t>
  </si>
  <si>
    <t>10.1016/j.nicl.2025.103790</t>
  </si>
  <si>
    <t>http://dx.doi.org/10.1016/j.nicl.2025.103790</t>
  </si>
  <si>
    <t>APR 2025</t>
  </si>
  <si>
    <t>Neuroimaging</t>
  </si>
  <si>
    <t>Neurosciences &amp; Neurology</t>
  </si>
  <si>
    <t>2AF2G</t>
  </si>
  <si>
    <t>40267538</t>
  </si>
  <si>
    <t>WOS:001477828800001</t>
  </si>
  <si>
    <t>Innab, N; Alsubai, S; Alabdulqader, EA; Alarfaj, AA; Umer, M; Trelova, S; Ashraf, I</t>
  </si>
  <si>
    <t>Fetal health holds paramount importance in prenatal care and obstetrics, as it directly impacts the wellbeing of mother and fetus. Monitoring fetal health through pregnancy is crucial for identifying and addressing potential risks and complications that may arise. Early detection of abnormalities and deviations in fetal health can facilitate timely interventions to mitigate risks and improve outcomes for the mother and fetus. Monitoring fetal health also provides valuable insights into the effectiveness of prenatal interventions and treatments. For fetal health classification, this research work makes use of cardiotocography (CTG) data containing 21 features including fetal growth, development, and physiological parameters such as heart rate and movement patterns with three target classes "normal," "suspect," and "pathological." The proposed methodology makes use of data upsampled using the synthetic minority oversampling technique (SMOTE) to handle the class imbalance problem that is very crucial in medical diagnosing with a light gradient boosting machine. The results show that the proposed model gives 0.9989 accuracy, 0.9988 area under the curve, 0.9832 recall, 0.9834 precision, 0.9832 F1 score, 0.9748 Kappa score, and 0.9749 Matthews correlation coefficient value on the test dataset. The performance of the proposed model is compared with other machine learning models to show the dominance of the proposed model. The proposed model's significance is further evaluated using 10-fold cross-validation and comparing the proposed model with other state-of-the-art models.</t>
  </si>
  <si>
    <t>Innab, Nisreen; Alsubai, Shtwai; Alabdulqader, Ebtisam Abdullah; Alarfaj, Aisha Ahmed; Umer, Muhammad; Trelova, Silvia; Ashraf, Imran</t>
  </si>
  <si>
    <t>Trelova, S (corresponding author), Comenius Univ, Fac Management, Bratislava, Slovakia.; Ashraf, I (corresponding author), Yeungnam Univ, Dept Informat &amp; Commun Engn, Gyongsan, South Korea.</t>
  </si>
  <si>
    <t>imranashraf@ynu.ac.kr; silvia.trelova@fm.uniba.sk</t>
  </si>
  <si>
    <t>AlMaarefa University, Riyadh, Saudi Arabia; Princess Nourah bint Abdulrahman University Researchers Supporting Project [PNURSP2024R348]; Princess Nourah bint Abdulrahman University, Riyadh, Saudi Arabia</t>
  </si>
  <si>
    <t>AlMaarefa University, Riyadh, Saudi Arabia; Princess Nourah bint Abdulrahman University Researchers Supporting Project (Princess Nourah bint Abdulrahman University); Princess Nourah bint Abdulrahman University, Riyadh, Saudi Arabia (Princess Nourah bint Abdulrahman University)</t>
  </si>
  <si>
    <t>The author(s) declare financial support was received for the research, authorship, and/or publication of this article. Nisreen Innab would like to express sincere gratitude to AlMaarefa University, Riyadh, Saudi Arabia, for supporting this research. Princess Nourah bint Abdulrahman University Researchers Supporting Project number (PNURSP2024R348), Princess Nourah bint Abdulrahman University, Riyadh, Saudi Arabia.</t>
  </si>
  <si>
    <t>[Innab, Nisreen] AlMaarefa Univ, Coll Appl Sci, Dept Comp Sci &amp; Informat Syst, Riyadh, Saudi Arabia; [Alsubai, Shtwai] Prince Sattam bin Abdulaziz Univ, Coll Comp Engn &amp; Sci, Dept Comp Sci, Al Kharj, Saudi Arabia; [Alabdulqader, Ebtisam Abdullah] King Saud Univ, Coll Comp &amp; Informat Sci, Dept Informat Technol, Riyadh, Saudi Arabia; [Alarfaj, Aisha Ahmed] Princess Nourah bint Abdulrahman Univ, Coll Comp &amp; Informat Sci, Dept Informat Syst, Riyadh, Saudi Arabia; [Umer, Muhammad] Islamia Univ Bahawalpur, Dept Comp Sci &amp; Informat Technol, Bahawalpur, Pakistan; [Trelova, Silvia] Comenius Univ, Fac Management, Bratislava, Slovakia; [Ashraf, Imran] Yeungnam Univ, Dept Informat &amp; Commun Engn, Gyongsan, South Korea</t>
  </si>
  <si>
    <t>Almaarefa University; Prince Sattam Bin Abdulaziz University; King Saud University; Princess Nourah bint Abdulrahman University; Islamia University of Bahawalpur; Comenius University Bratislava; Yeungnam University</t>
  </si>
  <si>
    <t>Automated approach for fetal and maternal health management using light gradient boosting model with SHAP explainable AI</t>
  </si>
  <si>
    <t>public health; risk perceptions; healthcare; mother and child care; machine learning</t>
  </si>
  <si>
    <t>SMOTE</t>
  </si>
  <si>
    <t>Umer, Muhammad/AAX-4594-2020; Ashraf, Imran/T-3635-2019; Alabdulqader, Ebtisam/AAX-3879-2021; AlArfaj, Aisha/HJI-8859-2023; Innab, Nisreen/LNR-4328-2024; Alsubai, Shtwai/ABW-9013-2022; /ABG-8435-2020</t>
  </si>
  <si>
    <t>Alabdulqader, Ebtisam/0000-0002-8539-5560; Innab, Nisreen/0000-0003-4412-7727; Alsubai, Shtwai/0000-0002-6584-7400</t>
  </si>
  <si>
    <t>DEC 20 2024</t>
  </si>
  <si>
    <t>1462693</t>
  </si>
  <si>
    <t>10.3389/fpubh.2024.1462693</t>
  </si>
  <si>
    <t>http://dx.doi.org/10.3389/fpubh.2024.1462693</t>
  </si>
  <si>
    <t>R1R8D</t>
  </si>
  <si>
    <t>39758195</t>
  </si>
  <si>
    <t>WOS:001389316900001</t>
  </si>
  <si>
    <t>Rajeswari, P; Khan, SB; Prasad, PS; Mahesh, TR; Algarni, A; Almusharraf, A</t>
  </si>
  <si>
    <t>Breast cancer identification via ultrasound images requires high accuracy and transparency to assist clinicians in taking appropriate decisions. This work demonstrates a deep learning system for classification of breast ultrasound images into benign, malignant, and normal images using the EfficientNet-B0 architecture fine-tuned on the Breast Ultrasound Identification (BUSI) dataset. To mitigate class imbalance and stabilize the network, data augmentation including random horizontal flipping, rotation, and color jittering is applied. Gradient-weighted Class Activation Mapping (Grad-CAM) is utilized to generate visual explanations by identifying regions of interest such as tumor margins and texture patterns. The model achieved an average accuracy of 99%, demonstrating high efficacy in lesion detection. The integration of Explainable AI (XAI) not only improves diagnostic confidence but also bridges the gap between clinical practice and AI. The results prove the potential for combining high-performing deep learning models with interpretability methods in developing reliable breast cancer diagnosis tools suitable for actual clinical practice.</t>
  </si>
  <si>
    <t>Rajeswari, P.; Khan, Surbhi Bhatia; Prasad, P. S.; Mahesh, T. R.; Algarni, Ali; Almusharraf, Ahlam</t>
  </si>
  <si>
    <t>Khan, SB (corresponding author), Univ Salford, Sch Sci Engn &amp; Environm, Salford, England.; Khan, SB (corresponding author), Lovely Profess Univ, Div Res &amp; Dev, Phagwara, India.</t>
  </si>
  <si>
    <t>s.khan138@salford.ac.uk</t>
  </si>
  <si>
    <t>Princess Nourah bint Abdulrahman University, Riyadh, Saudi Arabia [PNURSP2026R432]; Deanship of Research and Graduate Studies at King Khalid University [RGP2/749/46]</t>
  </si>
  <si>
    <t>Princess Nourah bint Abdulrahman University, Riyadh, Saudi Arabia (Princess Nourah bint Abdulrahman University); Deanship of Research and Graduate Studies at King Khalid University</t>
  </si>
  <si>
    <t>The authors would like to express their sincere gratitude to their respective institutions and colleagues for their continuous support and encouragement throughout this research. The authors also acknowledge the creators of the BUSI Breast Ultrasound Dataset for providing the publicly available dataset that enabled this study. This work was supported by Princess Nourahbint Abdulrahman University Researchers Supporting Project number (PNURSP2026R432) , Princess Nourah bint Abdulrahman University, Riyadh, Saudi Arabia. The authors extend their appreciation to the Deanship of Research and Graduate Studies at King Khalid University for funding this work through Large Group Research under grant number RGP2/749/46.</t>
  </si>
  <si>
    <t>[Rajeswari, P.] SRM Inst Sci &amp; Technol, Dept Comp Sci &amp; Engn, Ramapuram Campus, Chennai, India; [Khan, Surbhi Bhatia] Univ Salford, Sch Sci Engn &amp; Environm, Salford, England; [Khan, Surbhi Bhatia] Lovely Profess Univ, Div Res &amp; Dev, Phagwara, India; [Prasad, P. S.; Mahesh, T. R.] JAIN, Fac Engn &amp; Technol, Dept Comp Sci &amp; Engn, Bengaluru, India; [Algarni, Ali] King Khalid Univ, Coll Comp Sci, Dept Informat &amp; Comp Syst, Abha, Saudi Arabia; [Prasad, P. S.; Mahesh, T. R.; Algarni, Ali] King Khalid Univ, Ctr Artificial Intelligence, Abha, Saudi Arabia; [Almusharraf, Ahlam] Princess Nourah Bint Abdulrahman Univ, Coll Business Adm, Dept Management, Riyadh, Saudi Arabia</t>
  </si>
  <si>
    <t>SRM Institute of Science &amp; Technology Chennai; University of Salford; Lovely Professional University; Jain University; King Khalid University; King Khalid University; Princess Nourah bint Abdulrahman University</t>
  </si>
  <si>
    <t>An Explainable AI-Based Transfer Learning Method for Breast Cancer Prediction</t>
  </si>
  <si>
    <t>JOVE-JOURNAL OF VISUALIZED EXPERIMENTS</t>
  </si>
  <si>
    <t>ARTIFICIAL-INTELLIGENCE; DIAGNOSIS</t>
  </si>
  <si>
    <t>bhatia, surbhi/ADA-8643-2022; Almusharraf, Ahlam/ITU-2764-2023; P, Rajeswari/C-8529-2019; TR, Mahesh/AAC-2339-2020; Algarni, Ali/KIL-6898-2024</t>
  </si>
  <si>
    <t>JOURNAL OF VISUALIZED EXPERIMENTS</t>
  </si>
  <si>
    <t>1 ALEWIFE CENTER, STE 200, CAMBRIDGE, MA 02140 USA</t>
  </si>
  <si>
    <t>1940-087X</t>
  </si>
  <si>
    <t>JOVE-J VIS EXP</t>
  </si>
  <si>
    <t>J. Vis. Exp.</t>
  </si>
  <si>
    <t>232</t>
  </si>
  <si>
    <t>e70011</t>
  </si>
  <si>
    <t>10.3791/70011</t>
  </si>
  <si>
    <t>http://dx.doi.org/10.3791/70011</t>
  </si>
  <si>
    <t>LA2AE</t>
  </si>
  <si>
    <t>42406752</t>
  </si>
  <si>
    <t>WOS:001819766200001</t>
  </si>
  <si>
    <t>Saba, L; Maindarkar, M; Khanna, NN; Johri, AM; Mantella, L; Laird, JR; Paraskevas, KI; Ruzsa, Z; Kalra, MK; Fernandes, JFE; Chaturvedi, S; Nicolaides, A; Rathore, V; Singh, N; Fouda, MM; Isenovic, ER; Al-Maini, M; Viswanathan, V; Suri, JS</t>
  </si>
  <si>
    <t>Background: Cardiovascular disease (CVD) is challenging to diagnose and treat since symptoms appear late during the progression of atherosclerosis. Conventional risk factors alone are not always sufficient to properly categorize at-risk patients, and clinical risk scores are inadequate in predicting cardiac events. Integrating genomic-based biomarkers (GBBM) found in plasma/serum samples with novel non-invasive radiomics-based biomarkers (RBBM) such as plaque area, plaque burden, and maximum plaque height can improve composite CVD risk prediction in the pharmaceutical paradigm. These biomarkers consider several pathways involved in the pathophysiology of atherosclerosis disease leading to CVD. Objective: This review proposes two hypotheses: (i) The composite biomarkers are strongly correlated and can be used to detect the severity of CVD/Stroke precisely, and (ii) an explainable artificial intelligence (XAI)-based composite risk CVD/Stroke model with survival analysis using deep learning (DL) can predict in preventive, precision, and personalized (aiP(3)) framework benefiting the pharmaceutical paradigm. Method: The PRISMA search technique resulted in 214 studies assessing composite biomarkers using radiogenomics for CVD/Stroke. The study presents a XAI model using AtheroEdge (TM) 4.0 to determine the risk of CVD/Stroke in the pharmaceutical framework using the radiogenomics biomarkers. Conclusions: Our observations suggest that the composite CVD risk biomarkers using radiogenomics provide a new dimension to CVD/Stroke risk assessment. The proposed review suggests a unique, unbiased, and XAI model based on AtheroEdge (TM) 4.0 that can predict the composite risk of CVD/Stroke using radiogenomics in the pharmaceutical paradigm.</t>
  </si>
  <si>
    <t>Saba, Luca; Maindarkar, Mahesh; Khanna, Narendra N.; Johri, Amer M.; Mantella, Laura; Laird, John R.; Paraskevas, Kosmas I.; Ruzsa, Zoltan; Kalra, Manudeep K.; Fernandes, Jose Fernandes E.; Chaturvedi, Seemant; Nicolaides, Andrew; Rathore, Vijay; Singh, Narpinder; Fouda, Mostafa M.; Isenovic, Esma R.; Al-Maini, Mustafa; Viswanathan, Vijay; Suri, Jasjit S.</t>
  </si>
  <si>
    <t>Suri, JS (corresponding author), AtheroPointTM, Stroke Monitoring &amp; Diagnost Div, Roseville, CA 95661 USA.; Suri, JS (corresponding author), Graph Era, Dept Comp Engn, Dehra Dun 248002, Uttarakhand, India.</t>
  </si>
  <si>
    <t>jasjit.suri@atheropoint.com</t>
  </si>
  <si>
    <t>[Saba, Luca] Azienda Osped Univ, Dept Radiol, I-40138 Cagliari, Italy; [Maindarkar, Mahesh; Suri, Jasjit S.] AtheroPointTM, Stroke Monitoring &amp; Diagnost Div, Roseville, CA 95661 USA; [Maindarkar, Mahesh] Maharashtra Inst Technol Art Design &amp; Technol Uni, Sch Bioengn Res &amp; Sci, Pune 412021, Maharashtra, India; [Khanna, Narendra N.] Indraprastha APOLLO Hosp, Dept Cardiol, New Delhi 110001, India; [Johri, Amer M.] Queens Univ, Div Cardiol, Dept Med, Kingston, ON K7L 1C2, Canada; [Mantella, Laura] Univ Toronto, Div Cardiol, Dept Med, Toronto, ON M5S 1A1, Canada; [Laird, John R.] Adventist Hlth St Helena, Heart &amp; Vasc Inst, St Helena, CA 94574, St Helena; [Paraskevas, Kosmas I.] Cent Clin Athens, Dept Vasc Surg, Athens 11526, Greece; [Ruzsa, Zoltan] Univ Szeged, Invas Cardiol Div, H-6725 Szeged, Hungary; [Kalra, Manudeep K.] Harvard Med Sch, Dept Radiol, Boston, MA 02118 USA; [Fernandes, Jose Fernandes E.] Univ Lisbon, Dept Vasc Surg, P-1600209 Lisbon, Portugal; [Chaturvedi, Seemant] Univ Maryland, Dept Neurol, Baltimore, MD 21201 USA; [Chaturvedi, Seemant] Univ Maryland, Stroke Program, Baltimore, MD 21201 USA; [Nicolaides, Andrew] Vasc Screening &amp; Diagnost Ctr, CY-2368 Agios Dometios, Cyprus; [Nicolaides, Andrew] Univ Nicosia, Med Sch, CY-2368 Agios Dometios, Cyprus; [Rathore, Vijay] Kaiser Permanente, Nephrol Dept, Sacramento, CA 95823 USA; [Singh, Narpinder] Graph Era, Dept Food Sci &amp; Technol, Dehra Dun 248002, Uttarakhand, India; [Fouda, Mostafa M.] Idaho State Univ, Dept Elect &amp; Comp Engn, Pocatello, ID 83209 USA; [Isenovic, Esma R.] Univ Belgrade, Natl Inst Republ Serbia, Dept Radiobiol &amp; Mol Genet, Belgrade 11001, Serbia; [Al-Maini, Mustafa] Allergy Clin Immunol &amp; Rheumatol Inst, Toronto, ON L4Z 4C4, Canada; [Viswanathan, Vijay] MV Diabet Ctr, Chennai 600013, Tamil Nadu, India; [Suri, Jasjit S.] Graph Era, Dept Comp Engn, Dehra Dun 248002, Uttarakhand, India</t>
  </si>
  <si>
    <t>University of Cagliari; Azienda Ospedaliero-Universitaria di Cagliari; Queens University - Canada; University of Toronto; Szeged University; Harvard University; Harvard Medical School; Universidade de Lisboa; University System of Maryland; University of Maryland Baltimore; University System of Maryland; University of Maryland Baltimore; University of Nicosia; Kaiser Permanente; Graphic Era University; Idaho State University; University of Belgrade; Graphic Era University</t>
  </si>
  <si>
    <t>A Pharmaceutical Paradigm for Cardiovascular Composite Risk Assessment Using Novel Radiogenomics Risk Predictors in Precision Explainable Artificial Intelligence Framework: Clinical Trial Tool</t>
  </si>
  <si>
    <t>FRONTIERS IN BIOSCIENCE-LANDMARK</t>
  </si>
  <si>
    <t>cardiovascular disease; stroke; biomarkers; radiomics; genomics; deep learning; bias; pruning; cloud; multicenter; pharmaceutical; explainable artificial intelligence</t>
  </si>
  <si>
    <t>INTIMA-MEDIA THICKNESS; ACUTE MYOCARDIAL-INFARCTION; MACHINE LEARNING FRAMEWORK; OBSTRUCTIVE SLEEP-APNEA; ERECTILE DYSFUNCTION; CAROTID ULTRASOUND; INTRAVASCULAR ULTRASOUND; TISSUE CHARACTERIZATION; NEURAL-NETWORKS; IMT MEASUREMENT</t>
  </si>
  <si>
    <t>Ruzsa, Zoltan/I-3200-2013; Fouda, Mostafa/G-7324-2012; Isenovic, Esma/D-3017-2009; Singh, Narpinder/ACI-0152-2022; Maindarkar, Mahesh/HKN-3405-2023</t>
  </si>
  <si>
    <t>Johri, Amer/0000-0001-7044-8212; Fouda, Mostafa/0000-0003-1790-8640; Paraskevas, Kosmas I/0000-0001-6865-2919; Isenovic, Esma/0000-0002-0012-2636; Singh, Narpinder/0000-0002-9683-7846; Maindarkar, Mahesh/0000-0002-0813-4906; Mantella, Laura-Eve/0000-0002-6527-426X</t>
  </si>
  <si>
    <t>214</t>
  </si>
  <si>
    <t>IMR PRESS</t>
  </si>
  <si>
    <t>SINGAPORE</t>
  </si>
  <si>
    <t>#07-07, 151 CHIN SWEE ROAD, MANHATTAN HOUSE, SINGAPORE, SINGAPORE</t>
  </si>
  <si>
    <t>2768-6701</t>
  </si>
  <si>
    <t>2768-6698</t>
  </si>
  <si>
    <t>FRONT BIOSCI-LANDMRK</t>
  </si>
  <si>
    <t>Front. Biosci.</t>
  </si>
  <si>
    <t>OCT 2023</t>
  </si>
  <si>
    <t>248</t>
  </si>
  <si>
    <t>10.31083/j.fbl2810248</t>
  </si>
  <si>
    <t>http://dx.doi.org/10.31083/j.fbl2810248</t>
  </si>
  <si>
    <t>Biochemistry &amp; Molecular Biology; Cell Biology</t>
  </si>
  <si>
    <t>Y7CX1</t>
  </si>
  <si>
    <t>37919080</t>
  </si>
  <si>
    <t>WOS:001106813700016</t>
  </si>
  <si>
    <t>Wu, P; Davis, NO; Engelhard, MM; Dawson, G; Goldstein, BA</t>
  </si>
  <si>
    <t>Objectives To address algorithmic bias in clinical prediction models related to the timing of diagnosis, we evaluated the efficacy of mixture cure models that integrate time-to-event and binary classification frameworks to predict diagnoses.Materials and Methods We conducted a simulation and analyzed real-world North Carolina Medicaid data for children born in 2014, followed until 2023. The study evaluated traditional time-to-event and classification models against mixture cure models under scenarios with varied diagnostic timing and censoring.Results Simulation results demonstrated that traditional models exhibit increased bias as diagnosis timing differences widened, whereas mixture cure models yielded unbiased estimates across varying censoring times. In real-world analyses, significant racial and ethnic variations in autism diagnosis rates were observed, with non-Hispanic White children having higher diagnosis rates compared to other groups. The mixture cure model effectively adjusted for these disparities, providing fairer and more accurate diagnostic predictions across varying levels of censoring.Discussion Mixture cure models effectively address algorithmic bias by providing unbiased estimates regardless of variations in diagnostic timing and censoring, making them particularly suitable for conditions like autism where not all individuals will receive a diagnosis. This approach shifts focus from when an event will occur to whether it will occur, aligning more closely with clinical needs in early detection of pediatric developmental conditions.Conclusion Mixture cure models offer a promising tool to enhance accuracy and fairness in predictive modeling, especially when the outcome of interest is not uniformly observed across groups.Predictive models are widely used in healthcare to estimate who will develop certain conditions. However, these models can be influenced by differences in when people receive a diagnosis. For example, children from different racial and ethnic groups may be diagnosed with autism at different ages, not necessarily because of different underlying risks, but because of differences in access to diagnostic services. Models that emphasize diagnosis timing can therefore give biased results, while models that ignore timing treat children without a diagnosis yet as if they will never be diagnosed and thus underestimate diagnoses. We illustrate how the mixture cure model can address bias from differential diagnosis, which blends features of time-to-event and classification approaches. Through simulations and analysis of North Carolina Medicaid data, this model provided more accurate and fairer predictions than traditional methods. Although our study focused on autism, the approach may be useful for other conditions where diagnosis is delayed or uneven across populations.</t>
  </si>
  <si>
    <t>Wu, Peng; Davis, Naomi O.; Engelhard, Matthew M.; Dawson, Geraldine; Goldstein, Benjamin A.</t>
  </si>
  <si>
    <t>Goldstein, BA (corresponding author), Duke Univ, Sch Med, Dept Biostat &amp; Bioinformat, 2424 Erwin Rd,Suite 9023 Hock Plaza, Durham, NC 27705 USA.; Goldstein, BA (corresponding author), Duke Univ, Sch Med, Dept Pediat, Durham, NC 27705 USA.</t>
  </si>
  <si>
    <t>Eunice Kennedy Shriver National Institute of Child Health and Human Development [P50 HD093074]</t>
  </si>
  <si>
    <t>Eunice Kennedy Shriver National Institute of Child Health and Human Development (United States Department of Health &amp; Human Services, National Institutes of Health (NIH) - USA, NIH Eunice Kennedy Shriver National Institute of Child Health &amp; Human Development (NICHD))</t>
  </si>
  <si>
    <t>This work was supported the U.S. National Institutes of Health, including the Eunice Kennedy Shriver National Institute of Child Health and Human Development (grant no. P50 HD093074) and the National Institute of Mental Health (grant no. K01 MH127309).</t>
  </si>
  <si>
    <t>[Wu, Peng; Engelhard, Matthew M.; Goldstein, Benjamin A.] Duke Univ, Sch Med, Dept Biostat &amp; Bioinformat, 2424 Erwin Rd,Suite 9023 Hock Plaza, Durham, NC 27705 USA; [Davis, Naomi O.; Dawson, Geraldine] Duke Univ, Sch Med, Dept Radiol, Durham, NC 27705 USA; [Dawson, Geraldine; Goldstein, Benjamin A.] Duke Univ, Sch Med, Dept Pediat, Durham, NC 27705 USA</t>
  </si>
  <si>
    <t>Duke University; Duke University; Duke University</t>
  </si>
  <si>
    <t>Using mixture cure models to address algorithmic bias in diagnostic timing: autism as a test case</t>
  </si>
  <si>
    <t>JAMIA OPEN</t>
  </si>
  <si>
    <t>mixture cure models; algorithmic bias; autism spectrum disorder; electronic health records and claims data; clinical prediction models</t>
  </si>
  <si>
    <t>SPECTRUM DISORDER; CHILDREN; IDENTIFICATION; DISPARITIES; HEALTH</t>
  </si>
  <si>
    <t>Goldstein, Benjamin/ADR-2374-2022; Dawson, Geraldine/J-8421-2016</t>
  </si>
  <si>
    <t>Dawson, Geraldine/0000-0003-1410-2764; Engelhard, Matthew/0000-0003-4112-9639</t>
  </si>
  <si>
    <t>2574-2531</t>
  </si>
  <si>
    <t>JAMIA Open</t>
  </si>
  <si>
    <t>ooaf148</t>
  </si>
  <si>
    <t>10.1093/jamiaopen/ooaf148</t>
  </si>
  <si>
    <t>http://dx.doi.org/10.1093/jamiaopen/ooaf148</t>
  </si>
  <si>
    <t>9MC0B</t>
  </si>
  <si>
    <t>41221373</t>
  </si>
  <si>
    <t>WOS:001609608000001</t>
  </si>
  <si>
    <t>Silva-Teixeira, R; Almeida, J; Caramelo, FA; Fonseca, P; Oliveira, M; Gonçalves, H; Primo, J; Fontes-Carvalho, R</t>
  </si>
  <si>
    <t>Aims Quality of life (QoL) improvement is a primary driver for atrial fibrillation (AF) catheter ablation (CA), yet its determinants remain unclear. We aimed to identify patient phenotypes with distinct post-ablation QoL trajectories, determine their key predictors, and clarify their association with arrhythmia recurrence and reintervention.Methods and results We prospectively followed 213 patients (median age 60 years, 31% female) undergoing AF CA at a tertiary hospital for 2.2 years [interquartile range (IQR): 1.6-2.6]. A digital health application collected real-time electronic patient-reported outcomes (PROs), including the AF Effect on QoL (AFEQT) questionnaire. Reference charts were generated from QoL trajectories of recurrence-free patients. Machine learning (ML) identified subgroups with distinct QoL trajectories, and explainable artificial intelligence (AI) highlighted key predictors. Quality of life improved by +26 AFEQT points [95% confidence interval (CI): 18-33] within 3 months post-ablation and remained stable thereafter, despite significant heterogeneity in individual responses. Patients with AF recurrence showed significantly lower QoL gains (P = 0.010). Machine learning identified three phenotypes: a younger cluster with the largest QoL improvements, an emotive cluster with higher recurrence rates and minimal QoL benefits despite additional antiarrhythmic reinterventions, and an older cluster with established cardiovascular risk factors. Anxiety, age, and AF duration emerged as key discriminators.Conclusion ML defined three clinically coherent phenotypes, each exhibiting distinct QoL trajectories and ablation outcomes. Explainable AI clarified how individual psychological and biological traits interact to shape these outcomes, highlighting the potential for tailored multidisciplinary care beyond individualized rhythm control strategies.</t>
  </si>
  <si>
    <t>Silva-Teixeira, Rafael; Almeida, Joao; Caramelo, Francisco A.; Fonseca, Paulo; Oliveira, Marco; Goncalves, Helena; Primo, Joao; Fontes-Carvalho, Ricardo</t>
  </si>
  <si>
    <t>Silva-Teixeira, R (corresponding author), Gaia Hosp Ctr, Dept Cardiol, Rua Conceicao Fernandes, P-4434502 Vila Nova De Gaia, Portugal.; Silva-Teixeira, R (corresponding author), Univ Coimbra, Ctr Innovat Biomed &amp; Biotechnol CIBB, P-3000548 Coimbra, Portugal.; Silva-Teixeira, R (corresponding author), Clin Acad Ctr Coimbra CACC, P-3004561 Coimbra, Portugal.; Silva-Teixeira, R (corresponding author), Univ Coimbra, Coimbra Inst Clin &amp; Biomed Res iCBR, Fac Med, Inst Biophys,Area Environm Genet &amp; Oncobiol CIMAGO, P-3000548 Celas, Portugal.</t>
  </si>
  <si>
    <t>rafaelesteixeira@gmail.com</t>
  </si>
  <si>
    <t>[Silva-Teixeira, Rafael; Almeida, Joao; Fonseca, Paulo; Oliveira, Marco; Goncalves, Helena; Primo, Joao; Fontes-Carvalho, Ricardo] Gaia Hosp Ctr, Dept Cardiol, Rua Conceicao Fernandes, P-4434502 Vila Nova De Gaia, Portugal; [Silva-Teixeira, Rafael; Caramelo, Francisco A.] Univ Coimbra, Ctr Innovat Biomed &amp; Biotechnol CIBB, P-3000548 Coimbra, Portugal; [Silva-Teixeira, Rafael; Caramelo, Francisco A.] Clin Acad Ctr Coimbra CACC, P-3004561 Coimbra, Portugal; [Silva-Teixeira, Rafael; Caramelo, Francisco A.] Univ Coimbra, Coimbra Inst Clin &amp; Biomed Res iCBR, Fac Med, Inst Biophys,Area Environm Genet &amp; Oncobiol CIMAGO, P-3000548 Celas, Portugal; [Fontes-Carvalho, Ricardo] Univ Porto, Fac Med, Dept Surg &amp; Physiol, Alameda Prof Hernani Monteiro, P-4200319 Porto, Portugal; [Fontes-Carvalho, Ricardo] Univ Porto, Fac Med, Cardiovasc R&amp;D Ctr UnIC RISE, Dept Surg &amp; Physiol, Alameda Prof Hernani Monteiro, P-4200319 Porto, Portugal</t>
  </si>
  <si>
    <t>Universidade de Coimbra; Universidade de Coimbra; Universidade de Coimbra; Universidade do Porto; Universidade do Porto</t>
  </si>
  <si>
    <t>Predicting patient-related outcomes after atrial fibrillation ablation: insights from explainable artificial intelligence and digital health</t>
  </si>
  <si>
    <t>EUROPEAN HEART JOURNAL - DIGITAL HEALTH</t>
  </si>
  <si>
    <t>Atrial Fibrillation; Quality of Life; Patient-Reported Outcomes; Catheter Ablation; Machine Learning; Digital Health</t>
  </si>
  <si>
    <t>QUALITY-OF-LIFE; CATHETER ABLATION; YOUNG-ADULTS; ASSOCIATION; BURDEN; RHYTHM</t>
  </si>
  <si>
    <t>Fontes Carvalho, Ricardo/AAQ-6131-2020; Caramelo, Francisco/JAN-7215-2023</t>
  </si>
  <si>
    <t>Fontes Carvalho, Ricardo/0000-0003-2306-8393; Caramelo, Francisco/0000-0002-0015-8604</t>
  </si>
  <si>
    <t>2634-3916</t>
  </si>
  <si>
    <t>EUR HEART J-DIGIT HL</t>
  </si>
  <si>
    <t>Eur. Heart. J.-Digit. Health</t>
  </si>
  <si>
    <t>1181</t>
  </si>
  <si>
    <t>1193</t>
  </si>
  <si>
    <t>10.1093/ehjdh/ztaf090</t>
  </si>
  <si>
    <t>http://dx.doi.org/10.1093/ehjdh/ztaf090</t>
  </si>
  <si>
    <t>Cardiac &amp; Cardiovascular Systems</t>
  </si>
  <si>
    <t>Cardiovascular System &amp; Cardiology</t>
  </si>
  <si>
    <t>9ZL3Z</t>
  </si>
  <si>
    <t>41267848</t>
  </si>
  <si>
    <t>WOS:001563706600001</t>
  </si>
  <si>
    <t>Alelyani, T</t>
  </si>
  <si>
    <t>Artificial Intelligence (AI)-powered autonomous systems are increasingly entering healthcare, yet concerns about their reliability, safety, and responsible use present significant barriers to adoption. Building on prior conceptual work, this study introduces a refined and empirically validated framework designed to support the safe and responsible integration of AI in clinical and regulatory contexts. The original framework was developed from semi-structured interviews with 15 experts across clinical, technical, ethical, and regulatory domains, and was subsequently validated through a structured process involving 10 newly recruited participants. Validation combined quantitative ratings and qualitative feedback, yielding consistently high scores for relevance, clarity, and usability, alongside strong endorsement of practical utility. The resulting framework consists of ten dimensions spanning technical, ethical, and operational categories, and is aligned with international standards such as ISO 21448 and the NIST AI Risk Management Framework. By addressing critical issues including data quality, explainability, fairness, and human-AI collaboration, the framework moves beyond abstract principles to provide actionable guidance. It offers clinicians, developers, regulators, and procurement bodies a structured tool to evaluate, monitor, and guide the responsible adoption of autonomous AI systems in healthcare ecosystems.</t>
  </si>
  <si>
    <t>Alelyani, Turki</t>
  </si>
  <si>
    <t>Alelyani, T (corresponding author), Najran Univ, Coll Comp Sci &amp; Informat Syst, Dept Informat Syst, Najran 1988, Saudi Arabia.</t>
  </si>
  <si>
    <t>tnalelyani@nu.edu.sa</t>
  </si>
  <si>
    <t>Deanship of Graduate Studies and Scientific Research at Najran University [NU/EFP/SERC/13/217]</t>
  </si>
  <si>
    <t>The author is thankful to the Deanship of Graduate Studies and Scientific Research at Najran University for funding this work, under the Easy Research Funding program grant code NU/EFP/SERC/13/217</t>
  </si>
  <si>
    <t>[Alelyani, Turki] Najran Univ, Coll Comp Sci &amp; Informat Syst, Dept Informat Syst, Najran 1988, Saudi Arabia</t>
  </si>
  <si>
    <t>Najran University</t>
  </si>
  <si>
    <t>A validated framework for responsible AI in healthcare autonomous systems</t>
  </si>
  <si>
    <t>Artificial Intelligence; Autonomous Systems; Trustworthiness; Healthcare; Framework</t>
  </si>
  <si>
    <t>ARTIFICIAL-INTELLIGENCE; BIG DATA; FUTURE; MANAGE</t>
  </si>
  <si>
    <t>DEC 19 2025</t>
  </si>
  <si>
    <t>44432</t>
  </si>
  <si>
    <t>10.1038/s41598-025-25266-z</t>
  </si>
  <si>
    <t>http://dx.doi.org/10.1038/s41598-025-25266-z</t>
  </si>
  <si>
    <t>AG7OF</t>
  </si>
  <si>
    <t>41419784</t>
  </si>
  <si>
    <t>WOS:001647744500001</t>
  </si>
  <si>
    <t>Pathak, A</t>
  </si>
  <si>
    <t>Deep learning systems impact critical decisions yet remain opaque. This paper presents a hybrid XAI framework combining global rule extraction with local gradient-based attribution. We introduce the Human-Centric Reliability Index (HCRI) validated across trust, satisfaction, and actionability. Evaluations over medical, credit, and navigation domains achieve 96.2% accuracy and 0.92 HCRI, outperforming LIME, SHAP, and attention baselines. A structured XAI taxonomy, dataset limitations, algorithm benchmarks, multimodal challenges, and deployment constraints are also presented.</t>
  </si>
  <si>
    <t>Pathak, Abhishek</t>
  </si>
  <si>
    <t>Pathak, A (corresponding author), St Vincent Pallotti Coll Engn &amp; Technol, Dept Comp Sci &amp; Engn Cyber Secur, Nagpur, India.</t>
  </si>
  <si>
    <t>apathak@stvincentngp.edu.in</t>
  </si>
  <si>
    <t>[Pathak, Abhishek] St Vincent Pallotti Coll Engn &amp; Technol, Dept Comp Sci &amp; Engn Cyber Secur, Nagpur, India</t>
  </si>
  <si>
    <t>A Hybrid Explainable Deep Learning Framework for Reliable and Human-centric AI</t>
  </si>
  <si>
    <t>NATIONAL ACADEMY SCIENCE LETTERS-INDIA</t>
  </si>
  <si>
    <t>Explainable AI; Deep Learning; Human-Centric AI; Trustworthy AI</t>
  </si>
  <si>
    <t>Pathak, Abhishek/OGP-0252-2025</t>
  </si>
  <si>
    <t>SPRINGER INDIA</t>
  </si>
  <si>
    <t>NEW DELHI</t>
  </si>
  <si>
    <t>7TH FLOOR, VIJAYA BUILDING, 17, BARAKHAMBA ROAD, NEW DELHI, 110 001, INDIA</t>
  </si>
  <si>
    <t>0250-541X</t>
  </si>
  <si>
    <t>2250-1754</t>
  </si>
  <si>
    <t>NATL ACAD SCI LETT</t>
  </si>
  <si>
    <t>Natl. Acad. Sci. Lett.-India</t>
  </si>
  <si>
    <t>10.1007/s40009-026-02283-8</t>
  </si>
  <si>
    <t>http://dx.doi.org/10.1007/s40009-026-02283-8</t>
  </si>
  <si>
    <t>JL1MW</t>
  </si>
  <si>
    <t>WOS:001791923900001</t>
  </si>
  <si>
    <t>Sánchez-DelaCruz, E; Abdul-Kareem, S; Pozos-Parra, P</t>
  </si>
  <si>
    <t>Background: Many neurodegenerative diseases affect human gait. Gait analysis is an example of a non-invasive manner to diagnose these diseases. Nevertheless, gait analysis is difficult to do because patients with different neurodegenerative diseases may have similar human gaits. Machine learning algorithms may improve the correct identification of these pathologies. However, the problem with many classification algorithms is a lack of transparency and interpretability for the final user.Methods: In this study, we implemented the PS-Merge operator for the classification, employing gait biomarkers of a public dataset.Results: The highest classification percentage was 83.77%, which means an acceptable degree of reliability.Conclusions: Our results show that PS-Merge has the ability to explain how the algorithm chooses an option, i.e., the operator can be seen as a first step to obtaining an eXplainable Artificial Intelligence (XAI).</t>
  </si>
  <si>
    <t>Sanchez-DelaCruz, Eddy; Abdul-Kareem, Sameem; Pozos-Parra, Pilar</t>
  </si>
  <si>
    <t>Pozos-Parra, P (corresponding author), Univ Baja California, Mexicali, Baja California, Mexico.</t>
  </si>
  <si>
    <t>maria.pozos@uabc.edu.mx</t>
  </si>
  <si>
    <t>[Sanchez-DelaCruz, Eddy] Natl Technol, Artificial Intelligence Lab, Misantla Campus, Misantla, Mexico; [Abdul-Kareem, Sameem] UCSI Univ, Kuala Lumpur, Malaysia; [Pozos-Parra, Pilar] Univ Baja California, Mexicali, Baja California, Mexico</t>
  </si>
  <si>
    <t>UCSI University; Universidad Autonoma de Baja California</t>
  </si>
  <si>
    <t>PS-Merge operator in the classification of gait biomarkers: A preliminary approach to eXplainable Artificial Intelligence</t>
  </si>
  <si>
    <t>JOURNAL OF INTELLIGENT &amp; FUZZY SYSTEMS</t>
  </si>
  <si>
    <t>PS-Merge; Classification; Neurodegenerative diseases; XAI</t>
  </si>
  <si>
    <t>ONE-VERSUS-ALL; NEURODEGENERATIVE DISEASES; SYSTEM; MULTICLASS; SELECTION; SYMPTOMS</t>
  </si>
  <si>
    <t>Abdul Kareem, Sameem/B-2259-2009</t>
  </si>
  <si>
    <t>Sánchez-DelaCruz, Eddy/0000-0002-2357-7799</t>
  </si>
  <si>
    <t>IOS PRESS</t>
  </si>
  <si>
    <t>NIEUWE HEMWEG 6B, 1013 BG AMSTERDAM, NETHERLANDS</t>
  </si>
  <si>
    <t>1064-1246</t>
  </si>
  <si>
    <t>1875-8967</t>
  </si>
  <si>
    <t>J INTELL FUZZY SYST</t>
  </si>
  <si>
    <t>J. Intell. Fuzzy Syst.</t>
  </si>
  <si>
    <t>529</t>
  </si>
  <si>
    <t>541</t>
  </si>
  <si>
    <t>10.3233/JIFS-235053</t>
  </si>
  <si>
    <t>http://dx.doi.org/10.3233/JIFS-235053</t>
  </si>
  <si>
    <t>HZ2L0</t>
  </si>
  <si>
    <t>WOS:001163267400035</t>
  </si>
  <si>
    <t>Nantale, R; Kayemba, F; Paungholi, K; Epuitai, J; Jemba, B; Ajalo, E; Afodun, A; Musaba, MW; Munabi, IG; Kiguli, S; Mubuuke, AG; Mukunya, D</t>
  </si>
  <si>
    <t>Medical and nursing students widely use ChatGPT and other artificial intelligence (AI) for their educational and learning needs. However, there are concerns of misuse and abuse of AI tools in medical education. We explored the experiences of medical students with the use of ChatGPT and other AI tools in education. This was a qualitative descriptive study to explore experiences of medical students, including students of Bachelor of Medicine and Surgery, Bachelor of Science in Nursing, and Bachelor of Science in Anaethesia at Busitema University in Uganda. We conducted five focus group discussions comprising 8-10 participants and 7 in-depth interviews. Participants were purposively selected across the three programs and were spread across the different years of study. Data were analyzed using thematic analysis with the aid of Atlas ti.9 software. Four themes were identified: 1) experiences of students with the use of AI; 2) perceived benefits of AI tools; 3) concerns regarding AI use; and 4) recommendations for responsible AI use. Students noted experiences with using AI as an initial source of information, while some used it as a last resort or concurrently with other traditional sources of information. AI was used for various learning needs, including preparing for tutorials and examinations, writing research proposals, and answering examination questions. Perceived benefits included enhanced learning, readily access to accurate and simplified information, saves time, provides immediate feedback, and improving scholarly writing and preparation for examinations. Students' concerns with AI use included questionable accuracy, credibility, unreliability, inherent AI limitations, and problems arising from over-reliance on AI. Modifying examinations and assessments, changing attitude towards AI use, and using other resources alongside AI were recommended to result in responsible AI use. Participants had positive perceptions about the use of AI but also expressed fears regarding its use in medical education. Structured curricula, formal policies, and guidelines are needed to adequately prepare medical students for the integration of AI in medical education.</t>
  </si>
  <si>
    <t>Nantale, Ritah; Kayemba, Frank; Paungholi, Kennedy; Epuitai, Joshua; Jemba, Brian; Ajalo, Elizabeth; Afodun, Adam; Musaba, Milton W.; Munabi, Ian G.; Kiguli, Sarah; Mubuuke, Aloysius Gonzaga; Mukunya, David</t>
  </si>
  <si>
    <t>Epuitai, J (corresponding author), Busitema Univ, Fac Hlth Sci, Mbale, Uganda.</t>
  </si>
  <si>
    <t>joshuaepuitai@gmail.com</t>
  </si>
  <si>
    <t>Fogarty International Center [1R25TW011213]</t>
  </si>
  <si>
    <t>Fogarty International Center (United States Department of Health &amp; Human Services, National Institutes of Health (NIH) - USA, NIH Fogarty International Center (FIC))</t>
  </si>
  <si>
    <t>The Fogarty International Center of the National Institutes of Health, U.S. Department of State's Office of the U.S. Global AIDS Coordinator and Health Diplomacy (S/GAC), and President's Emergency Plan for AIDS Relief (PEPFAR) funded this project (RN, FK, KP, JE, BJ, EA, AA, MWM, IGM, SK, IGM, SK, AGM, DM) under Award Number 1R25TW011213. The content is solely the responsibility of the authors and does not necessarily represent the official views of the National Institutes of Health. The funders had no role in study design, data collection and analysis, decision to publish, or preparation of the manuscript.</t>
  </si>
  <si>
    <t>[Nantale, Ritah; Kayemba, Frank; Paungholi, Kennedy; Epuitai, Joshua; Jemba, Brian; Ajalo, Elizabeth; Afodun, Adam; Musaba, Milton W.; Mukunya, David] Busitema Univ, Fac Hlth Sci, Mbale, Uganda; [Munabi, Ian G.; Kiguli, Sarah; Mubuuke, Aloysius Gonzaga] Makerere Univ, Coll Hlth Sci, Kampala, Uganda</t>
  </si>
  <si>
    <t>Busitema University; Makerere University</t>
  </si>
  <si>
    <t>Experiences of nursing and medical students with the use of Artificial Intelligence tools such as ChatGPT in Uganda</t>
  </si>
  <si>
    <t>PLOS GLOBAL PUBLIC HEALTH</t>
  </si>
  <si>
    <t>Musaba, Milton/AAI-9996-2020; Mukunya, David/ACU-1460-2022; Kayemba, Frank/NXC-0503-2025</t>
  </si>
  <si>
    <t>Kayemba, Frank/0009-0001-2296-0200</t>
  </si>
  <si>
    <t>2767-3375</t>
  </si>
  <si>
    <t>PLOS GLOB PUBL HLTH</t>
  </si>
  <si>
    <t>PLOS Glob. Public Health</t>
  </si>
  <si>
    <t>DEC 30 2025</t>
  </si>
  <si>
    <t>e0005715</t>
  </si>
  <si>
    <t>10.1371/journal.pgph.0005715</t>
  </si>
  <si>
    <t>http://dx.doi.org/10.1371/journal.pgph.0005715</t>
  </si>
  <si>
    <t>AZ6BL</t>
  </si>
  <si>
    <t>41468448</t>
  </si>
  <si>
    <t>WOS:001660532200003</t>
  </si>
  <si>
    <t>Hallur, S; Gavade, A; Gavade, P</t>
  </si>
  <si>
    <t>Emotion recognition from videos has become a pivotal domain in computer vision and affective computing, contributing to advancements in human-computer interaction, healthcare, security, and multimedia analysis. This survey systematically reviews 137 research papers that span segmentation, classification, and explainable artificial intelligence (XAI) techniques for video-based emotion recognition. The study categorizes works into probabilistic, clustering, deep learning, affective computing, fuzzy logic, genetic algorithms, hybrid, multimodal, and XAI-based approaches. Through a structured evaluation of datasets such as FER2013, CK+, RAVDESS, AffectNet, and EMOTIC, this review highlights how convolutional, recurrent, and transformer architectures, combined with multimodal fusion and attention mechanisms, have enhanced emotion detection accuracy to maximum in certain contexts. It also identifies key challenges including dataset bias, multimodal synchronization, interpretability, and computational complexity. The paper emphasizes the rising importance of XAI in bridging the gap between model transparency and human cognition, proposing that future research focus on explainable, context-aware, and ethically grounded frameworks for robust emotion understanding. By consolidating diverse research trajectories, this survey offers a unified perspective on current advancements, limitations, and future directions in video emotion analysis.</t>
  </si>
  <si>
    <t>Hallur, Sudhakar; Gavade, Anil; Gavade, Priyanka</t>
  </si>
  <si>
    <t>Hallur, S (corresponding author), KLS Gogte Inst Technol, Elect &amp; Commun, Belgaum, India.</t>
  </si>
  <si>
    <t>sudhie1234@gmail.com</t>
  </si>
  <si>
    <t>[Hallur, Sudhakar; Gavade, Anil; Gavade, Priyanka] KLS Gogte Inst Technol, Elect &amp; Commun, Belgaum, India</t>
  </si>
  <si>
    <t>A survey on video emotion recognition: Segmentation, classification, and explainable AI techniques</t>
  </si>
  <si>
    <t>SIGNAL PROCESSING-IMAGE COMMUNICATION</t>
  </si>
  <si>
    <t>Segmentation; Classification; Explainable Artificial Intelligence (XAI); Affective computing; Multimodal fusion; Feature extraction; Interpretability</t>
  </si>
  <si>
    <t>Gavade, Anil/JCE-6402-2023; Gavade, Priyanka/JXX-6698-2024; Hallur, Sudhakar/AAW-6986-2021</t>
  </si>
  <si>
    <t>Gavade, Anil/0000-0001-7345-7034; Hallur, Sudhakar/0000-0002-6141-3664</t>
  </si>
  <si>
    <t>137</t>
  </si>
  <si>
    <t>0923-5965</t>
  </si>
  <si>
    <t>1879-2677</t>
  </si>
  <si>
    <t>SIGNAL PROCESS-IMAGE</t>
  </si>
  <si>
    <t>Signal Process.-Image Commun.</t>
  </si>
  <si>
    <t>141</t>
  </si>
  <si>
    <t>117442</t>
  </si>
  <si>
    <t>10.1016/j.image.2025.117442</t>
  </si>
  <si>
    <t>http://dx.doi.org/10.1016/j.image.2025.117442</t>
  </si>
  <si>
    <t>O6696</t>
  </si>
  <si>
    <t>WOS:001632811000001</t>
  </si>
  <si>
    <t>Ebrahimi, A; Eriksen, JBR; Kolbæk, DK; Pedersen, JM; Christensen, EVJ; Skovbakke, S; Skov, O; Pedersen, SS; Azar, AS; Wiil, UK</t>
  </si>
  <si>
    <t>Background Cardiac patients with Implantable Cardioverter Defibrillators (ICDs) are at elevated risk of experiencing anxiety, depression, or general psychological distress. Nevertheless, routine psychological screening in cardiology care is limited, and early identification of vulnerable individuals remains a challenge, particularly in settings transitioning to remote monitoring. Scalable, data-driven tools are urgently needed to support timely detection and intervention. Methods We developed Machine Learning (ML) models to predict anxiety and psychological distress using patient-reported outcomes from the ACQUIRE-ICD dataset (N = 478).The methodology included imputing values, selecting features strategically, and tuning hyperparameters. Nine ML algorithms and two ensemble approaches (stacking and voting) were evaluated. The best-performing models were interpreted using SHAP (SHapley Additive exPlanations) to enhance clinical transparency. Results The stacking classifier achieved an F1-macro score of 0.93 for anxiety detection, while the light gradient boosting machine reached 0.93 for distress prediction. Feature importance analyses revealed that Mental Health Scores (MCS), loneliness scores, depression and anxiety scales, and quality-of-life indices were the most predictive features. Balancing methods such as SMOTE-ENN did not improve model performance and were excluded from final configurations. Conclusion Our findings demonstrate that combining clinical insight, structured preprocessing, and ensemble learning leads to highly accurate and explainable models for detecting psychological distress in ICDs patients. The integration of SHAP enables interpretability and supports clinical trust, paving the way for scalable decision-support tools in cardiology. Future work should explore external validation and real-world deployment.</t>
  </si>
  <si>
    <t>Ebrahimi, Ali; Eriksen, Jakob Bo Reinevald; Kolbaek, David Krogh; Pedersen, Jonas Mohr; Christensen, Ebbe Vincent Just; Skovbakke, Soren; Skov, Ole; Pedersen, Susanne Schmidt; Sorayaie Azar, Amir; Wiil, Uffe Kock</t>
  </si>
  <si>
    <t>Ebrahimi, A (corresponding author), Univ Southern Denmark, Maersk Mc Kinney Moller Inst, SDU Hlth Informat &amp; Technol, Odense, Denmark.</t>
  </si>
  <si>
    <t>aleb@mmmi.sdu.dk</t>
  </si>
  <si>
    <t>University of Southern Denmark</t>
  </si>
  <si>
    <t>University of Southern Denmark (University of Southern Denmark)</t>
  </si>
  <si>
    <t>Open access funding provided by University of Southern Denmark</t>
  </si>
  <si>
    <t>[Ebrahimi, Ali; Eriksen, Jakob Bo Reinevald; Kolbaek, David Krogh; Pedersen, Jonas Mohr; Christensen, Ebbe Vincent Just; Sorayaie Azar, Amir; Wiil, Uffe Kock] Univ Southern Denmark, Maersk Mc Kinney Moller Inst, SDU Hlth Informat &amp; Technol, Odense, Denmark; [Skovbakke, Soren; Skov, Ole; Pedersen, Susanne Schmidt] Univ Southern Denmark, Dept Psychol, Odense, Denmark</t>
  </si>
  <si>
    <t>University of Southern Denmark; University of Southern Denmark</t>
  </si>
  <si>
    <t>Explainable AI models for identifying anxiety and distress in cardiac patients with ICDs</t>
  </si>
  <si>
    <t>Psychological distress; Anxiety; ICD; Patient-reported outcomes; Machine learning; Ensemble model; Explainable AI; SHAP</t>
  </si>
  <si>
    <t>IMPLANTABLE CARDIOVERTER-DEFIBRILLATOR; VENTRICULAR TACHYARRHYTHMIAS; PREDICTING ANXIETY; DEPRESSION; PREVALENCE; MORTALITY; SMOTE</t>
  </si>
  <si>
    <t>Skov, Ole/GLS-3639-2022; Skovbakke, Søren/S-8946-2019; Wiil, Uffe K/P-4226-2018; Sorayaie Azar, Amir/ABD-9995-2021; Ebrahimi, Ali/O-9627-2018</t>
  </si>
  <si>
    <t>Skov, Ole/0000-0002-5213-2799; Skovbakke, Søren/0000-0003-2548-1464; Pedersen, Susanne/0000-0001-8055-3251; Wiil, Uffe K/0000-0001-6898-4083; Sorayaie Azar, Amir/0000-0001-7797-7790; Ebrahimi, Ali/0000-0002-3332-6205</t>
  </si>
  <si>
    <t>DEC 18 2025</t>
  </si>
  <si>
    <t>10.1186/s12911-025-03315-x</t>
  </si>
  <si>
    <t>http://dx.doi.org/10.1186/s12911-025-03315-x</t>
  </si>
  <si>
    <t>CM1NP</t>
  </si>
  <si>
    <t>41413812</t>
  </si>
  <si>
    <t>WOS:001669066700002</t>
  </si>
  <si>
    <t>Leben, D</t>
  </si>
  <si>
    <t>This paper will propose that explanations are valuable to those impacted by a model's decisions (model patients) to the extent that they provide evidence that a past adverse decision was unfair. Under this proposal, we should favor models and explainability methods which generate counterfactuals of two types. The first type of counterfactual is positive evidence of fairness: a set of states under the control of the patient which (if changed) would have led to a beneficial decision. The second type of counterfactual is negative evidence of fairness: a set of irrelevant group or behavioral attributes which (if changed) would not have led to a beneficial decision. Each of these counterfactual statements is related to fairness, under the Liberal Egalitarian idea that treating one person differently than another is justified only on the basis of features which were plausibly under each person's control. Other aspects of an explanation, such as feature importance and actionable recourse, are not essential under this view, and need not be a goal of explainable AI.</t>
  </si>
  <si>
    <t>Leben, Derek</t>
  </si>
  <si>
    <t>Leben, D (corresponding author), Carnegie Mellon Univ, Tepper Sch Business, Pittsburgh, PA 15213 USA.</t>
  </si>
  <si>
    <t>dleben@andrew.cmu.edu</t>
  </si>
  <si>
    <t>[Leben, Derek] Carnegie Mellon Univ, Tepper Sch Business, Pittsburgh, PA 15213 USA</t>
  </si>
  <si>
    <t>Carnegie Mellon University</t>
  </si>
  <si>
    <t>Explainable AI as evidence of fair decisions</t>
  </si>
  <si>
    <t>FRONTIERS IN PSYCHOLOGY</t>
  </si>
  <si>
    <t>xAI; explainability; fairness; discrimination; counterfactual explanations</t>
  </si>
  <si>
    <t>PROCEDURAL JUSTICE; THINKING; CAUSAL</t>
  </si>
  <si>
    <t>Leben, Derek/0000-0001-7304-4854</t>
  </si>
  <si>
    <t>1664-1078</t>
  </si>
  <si>
    <t>FRONT PSYCHOL</t>
  </si>
  <si>
    <t>Front. Psychol.</t>
  </si>
  <si>
    <t>FEB 14 2023</t>
  </si>
  <si>
    <t>1069426</t>
  </si>
  <si>
    <t>10.3389/fpsyg.2023.1069426</t>
  </si>
  <si>
    <t>http://dx.doi.org/10.3389/fpsyg.2023.1069426</t>
  </si>
  <si>
    <t>Psychology, Multidisciplinary</t>
  </si>
  <si>
    <t>Psychology</t>
  </si>
  <si>
    <t>A2GQ4</t>
  </si>
  <si>
    <t>36865358</t>
  </si>
  <si>
    <t>WOS:000953371500001</t>
  </si>
  <si>
    <t>Ünal, S; Gürfidan, R</t>
  </si>
  <si>
    <t>Objectives: This study aims to predict patient-specific Average Glandular Dose (AGD) in mammography using machine learning-based models to support personalised radiation dose optimisation and reduce unnecessary exposure during breast cancer screening. Methods: A retrospective dataset of 671 female patients who underwent full-field digital mammography between 2020 and 2024 was analysed. Right craniocaudal (CC) images were used to construct a structured dataset including mAs, kVp, compressed breast thickness, air kerma (k_air), half-value layer (HVL), and breast pattern. Five regression-based machine learning models (CatBoost, Gradient Boosting, Random Forest, Extra Trees, and AdaBoost) and their Particle Swarm Optimisation (PSO)-enhanced versions were evaluated. Model performance was assessed using MSE, RMSE, MAE, MAPE, and R2. SHAP analysis was applied to interpret model predictions and determine variable importance. Results: PSO integration significantly reduced prediction errors, particularly in boosting-based models. The CatBoost + PSO model achieved the best performance (RMSE = 0.0100, MAPE approximate to 1.74%, R2 = 0.9846), followed by the Gradient Boosting + PSO model (R2 = 0.9787). PSO reduced RMSE and MAPE by approximately 55% and 52%, respectively. SHAP analysis identified k_air, breast thickness, and breast pattern as the most influential factors affecting AGD. Conclusions: Machine learning models enhanced with PSO, especially CatBoost + PSO, provide accurate and reliable patient-specific AGD predictions. The proposed approach enables rapid and clinically applicable dose estimation and highlights breast pattern as a critical parameter influencing glandular dose, supporting personalised radiation dose optimisation in mammography.</t>
  </si>
  <si>
    <t>Unal, Sevgi; Gurfidan, Remzi</t>
  </si>
  <si>
    <t>Ünal, S (corresponding author), Izmir Katip Celebi Univ, Ataturk Training &amp; Res Hosp, Dept Radiol, TR-35150 Izmir, Turkiye.</t>
  </si>
  <si>
    <t>remzigurfidan@isparta.edu.tr; sevgiunal84@gmail.com</t>
  </si>
  <si>
    <t>[Unal, Sevgi] Izmir Katip Celebi Univ, Ataturk Training &amp; Res Hosp, Dept Radiol, TR-35150 Izmir, Turkiye; [Gurfidan, Remzi] Isparta Univ Appl Sci, Isparta Vocat Sch Informat Technol, Database Network Design &amp; Management, TR-32200 Isparta, Turkiye</t>
  </si>
  <si>
    <t>Izmir Katip Celebi University; Izmir Ataturk Training &amp; Research Hospital; Isparta University of Applied Sciences</t>
  </si>
  <si>
    <t>PSO-Based Ensemble Learning Enhanced with Explainable Artificial Intelligence for Breast Glandular Dose Estimation in Mammography</t>
  </si>
  <si>
    <t>APPLIED SCIENCES-BASEL</t>
  </si>
  <si>
    <t>mammography; average glandular dose; breast pattern; artificial intelligence; machine learning</t>
  </si>
  <si>
    <t>DOSIMETRY; UK</t>
  </si>
  <si>
    <t>GURFIDAN, REMZI/AED-8443-2022</t>
  </si>
  <si>
    <t>2076-3417</t>
  </si>
  <si>
    <t>APPL SCI-BASEL</t>
  </si>
  <si>
    <t>Appl. Sci.-Basel</t>
  </si>
  <si>
    <t>2514</t>
  </si>
  <si>
    <t>10.3390/app16052514</t>
  </si>
  <si>
    <t>http://dx.doi.org/10.3390/app16052514</t>
  </si>
  <si>
    <t>Chemistry, Multidisciplinary; Engineering, Multidisciplinary; Materials Science, Multidisciplinary; Physics, Applied</t>
  </si>
  <si>
    <t>Chemistry; Engineering; Materials Science; Physics</t>
  </si>
  <si>
    <t>EZ3TC</t>
  </si>
  <si>
    <t>WOS:001713352900001</t>
  </si>
  <si>
    <t>Vanitha, K; Mahesh, TR; Kumar, VV; Guluwadi, S</t>
  </si>
  <si>
    <t>Tuberculosis (TB), caused by Mycobacterium tuberculosis, remains a leading global health challenge, especially in low-resource settings. Accurate diagnosis from chest X-rays is critical yet challenging due to subtle manifestations of TB, particularly in its early stages. Traditional computational methods, primarily using basic convolutional neural networks (CNNs), often require extensive pre-processing and struggle with generalizability across diverse clinical environments. This study introduces a novel Vision Transformer (ViT) model augmented with Gradient-weighted Class Activation Mapping (Grad-CAM) to enhance both diagnostic accuracy and interpretability. The ViT model utilizes self-attention mechanisms to extract long-range dependencies and complex patterns directly from the raw pixel information, whereas Grad-CAM offers visual explanations of model decisions about highlighting significant regions in the X-rays. The model contains a Conv2D stem for initial feature extraction, followed by many transformer encoder blocks, thereby significantly boosting its ability to learn discriminative features without any pre-processing. Performance testing on a validation set had an accuracy of 0.97, recall of 0.99, and F1-score of 0.98 for TB patients. On the test set, the model has accuracy of 0.98, recall of 0.97, and F1-score of 0.98, which is better than existing methods. The addition of Grad-CAM visuals not only improves the transparency of the model but also assists radiologists in assessing and verifying AI-driven diagnoses. These results demonstrate the model's higher diagnostic precision and potential for clinical application in real-world settings, providing a massive improvement in the automated detection of TB.</t>
  </si>
  <si>
    <t>Vanitha, K.; Mahesh, T. R.; Kumar, V. Vinoth; Guluwadi, Suresh</t>
  </si>
  <si>
    <t>[Vanitha, K.] Deemed Univ, Karpagam Acad Higher Educ, Fac Engn, Dept Comp Sci &amp; Engn, Coimbatore, India; [Mahesh, T. R.] JAIN Deemed Univ, Dept Comp Sci &amp; Engn, Bengaluru 562112, India; [Kumar, V. Vinoth] Vellore Inst Technol Univ, Sch Comp Sci, Vellore 632014, India; [Guluwadi, Suresh] Adama Sci &amp; Technol Univ, Adama 302120, Ethiopia</t>
  </si>
  <si>
    <t>Karpagam Academy of Higher Education (KAHE); Jain University; Vellore Institute of Technology (VIT); VIT Vellore; Adama Science &amp; Technology University</t>
  </si>
  <si>
    <t>Enhanced tuberculosis detection using Vision Transformers and explainable AI with a Grad-CAM approach on chest X-rays</t>
  </si>
  <si>
    <t>Tuberculosis detection; Vision Transformer; Chest X-rays; Explainable AI; Grad-CAM; Self-attention; Medical imaging; Deep learning; Diagnostic accuracy; Convolutional neural networks</t>
  </si>
  <si>
    <t>TR, Mahesh/AAC-2339-2020</t>
  </si>
  <si>
    <t>96</t>
  </si>
  <si>
    <t>10.1186/s12880-025-01630-3</t>
  </si>
  <si>
    <t>http://dx.doi.org/10.1186/s12880-025-01630-3</t>
  </si>
  <si>
    <t>0MW6G</t>
  </si>
  <si>
    <t>40128729</t>
  </si>
  <si>
    <t>WOS:001451151700002</t>
  </si>
  <si>
    <t>Slijepcevic, D; Horst, F; Simak, ML; Schöllhorn, WI; Horsak, B; Zeppelzauer, M</t>
  </si>
  <si>
    <t>This study explores the application of machine learning (ML) to derive and analyze individual gait patterns (i.e., gait signatures) from ground reaction force data. This study leverages three datasets containing 2,092 individuals, including 1,283 cases with pathological gait, and addresses three key objectives: (1) Demonstrating the uniqueness of gait signatures in a large-scale dataset with heterogeneity introduced by patient data and various conditions. (2) Characterizing gait signatures using explainable artificial intelligence (XAI) to highlight specific features that contribute to their uniqueness. (3) Evaluating the reliability of gait signatures and their characterizations across different numbers of individuals and training samples per individual. The results show that ML can accurately differentiate unique gait patterns across healthy individuals and patients with pathological gait patterns, highlighting the importance of considering individual gait signatures in clinical gait analysis. The high reliability of a person's unique gait signature may provide the basis for more personalized treatment decisions and rehabilitation programs, with XAI methods providing valuable insights into the key features that characterize individual gait. These results indicate that even more refined and personalized approaches are possible, extending beyond the conventional categories of pathology, age, and sex. This study provides a foundation for exploring the practical impact of gait signatures on rehabilitation, clinical diagnosis, and personalized treatment strategies.</t>
  </si>
  <si>
    <t>Slijepcevic, Djordje; Horst, Fabian; Simak, Marvin Leonard; Schoellhorn, Wolfgang Immanuel; Horsak, Brian; Zeppelzauer, Matthias</t>
  </si>
  <si>
    <t>Slijepcevic, D (corresponding author), St Polten Univ Appl Sci, Inst Creat Media Technol, Dept Media &amp; Digital Technol, A-3100 Sankt Polten, Austria.</t>
  </si>
  <si>
    <t>djordje.slijepcevic@fhstp.ac.at</t>
  </si>
  <si>
    <t>Austrian Research Promotion Agency of Lower Austria through the Gesellschaft fr Forschungsfrderung N (GFF) within the Endowed Professorship for Applied Biomechanics and Rehabilitation Research [SP19-004]; DeepForce Project [GLF21-1-009]</t>
  </si>
  <si>
    <t>Austrian Research Promotion Agency of Lower Austria through the Gesellschaft fr Forschungsfrderung N (GFF) within the Endowed Professorship for Applied Biomechanics and Rehabilitation Research; DeepForce Project</t>
  </si>
  <si>
    <t>[Slijepcevic, Djordje; Zeppelzauer, Matthias] St Polten Univ Appl Sci, Inst Creat Media Technol, Dept Media &amp; Digital Technol, A-3100 Sankt Polten, Austria; [Horst, Fabian; Simak, Marvin Leonard; Schoellhorn, Wolfgang Immanuel] Johannes Gutenberg Univ Mainz, Inst Sport Sci, Dept Training &amp; Movement Sci, D-55128 Mainz, Germany; [Horsak, Brian] St Polten Univ Appl Sci, Ctr Digital Hlth &amp; Social Innovat, A-3100 Sankt Polten, Austria</t>
  </si>
  <si>
    <t>St. Polten University of Applied Sciences; Johannes Gutenberg University of Mainz; St. Polten University of Applied Sciences</t>
  </si>
  <si>
    <t>Decoding Gait Signatures: Exploring Individual Patterns in Pathological Gait Using Explainable AI</t>
  </si>
  <si>
    <t>Three-dimensional displays; Pathology; Reliability; Support vector machines; Training; Gain measurement; Footwear; Explainable AI; Accuracy; Legged locomotion; Biomechanics; gait analysis; gait recognition; ground reaction forces; interpretability; layer-wise relevance propagation; machine learning; personalized medicine; precision medicine</t>
  </si>
  <si>
    <t>QUALITY-OF-LIFE; RECOGNITION; CLASSIFICATION; DISORDERS; MOBILITY; PEOPLE; HEALTH</t>
  </si>
  <si>
    <t>Slijepcevic, Djordje/KEI-4093-2024; Horst, Fabian/V-2242-2019; Schoellhorn, Wolfgang/ABV-9503-2022; Horsak, Brian/HZJ-8906-2023</t>
  </si>
  <si>
    <t>Slijepcevic, Djordje/0000-0002-2295-7466; Horst, Fabian/0000-0002-3299-5896; Schoellhorn, Wolfgang/0000-0002-4558-1991; Zeppelzauer, Matthias/0000-0003-0413-4746; Horsak, Brian/0000-0002-9296-3212</t>
  </si>
  <si>
    <t>192603</t>
  </si>
  <si>
    <t>192617</t>
  </si>
  <si>
    <t>10.1109/ACCESS.2024.3513893</t>
  </si>
  <si>
    <t>http://dx.doi.org/10.1109/ACCESS.2024.3513893</t>
  </si>
  <si>
    <t>Q2L4P</t>
  </si>
  <si>
    <t>WOS:001383061300048</t>
  </si>
  <si>
    <t>Alabduljabbar, A; Akram, T; Altherwy, YN; Akram, MA; Ashraf, I</t>
  </si>
  <si>
    <t>Explainable Artificial Intelligence (XAI) has become a critical requirement in medical image analysis, where transparency and interpretability are essential for clinical trust and decision support. Melanoma is recognized as one of the most deadly types of skin cancer, with its occurrence exhibiting an increasing pattern in recent times. However, detecting this cancer in its initial stages greatly increases patients' chances of long-term survival. Various computer-based techniques have recently been proposed to diagnose skin lesions at their early stages. Even though the machine learning community has achieved a certain degree of success, there is still an unresolved research challenge regarding high error margins and the limited interpretability of automated systems. This study focuses on addressing both segmentation and classification tasks, with particular emphasis on two key concepts: (1) improving image quality to maximize distinguishability between foreground and background regions, thereby enhancing visual interpretability and segmentation accuracy and (2) eliminating redundant and cluttered feature information to generate the most discriminative and compact feature representations. The input images are initially processed using a novel metaheuristic contrast-stretching method to estimate image-specific key parameters, thereby enhancing lesion boundary clarity in a clinically interpretable manner. Following this, the improved images are fed into selected pre-trained deep models, including DenseNet-201, Inception-ResNet v2, and NASNet-Mobile. The extracted features from all pre-trained models are fused to produce resultant vectors, which are then refined using a bio-inspired feature selection method, termed entropy-controlled whale optimization, to retain only the most informative attributes. The selected discriminative feature set is subsequently classified using multiple classifiers. The results indicate that the proposed framework achieves superior performance compared to existing methods in terms of accuracy, sensitivity, specificity, and F1-score. Additionally, it facilitates a more explainable, transparent, and structured diagnostic pipeline appropriate for medical applications.</t>
  </si>
  <si>
    <t>Alabduljabbar, Abdulrahman; Akram, Tallha; Altherwy, Youssef N.; Akram, Muhammad Adeel; Ashraf, Imran</t>
  </si>
  <si>
    <t>Ashraf, I (corresponding author), Delft Univ Technol, QCE Dept, Comp Engn Lab, EEMCS, NL-2628 CD Delft, Netherlands.</t>
  </si>
  <si>
    <t>a.alabduljabbar@psau.edu.sa; i.ashraf-1@tudelft.nl</t>
  </si>
  <si>
    <t>Prince Sattam bin Abdulaziz University [PSAU/2024/03/31876]</t>
  </si>
  <si>
    <t>The authors extend their appreciation to Prince Sattam bin Abdulaziz University for funding this research work through the project number (PSAU/2024/03/31876).</t>
  </si>
  <si>
    <t>[Alabduljabbar, Abdulrahman; Akram, Tallha; Altherwy, Youssef N.] Prince Sattam Bin Abdulaziz Univ, Coll Comp Engn &amp; Sci, Dept Informat Syst, Al Kharj 11942, Saudi Arabia; [Akram, Muhammad Adeel] COMSATS Univ Islamabad, Dept Comp Engn, Wah Campus, Wah Cantt 47040, Pakistan; [Ashraf, Imran] Delft Univ Technol, QCE Dept, Comp Engn Lab, EEMCS, NL-2628 CD Delft, Netherlands</t>
  </si>
  <si>
    <t>Prince Sattam Bin Abdulaziz University; COMSATS University Islamabad (CUI); Delft University of Technology</t>
  </si>
  <si>
    <t>XAI-MedNet: A Next-Generation Explainable AI Framework for Contrast-Enhanced Skin Lesion Classification via Entropy-Controlled Optimization</t>
  </si>
  <si>
    <t>Explainable AI; interpretable machine learning; skin lesion classification; BAT optimization; artificial bee colony optimization; whale optimization; feature selection; CNN models; evolutionary techniques</t>
  </si>
  <si>
    <t>Altherwy, Youssef/LEM-6542-2024; ashraf, imran/HJA-5212-2022; Alabduljabbar, Abdulrahman/ABG-9740-2021; Akram, Tallha/KPB-3017-2024</t>
  </si>
  <si>
    <t>APR 27 2026</t>
  </si>
  <si>
    <t>506</t>
  </si>
  <si>
    <t>10.3390/bioengineering13050506</t>
  </si>
  <si>
    <t>http://dx.doi.org/10.3390/bioengineering13050506</t>
  </si>
  <si>
    <t>IL9ZG</t>
  </si>
  <si>
    <t>42194263</t>
  </si>
  <si>
    <t>WOS:001774852900001</t>
  </si>
  <si>
    <t>Nasarian, E; Alizadehsani, R; Acharya, UR; Tsui, KL</t>
  </si>
  <si>
    <t>Background: Artificial intelligence (AI)-based medical devices and digital health technologies, including medical sensors, wearable health trackers, telemedicine, mobile health (mHealth), large language models (LLMs), and digital care twins (DCTs), significantly influence the process of clinical decision support systems (CDSS) in healthcare and medical applications. However, given the complexity of medical decisions, it is crucial that results generated by AI tools not only be correct but also carefully evaluated, understandable, and explainable to endusers, especially clinicians. The lack of interpretability in communicating AI clinical decisions can lead to mistrust among decision-makers and a reluctance to use these technologies. Objective: This paper systematically reviews the processes and challenges associated with interpretable machine learning (IML) and explainable artificial intelligence (XAI) within the healthcare and medical domains. Its main goals are to examine the processes of IML and XAI, their related methods, applications, and the implementation challenges they pose in digital health interventions (DHIs), particularly from a quality control perspective, to help understand and improve communication between AI systems and clinicians. The IML process is categorized into pre-processing interpretability, interpretable modeling, and post-processing interpretability. This paper aims to foster a comprehensive understanding of the significance of a robust interpretability approach in clinical decision support systems (CDSS) by reviewing related experimental results. The goal is to provide future researchers with insights for creating clinician-AI tools that are more communicable in healthcare decision support systems and offer a deeper understanding of their challenges. Methods: Our research questions, eligibility criteria, and primary goals were proved using the Preferred Reporting Items for Systematic Reviews and Meta-Analyses (PRISMA) guideline and the PICO (population, intervention, control, and outcomes) method. We systematically searched PubMed, Scopus, and Web of Science databases using sensitive and specific search strings. Subsequently, duplicate papers were removed using EndNote and Covidence. A two-phase selection process was then carried out on Covidence, starting with screening by title and abstract, followed by a full-text appraisal. The Meta Quality Appraisal Tool (MetaQAT) was used to assess the quality and risk of bias. Finally, a standardized data extraction tool was employed for reliable data mining. Results: The searches yielded 2,241 records, from which 555 duplicate papers were removed. During the title and abstract screening step, 958 papers were excluded, and the full-text review step excluded 482 studies. Subsequently, in quality and risk of bias assessment, 172 papers were removed. 74 publications were selected for data extraction, which formed 10 insightful reviews and 64 related experimental studies. Conclusion: The paper provides general definitions of explainable artificial intelligence (XAI) in the medical domain and introduces a framework for interpretability in clinical decision support systems structured across three levels. It explores XAI-related health applications within each tier of this framework, underpinned by a review of related experimental findings. Furthermore, the paper engages in a detailed discussion of quality assessment tools for evaluating XAI in intelligent health systems. It also presents a step-by-step roadmap for implementing XAI in clinical settings.To direct future research toward bridging current gaps, the paper examines the importance of XAI models from various angles and acknowledges their limitations.</t>
  </si>
  <si>
    <t>Nasarian, Elham; Alizadehsani, Roohallah; Acharya, U. Rajendra; Tsui, Kwok-Leung</t>
  </si>
  <si>
    <t>Nasarian, E (corresponding author), Virginia Tech, Grad Dept Ind &amp; Syst Engn, Blacksburg, VA 24061 USA.</t>
  </si>
  <si>
    <t>elhamn20@vt.edu</t>
  </si>
  <si>
    <t>[Nasarian, Elham; Tsui, Kwok-Leung] Virginia Tech, Grad Dept Ind &amp; Syst Engn, Blacksburg, VA 24061 USA; [Alizadehsani, Roohallah] Deakin Univ, Inst Intelligent Syst Res &amp; Innovat IISRI, Waurn Pond, Vic 3216, Australia; [Acharya, U. Rajendra] Univ Southern Queensland, Sch Math Phys &amp; Comp, Springfield, Australia; [Acharya, U. Rajendra] Univ Southern Queensland, Ctr Hlth Res, Springfield, Australia</t>
  </si>
  <si>
    <t>Virginia Polytechnic Institute &amp; State University; Deakin University; University of Southern Queensland; University of Southern Queensland</t>
  </si>
  <si>
    <t>Designing interpretable ML system to enhance trust in healthcare: A systematic review to proposed responsible clinician-AI-collaboration framework</t>
  </si>
  <si>
    <t>Interpretable ML; AI -based medical devices; Unstructured data; Medical large language models; Human -computer -interaction; Wearable medical devices; Explainable casual analysis; Responsible AI</t>
  </si>
  <si>
    <t>BLACK-BOX; MACHINE; FUTURE; EXPLAINABILITY; FEATURES; KAIZEN; ETHICS</t>
  </si>
  <si>
    <t>Alizadehsani, Roohallah/ABA-6810-2022; Acharya, Rajendra/E-3791-2010; Tsui, Kwok-Leung/JTU-2163-2023</t>
  </si>
  <si>
    <t>Nasarian, Elham/0009-0005-5225-1754</t>
  </si>
  <si>
    <t>191</t>
  </si>
  <si>
    <t>138</t>
  </si>
  <si>
    <t>164</t>
  </si>
  <si>
    <t>AUG 2024</t>
  </si>
  <si>
    <t>108</t>
  </si>
  <si>
    <t>102412</t>
  </si>
  <si>
    <t>10.1016/j.inffus.2024.102412</t>
  </si>
  <si>
    <t>http://dx.doi.org/10.1016/j.inffus.2024.102412</t>
  </si>
  <si>
    <t>RL1T8</t>
  </si>
  <si>
    <t>WOS:001227735900001</t>
  </si>
  <si>
    <t>N</t>
  </si>
  <si>
    <t>Y</t>
  </si>
  <si>
    <t>Chanda, T; Haggenmueller, S; Bucher, TC; Holland-Letz, T; Kittler, H; Tschandl, P; Heppt, MV; Berking, C; Utikal, JS; Schilling, B; Buerger, C; Navarrete-Dechent, C; Goebeler, M; Kather, JN; Schneider, CV; Durani, B; Durani, H; Jansen, M; Wacker, J; Wacker, J; Brinker, TJ</t>
  </si>
  <si>
    <t>Artificial intelligence (AI) systems substantially improve dermatologists' diagnostic accuracy for melanoma, with explainable AI (XAI) systems further enhancing their confidence and trust in AI-driven decisions. Despite these advancements, there remains a critical need for objective evaluation of how dermatologists engage with both AI and XAI tools. In this study, 76 dermatologists participate in a reader study, diagnosing 16 dermoscopic images of melanomas and nevi using an XAI system that provides detailed, domain-specific explanations, while eye-tracking technology assesses their interactions. Diagnostic performance is compared with that of a standard AI system lacking explanatory features. Here we show that XAI significantly improves dermatologists' diagnostic balanced accuracy by 2.8 percentage points compared to standard AI. Moreover, diagnostic disagreements with AI/XAI systems and complex lesions are associated with elevated cognitive load, as evidenced by increased ocular fixations. These insights have significant implications for the design of AI/XAI tools for visual tasks in dermatology and the broader development of XAI in medical diagnostics.</t>
  </si>
  <si>
    <t>Chanda, Tirtha; Haggenmueller, Sarah; Bucher, Tabea-Clara; Holland-Letz, Tim; Kittler, Harald; Tschandl, Philipp; Heppt, Markus V.; Berking, Carola; Utikal, Jochen S.; Schilling, Bastian; Buerger, Claudia; Navarrete-Dechent, Cristian; Goebeler, Matthias; Kather, Jakob Nikolas; Schneider, Carolin V.; Durani, Benjamin; Durani, Hendrike; Jansen, Martin; Wacker, Juliane; Wacker, Joerg; Brinker, Titus J.</t>
  </si>
  <si>
    <t>Brinker, TJ (corresponding author), German Canc Res Ctr, Digital Biomarkers Oncol Grp, Heidelberg, Germany.</t>
  </si>
  <si>
    <t>titus.brinker@dkfz.de</t>
  </si>
  <si>
    <t>Federal Ministry of Health, Berlin, Germany [2520DAT801]; T.J.B. Ministry of Social Affairs, Health and Integration of the Federal State Baden-Wuerttemberg, Germany [53-5400.1-007/5]</t>
  </si>
  <si>
    <t>Federal Ministry of Health, Berlin, Germany; T.J.B. Ministry of Social Affairs, Health and Integration of the Federal State Baden-Wuerttemberg, Germany</t>
  </si>
  <si>
    <t>We sincerely thank the dermatologists who participated in the reader study for their time and expertise. Their valuable contributions were essential to this work. Federal Ministry of Health, Berlin, Germany, grant number 2520DAT801, T.J.B. Ministry of Social Affairs, Health and Integration of the Federal State Baden-Wuerttemberg, Germany, grant number 53-5400.1-007/5, T.J.B.</t>
  </si>
  <si>
    <t>[Chanda, Tirtha; Haggenmueller, Sarah; Bucher, Tabea-Clara; Brinker, Titus J.] German Canc Res Ctr, Digital Biomarkers Oncol Grp, Heidelberg, Germany; [Holland-Letz, Tim] German Canc Res Ctr, Dept Biostat, Heidelberg, Germany; [Kittler, Harald; Tschandl, Philipp] Med Univ Vienna, Dept Dermatol, Vienna, Austria; [Heppt, Markus V.; Berking, Carola] Friedrich Alexander Univ Erlangen Nurnberg, Uniklinikum Erlangen, Dept Dermatol, Erlangen, Germany; [Utikal, Jochen S.] German Canc Res Ctr, Skin Canc Unit, Heidelberg, Germany; [Utikal, Jochen S.] Univ Med Ctr Mannheim, Dept Dermatol Venereol &amp; Allergol, Mannheim, Germany; [Utikal, Jochen S.] Univ Med Ctr Mannheim, DKFZ Hector Canc Inst, Mannheim, Germany; [Schilling, Bastian; Buerger, Claudia] Goethe Univ Frankfurt, Univ Hosp Frankfurt, Dept Dermatol Venereol &amp; Allergol, Frankfurt, Germany; [Navarrete-Dechent, Cristian] Pontificia Univ Catolica Chile, Escuela Med, Dept Dermatol, Santiago, Chile; [Goebeler, Matthias] Univ Hosp Wurzburg, Dept Dermatol Venereol &amp; Allergol, Wurzburg, Germany; [Kather, Jakob Nikolas] Else Kroener Fresenius Ctr Digital Hlth, Fac Med, Dresden, Germany; [Kather, Jakob Nikolas] TUD Dresden Univ Technol, Univ Hosp Carl Gustav Carus, Dresden, Germany; [Schneider, Carolin V.] Rhein Westfal TH Aachen, Univ Hosp Aachen, Dept Internal Med, Aachen, Germany; [Durani, Benjamin; Durani, Hendrike; Jansen, Martin; Wacker, Juliane; Wacker, Joerg] Outpatient Clin Dermatol, Heidelberg, Germany</t>
  </si>
  <si>
    <t>Helmholtz Association; German Cancer Research Center (DKFZ); Helmholtz Association; German Cancer Research Center (DKFZ); Medical University of Vienna; University Hospital Vienna; University of Erlangen Nuremberg; Helmholtz Association; German Cancer Research Center (DKFZ); Ruprecht Karls University Heidelberg; Ruprecht Karls University Heidelberg; Goethe University Frankfurt; Goethe University Frankfurt Hospital; Pontificia Universidad Catolica de Chile; University of Wurzburg; Technische Universitat Dresden; Technische Universitat Dresden; Carl Gustav Carus University Hospital; RWTH Aachen University; RWTH Aachen University Hospital</t>
  </si>
  <si>
    <t>Reader Study Consortium</t>
  </si>
  <si>
    <t>Dermatologist-like explainable AI enhances melanoma diagnosis accuracy: eye-tracking study</t>
  </si>
  <si>
    <t>NATURE COMMUNICATIONS</t>
  </si>
  <si>
    <t>PIGMENTED SKIN-LESIONS</t>
  </si>
  <si>
    <t>Schilling, Bastian/AAY-8646-2020; Navarrete-Dechent, Cristian/AEX-9897-2022; Kather, Jakob Nikolas/D-4279-2015; Goebeler, Matthias/P-3612-2019; Buerger, Claudia/AAE-4685-2019; Schneider, Carolin/AAZ-4832-2021; KITTLER, HARALD/AAK-1502-2020</t>
  </si>
  <si>
    <t>Dragolov, Miroslav/0009-0008-6722-7249; Chanda, Tirtha/0009-0009-0649-9301; Bucher, Tabea-Clara/0000-0002-8157-5513; Kather, Jakob Nikolas/0000-0002-3730-5348; KITTLER, HARALD/0000-0002-0051-8016</t>
  </si>
  <si>
    <t>2041-1723</t>
  </si>
  <si>
    <t>NAT COMMUN</t>
  </si>
  <si>
    <t>Nat. Commun.</t>
  </si>
  <si>
    <t>MAY 21 2025</t>
  </si>
  <si>
    <t>4739</t>
  </si>
  <si>
    <t>10.1038/s41467-025-59532-5</t>
  </si>
  <si>
    <t>http://dx.doi.org/10.1038/s41467-025-59532-5</t>
  </si>
  <si>
    <t>2WS3J</t>
  </si>
  <si>
    <t>40399272</t>
  </si>
  <si>
    <t>WOS:001493131600017</t>
  </si>
  <si>
    <t>Le, MHN; Kha, HQ; Huynh, HH; Huynh, PK; Nguyen, PK; Nguyen, D; Le, TDT; Tran, NV; Bui, Q; Pham, HT; Le, HH; Duong, T; Le, NHH; Vu, L; Truong, V; Nguyen, T; Duong, CN; Le, NQK</t>
  </si>
  <si>
    <t>Objectives: To develop interpretable machine learning (ML) models using nationally representative survey data to identify protective factors against cardiovascular disease (CVD), addressing gaps in traditional clinical risk scores across diverse populations. Study design: Cross-sectional analysis of the 2021 BRFSS. Methods: We analyzed 116,608 adult records after data cleaning. Three ML models (XGBoost, convolutional neural network, random forest) were trained on 11 demographic and behavioral features (age, sex, race/ ethnicity, income, smoking, alcohol use, depression, diabetes, insurance status, and fruit and vegetable intake). Performance was assessed using precision, recall, F1-score, AUROC, and AUPRC. SHapley Additive exPlanations (SHAP) were used for interpretability. Results: XGBoost outperformed other models, achieving precision 0.90, recall 0.82, F1-score 0.86, AUROC 0.76, and AUPRC 0.95. SHAP indicated younger age, higher income, insurance coverage, and absence of diabetes or depression as strong protective predictors. Conclusions: An explainable XGBoost model predicts cardiovascular resilience by emphasizing absence of diabetes, mental health stability, socioeconomic advantage, and younger age, supporting proactive and equitable prevention and more efficient resource allocation in CVD care.</t>
  </si>
  <si>
    <t>Le, Minh H. N.; Kha, Hien Quang; Huynh, Han H.; Huynh, Phat K.; Nguyen, Phat Ky; Nguyen, Dang; Le, Trang D. T.; Tran, Nghi, V; Bui, Quoc; Pham, Hoang Tran; Le, Hoai H.; Duong, Thomas; Le, Nhi H. H.; Vu, Loc; Truong, Vien; Nguyen, Thach; Duong, Chi N.; Le, Nguyen Quoc Khanh</t>
  </si>
  <si>
    <t>Duong, CN (corresponding author), Univ Massachusetts Lowell, Dept Biomed &amp; Nutr Sci, Lowell, MA 01854 USA.; Le, NQK (corresponding author), Taipei Med Univ, Coll Med, Inserv Master Program Artificial Intelligence Med, Taipei 110, Taiwan.</t>
  </si>
  <si>
    <t>thachnguyen2000@yahoo.com; HoangTran.Pham@trinity-health.org; ma48114001@tmu.edu.tw; b.quoc@tamu.edu; triloc27@gmail.com; Vien.Truong@thechristhospital.com; duongngoclanchi911@gmail.com; m658112001@tmu.edu.tw; hanhnhi.md@gmail.com; tranvietnghi2007@gmail.com; td100@rice.edu; kevin_nguyen@hsph.harvard.edu; d142111015@tmu.edu.tw; pkhuynh@ncat.edu; m142113007@tmu.edu.tw; d142111009@tmu.edu.tw; huuhoai.md@gmail.com</t>
  </si>
  <si>
    <t>[Le, Minh H. N.; Kha, Hien Quang; Nguyen, Phat Ky] Taipei Med Univ, Coll Med, Int Master PhD Program Med, Taipei 110, Taiwan; [Le, Minh H. N.; Kha, Hien Quang; Nguyen, Phat Ky; Le, Nguyen Quoc Khanh] Taipei Med Univ, AIBioMed Res Grp, Taipei 110, Taiwan; [Le, Minh H. N.; Le, Hoai H.; Le, Nhi H. H.; Vu, Loc; Nguyen, Thach] Methodist Hosp, Cardiovasc Res Labs, Merrillville, IN 46410 USA; [Huynh, Han H.] Taipei Med Univ, Coll Med Sci &amp; Technol, Int Master Program Translat Sci, Taipei 110, Taiwan; [Huynh, Phat K.] North Carolina A&amp;T State Univ, Dept Ind &amp; Syst Engn, Greensboro, NC 27411 USA; [Nguyen, Dang] Harvard Univ, Harvard TH Chan Sch Publ Hlth, Boston, MA USA; [Le, Trang D. T.] Taipei Med Univ, Master Program Grad Inst Metab &amp; Obes Sci, Coll Nutr, Taipei 110, Taiwan; [Tran, Nghi, V] Marshall Univ, Joan C Edwards Sch Med, Dept Internal Med, Huntington, WV USA; [Bui, Quoc] Texas A&amp;M, Coll Med, Dept Internal Med, South Texas Hlth Syst GME Consortium, Edinburg, TX 78539 USA; [Duong, Thomas] Rice Univ, Dept Stat, Houston, TX USA; [Truong, Vien] Christ Hosp Hlth Network, Lindner Res Ctr, Dept Cardiol, Cincinnati, OH USA; [Nguyen, Thach] St Mary Hosp, Intervent Cardiol Dept, Hobart, IN 46342 USA; [Duong, Chi N.] Univ Massachusetts Lowell, Dept Biomed &amp; Nutr Sci, Lowell, MA 01854 USA; [Le, Nguyen Quoc Khanh] Taipei Med Univ, Coll Med, Inserv Master Program Artificial Intelligence Med, Taipei 110, Taiwan; [Le, Nguyen Quoc Khanh] Taipei Med Univ Hosp, Translat Imaging Res Ctr, Taipei 110, Taiwan; [Pham, Hoang Tran] Trinity Hlth Ann Arbor Hosp, Dept Internal Med, Ann Arbor, MI 48197 USA</t>
  </si>
  <si>
    <t>Taipei Medical University; Taipei Medical University; Taipei Medical University; University of North Carolina; North Carolina A&amp;T State University; Harvard University; Harvard T.H. Chan School of Public Health; Taipei Medical University; Marshall University; Rice University; Christ Hospital - Ohio; University of Massachusetts System; University of Massachusetts Lowell; Taipei Medical University; Taipei Medical University; Taipei Medical University Hospital</t>
  </si>
  <si>
    <t>Protective predictors of cardiovascular disease: an explainable AI approach</t>
  </si>
  <si>
    <t>PUBLIC HEALTH</t>
  </si>
  <si>
    <t>Cardiovascular disease; Explainable artificial intelligence; Machine learning; Predictive analytics; Protective factors; Health equity; Prevention</t>
  </si>
  <si>
    <t>HEALTH-INSURANCE; GLOBAL BURDEN; RISK-FACTORS</t>
  </si>
  <si>
    <t>Le, Minh H. N/I-8564-2016; Le, Nguyen Quoc Khanh/H-2057-2017; Vu, Loc/MSV-7921-2025</t>
  </si>
  <si>
    <t>Duong, Chi N/0000-0002-3117-8851; Tran, Viet Nghi/0000-0002-3834-9991; Le, Minh H. N/0000-0002-7728-1539; Huynh, Phat/0000-0001-5105-4832; Vu, Loc/0000-0002-4448-9421</t>
  </si>
  <si>
    <t>W B SAUNDERS CO LTD</t>
  </si>
  <si>
    <t>32 JAMESTOWN RD, LONDON NW1 7BY, ENGLAND</t>
  </si>
  <si>
    <t>0033-3506</t>
  </si>
  <si>
    <t>1476-5616</t>
  </si>
  <si>
    <t>Public Health</t>
  </si>
  <si>
    <t>250</t>
  </si>
  <si>
    <t>106050</t>
  </si>
  <si>
    <t>10.1016/j.puhe.2025.106050</t>
  </si>
  <si>
    <t>http://dx.doi.org/10.1016/j.puhe.2025.106050</t>
  </si>
  <si>
    <t>N5450</t>
  </si>
  <si>
    <t>41313957</t>
  </si>
  <si>
    <t>WOS:001631680600002</t>
  </si>
  <si>
    <t>Venema, J; De Luca, S; Mesejo, P; Ibáñez, O</t>
  </si>
  <si>
    <t>In forensic anthropology, legal age estimation means estimating the age of a subject in order to determine if it is above or below a specific legal threshold (typically 18 years old). It is of great importance in many different scenarios such as migration of undocumented minors, child brides, exploitation or trafficking. The main goal of this work is to develop a legal age estimation method, based on artificial intelligence, that can be applied in day-to-day forensic practice. For this purpose, we use a sample of 10,739 orthopantomographs of individuals ranging from 14-26 years, across twelve countries and four continents. Our best model fine-tuned ResNeXt50 (adapted to regression) and obtained a mean absolute error of 1.12 years in testing. When thresholding the regression estimates at 18 years old, it achieved a classification accuracy of 88.38 %. In order to show the validity of the model in real forensic scenarios, we evaluated it with four samples from population origins not seen during training. Over these samples, we obtained mean absolute errors between 1.21 and 1.47 years, and accuracies between 83 and 92 % when setting the 18-year threshold. Moreover, we obtained prediction intervals of different coverage levels to address the ethical problem of overestimating the age of a minor. This allows the model to estimate the minimum of an interval with a certain coverage level, where the higher the coverage the fewer minors are estimated as adults. As an example, if estimating the minimum of a prediction interval of 95 % coverage, 98.2 % of minors in the test set are classified as such. Our robustness to geographical origin, state-ofthe-art accuracy and the estimation of prediction intervals, which are the main contributions of this work, make the proposed method, to the best of our knowledge, the only one that has been proven to be applicable in real forensic scenarios. As a result, our method properly deals with the following principles of Ethics Guidelines for Trustworthy Artificial Intelligence: Human agency and oversight; Technical robustness and safety; Transparency; Diversity, non-discrimination and fairness; and Societal and environmental well-being. Furthermore, it provides both the most probable age and a prediction interval, which in turn allows the estimation of a minimum age with fixed statistical support. As a result, the developed method can be used in conjunction with other methods according to the European protocols of legal age estimation.</t>
  </si>
  <si>
    <t>Venema, Javier; De Luca, Stefano; Mesejo, Pablo; Ibanez, Oscar</t>
  </si>
  <si>
    <t>Ibáñez, O (corresponding author), Univ A Coruna, Fac Comp Sci, CITIC, Campus Elvina, La Coruna 15071, Spain.</t>
  </si>
  <si>
    <t>oscar.ibanez@udc.es</t>
  </si>
  <si>
    <t>European Union, Horizon 2020, Marie Sklodowska-Curie [H2020-MSCA-IF-2020]; Community of Madrid [09/942572.9/23]; MCIN/AEI [PID2021-122916NB-I00]; Consejeria de Universidad, Investigacion e Innovacion [B-TIC-456-UGR20]; MICIU/AEI [PID2024-156434NB-I00]; Spanish Ministry of Science, Innovation and Universities [RYC2020-029454-I]; Xunta de Galicia [ED431F 2022/21]; Centro de Investigacion de Galicia "CITIC", Xunta de Galicia ERDF [ED431G 2019/01]; Universidade da Coruna, CISUG</t>
  </si>
  <si>
    <t>European Union, Horizon 2020, Marie Sklodowska-Curie; Community of Madrid (Comunidad de Madrid); MCIN/AEI (Spanish Government); Consejeria de Universidad, Investigacion e Innovacion; MICIU/AEI (Spanish Government); Spanish Ministry of Science, Innovation and Universities (Spanish Government); Xunta de Galicia (Xunta de Galicia); Centro de Investigacion de Galicia "CITIC", Xunta de Galicia ERDF; Universidade da Coruna, CISUG</t>
  </si>
  <si>
    <t>This project has received funding from the European Union's Horizon 2020 research and innovation program under the Marie Sklodowska-Curie grant agreement No - UMAFAE - H2020-MSCA-IF-2020. Javier Venema's work is funded by Project number 09/942572.9/23 within the 2023 call for aid from the Community of Madrid to fi nance projects that have obtained a Seal of Excellence within the European Innovation Council's Accelerator Program. Dr. Mesejo's work is supported by grant CONFIA (PID2021-122916NB-I00) funded by MCIN/AEI/10.13039/501100011033, and by grant FORAGE (B-TIC-456-UGR20) funded by Consejeria de Universidad, Investigacion e Innovacion, both funded by "ERDF A way of making Europe". This publi cation is part of the R&amp;D&amp;I project PID2024-156434NB-I00 (CONFIA2) , funded by MICIU/AEI/10.13039/501100011033 and ERDF/EU. Dr. Ibanez's work is funded by the Spanish Ministry of Science, Innovation and Universities under grant RYC2020-029454-I and by Xunta de Galicia through grant ED431F 2022/21. We wish to acknowledge the support received from the Centro de Investigacion de Galicia "CITIC", funded by Xunta de Galicia and the European Union (European Regional Development Fund-Galicia 2014-2020 Program) , through grant ED431G 2019/01. Funding for open access charge: Universidade da Coruna, CISUG. We also want to thank Ivet Gil-Chavarria, Daniel Franklin, Akiko Kumagai, Aida Hadzic, Nikolaos Angelakopoulos, Luz Andrea Velandia Palacio, Galina Zolotenkova, Ivan Gali &amp; cacute;, Amal El Bakari, Jorge Pinares Toledo, Maria Moukarzel, Jeta Kelmendi, Lourdes Gomez Jimenez, Ayse Gulsahi, Burcak Cehreli, Mohd Yusmiaidil Putera Mohd Yusof, Ymelda Wendy Velezmoro Montes, Sudheer Balla, Sang Seob Lee, Enrico Spinas, Emilio Nuzzolese, Roberto Cameriere, Pia Genet and Cheraz Tafrount for providing us with the data used to develop and validate the proposed method.</t>
  </si>
  <si>
    <t>[Venema, Javier; Mesejo, Pablo; Ibanez, Oscar] Serv Anat Patol, Panacea Cooperat Res S Coop, C Ramon y Cajal 33, Ponferrada 24400, Spain; [Venema, Javier; Mesejo, Pablo] Univ Granada, Dept Comp Sci &amp; Artificial Intelligence, C Periodista Daniel Saucedo Aranda, Granada 18071, Spain; [Venema, Javier; Mesejo, Pablo; Ibanez, Oscar] DaSCI Inst, Andalusian Res Inst Data Sci &amp; Computat Intelligen, Av Conocimiento,37, Granada 18007, Spain; [Ibanez, Oscar] Univ A Coruna, Fac Comp Sci, CITIC, Campus Elvina, La Coruna 15071, Spain; [De Luca, Stefano] Univ Oviedo, Fac Biol, Dept Organism &amp; Syst Biol, C Catedrat Rodrigo Uria, Oviedo 33071, Spain</t>
  </si>
  <si>
    <t>University of Granada; Universidade da Coruna; University of Oviedo</t>
  </si>
  <si>
    <t>Trustworthy AI-based legal age estimation using orthopantomographs</t>
  </si>
  <si>
    <t>APPLIED SOFT COMPUTING</t>
  </si>
  <si>
    <t>Deep learning; Orthopantomography; Forensic anthropology; Legal medicine; Biological profile estimation; Legal age estimation; Artificial intelligence</t>
  </si>
  <si>
    <t>CHRONOLOGICAL AGE; NEURAL-NETWORKS; OPEN APICES; DENTAL AGE; ACCURACY; CHILDREN</t>
  </si>
  <si>
    <t>Ibáñez, Oscar/B-2680-2015; Mesejo, Pablo/K-4589-2014; de Luca, Stefano/U-3336-2017</t>
  </si>
  <si>
    <t>Ibáñez, Oscar/0000-0002-5301-8277; Mesejo, Pablo/0000-0001-9955-2101</t>
  </si>
  <si>
    <t>91</t>
  </si>
  <si>
    <t>1568-4946</t>
  </si>
  <si>
    <t>1872-9681</t>
  </si>
  <si>
    <t>APPL SOFT COMPUT</t>
  </si>
  <si>
    <t>Appl. Soft. Comput.</t>
  </si>
  <si>
    <t>114386</t>
  </si>
  <si>
    <t>10.1016/j.asoc.2025.114386</t>
  </si>
  <si>
    <t>http://dx.doi.org/10.1016/j.asoc.2025.114386</t>
  </si>
  <si>
    <t>U9218</t>
  </si>
  <si>
    <t>WOS:001639084200001</t>
  </si>
  <si>
    <t>Shaheen, I; Javaid, N; Ali, Z; Ahmed, I; Khan, FA; Pamucar, D</t>
  </si>
  <si>
    <t>Diabetes has become a severe and widespread chronic disease, making its early prediction crucial for effective intervention and management. With its rising global incidence, the development of robust and efficient predictive models is essential for timely diagnosis and accurate prediction. Despite the availability of numerous predictive models, existing methods often struggle with class imbalance, suboptimal and biased classification performance, and limited interpretability. To overcome these issues, this study proposes a trustworthy and patient privacy-aware framework for early and precise diabetes prediction. Firstly, the class imbalance issue in the dataset is mitigated by the proximity-weighted synthetic oversampling technique, which minimizes biased classification. Later, a novel deep learning model named Deep Residual Network (DRNet) is proposed to improve predictive performance by identifying complex patterns in the data. Experimental results demonstrate that DRNet outperforms baseline models, achieving improvements of 4.54% in accuracy, 3.48% in precision, 7.69% in Cohen's Kappa, 6.33% in Matthew's correlation coefficient, 2.28% in area under the receiver operating characteristic curve, 2.28% in precision-recall area under the curve, and 1.06% in recall. DRNet also exhibits a significant reduction in log loss with 30.43% and Hamming loss with 30%. The reliability of DRNet is confirmed using 10-fold cross validation and the Friedman test to assure consistency and robustness. Finally, explainable artificial intelligence techniques, such as local interpretable model-agnostic explanations and Shapley additive explanations, offer insights into the most contributing features both locally and globally, which leads to better interpretability and explainability. This framework aligns with the rising need for responsible AI solutions in healthcare, where transparency, trust, and data privacy have become necessary for patient-focused innovation.</t>
  </si>
  <si>
    <t>Shaheen, Ifra; Javaid, Nadeem; Ali, Zeeshan; Ahmed, Imran; Khan, Farrukh Aslam; Pamucar, Dragan</t>
  </si>
  <si>
    <t>[Shaheen, Ifra; Javaid, Nadeem] Natl Yunlin Univ Sci &amp; Technol, Int Grad Sch Artificial Intelligence, ComSens Lab, Touliu 64002, Yunlin, Taiwan; [Ali, Zeeshan] Natl Yunlin Univ Sci &amp; Technol, Dept Informat Management, Touliu 64002, Yunlin, Taiwan; [Ahmed, Imran] Anglia Ruskin Univ, Sch Comp &amp; Informat Sci, Cambridge, England; [Khan, Farrukh Aslam] King Saud Univ, Ctr Excellence Informat Assurance, Riyadh 11653, Saudi Arabia; [Pamucar, Dragan] Korea Univ, Coll Sci &amp; Technol, Dept Appl Math Sci, Sejong 30019, South Korea; [Pamucar, Dragan] Yuan Ze Univ, Dept Ind Engn &amp; Management, Taoyuan 320315, Taiwan; [Pamucar, Dragan] Dogus Univ, Fac Engn, TR-34775 Istanbul, Turkiye</t>
  </si>
  <si>
    <t>National Yunlin University Science &amp; Technology; National Yunlin University Science &amp; Technology; Anglia Ruskin University; King Saud University; Korea University; Yuan Ze University; Dogus University</t>
  </si>
  <si>
    <t>A trustworthy and patient privacy-conscious framework for early diabetes prediction using Deep Residual Networks and proximity-based data</t>
  </si>
  <si>
    <t>Artificial intelligence; Diabetes prediction; Explainable artificial intelligence; Friedman test; K-fold cross validation; LIME; Proximity weighted synthetic oversampling; SHAP; Privacy-conscious modeling; Trustworthy AI; Ethical data use</t>
  </si>
  <si>
    <t>Khan, Farrukh/J-8358-2019; Pamucar, Dragan/AAG-8288-2019; Javaid, Nadeem/B-8835-2014</t>
  </si>
  <si>
    <t>AHMED, IMRAN/0000-0002-7751-286X; Shaheen, Ifra/0009-0004-5070-4548; Javaid, Nadeem/0000-0003-3777-8249</t>
  </si>
  <si>
    <t>A</t>
  </si>
  <si>
    <t>108361</t>
  </si>
  <si>
    <t>10.1016/j.bspc.2025.108361</t>
  </si>
  <si>
    <t>http://dx.doi.org/10.1016/j.bspc.2025.108361</t>
  </si>
  <si>
    <t>6IP6S</t>
  </si>
  <si>
    <t>WOS:001554241000001</t>
  </si>
  <si>
    <t>Dhole, SV; Chougule, SR</t>
  </si>
  <si>
    <t>We suggest AI framework for UC diagnosis using Sparse Autoencoders (SA) for feature extraction combined with Explainable AI (XAI) utilizing Grad-CAM to provide a higher degree of interpretability for the model. SA is applied for dimensionality reduction of medical images to efficiently encode the images and preserve vital information required for diagnosis. Features so extracted are passed to a machine learning classifier for classification for detection of UC presence. Visualizations from Grad-CAM are utilized to demarcate areas critical for disease, like regions of inflammation, ulcers and mucosal patterns, so as to achieve transparency and also allow the clinicians to see why the model did what it did. The proposed SA-XAI model greatly surpasses competing models in their respective performance in accuracy, precision, recall and F1 score with remarkable results of 98 %, 97.5 %, 96.4 % and 95 % respectively. Coupling of Sparse Autoencoders with XAI, achieves high accuracy in diagnosis and gains clinician's confidence in AI model's decision-making transparent. Methodology include: center dot Sparse Autoencoders to extract and condense the most salient features from medical images. center dot Grad-CAM to highlight significant regions, which maintains model's decision making process transparent. center dot Has 98 % accuracy, 97.5 % precision, 96.4 % recall and 95 % F1 score for detecting UC.</t>
  </si>
  <si>
    <t>Dhole, Sumedh Vithalrao; Chougule, Sangeeta R.</t>
  </si>
  <si>
    <t>Dhole, SV (corresponding author), KITs Coll Engn Autonomous, Dept Elect &amp; Telecommun Engn, Kolhapur 416234, India.</t>
  </si>
  <si>
    <t>svdhole@bvucoep.edu.in</t>
  </si>
  <si>
    <t>[Dhole, Sumedh Vithalrao] KITs Coll Engn Autonomous, Dept Elect &amp; Telecommun Engn, Kolhapur 416234, India; [Chougule, Sangeeta R.] Kolhapur Inst Technol, Coll Engn, Kolhapur 416234, India; [Dhole, Sumedh Vithalrao] Bharati Vidyapeeth Deemed Univ, Coll Engn, Pune 411043, India</t>
  </si>
  <si>
    <t>College of Engineering Pune; Bharati Vidyapeeth Deemed University; Bharati Vidyapeeth Deemed University College of Engineering</t>
  </si>
  <si>
    <t>FastColitisDetector-XAI: An efficient AI model utilizing sparse Autoencoder with explainable AI for ulcerative colitis diagnosis</t>
  </si>
  <si>
    <t>METHODSX</t>
  </si>
  <si>
    <t>Ulcerative colitis; Medical image analysis; Sparse Autoencoders; Explainable AI; Grad-CAM; Medical diagnostics; Model transparency</t>
  </si>
  <si>
    <t>Dhole, Sumedh/AFX-3849-2022; Chougule, Sangeeta/CAF-6072-2022</t>
  </si>
  <si>
    <t>Chougule, Sangeeta/0000-0002-3201-2853</t>
  </si>
  <si>
    <t>2215-0161</t>
  </si>
  <si>
    <t>MethodsX</t>
  </si>
  <si>
    <t>103356</t>
  </si>
  <si>
    <t>10.1016/j.mex.2025.103356</t>
  </si>
  <si>
    <t>http://dx.doi.org/10.1016/j.mex.2025.103356</t>
  </si>
  <si>
    <t>2VB9E</t>
  </si>
  <si>
    <t>40488164</t>
  </si>
  <si>
    <t>WOS:001492018000001</t>
  </si>
  <si>
    <t>Martínez-Cid, S; Vallejo, D; Herrera, V; Schez-Sobrino, S; Castro-Schez, JJ; Albusac, JA</t>
  </si>
  <si>
    <t>The technological revolution driven by advancements in Artificial Intelligence (AI) is radically transforming various sectors, with healthcare among the most positively impacted. This article is situated within the context of such transformation, highlighting the contribution of AI in supporting professionals dedicated to the physical rehabilitation of stroke survivors. Our study focuses on the design of a Decision Support System (DSS) integrated within a comprehensive remote rehabilitation framework, consisting of two interconnected applications: one for the therapist, designed to define routines and monitor patients, and another for the patient, enabling autonomous rehabilitation exercises at home. This DSS employs fuzzy logic, significantly enhancing its scalability and interpretability. We propose a system capable of automatically suggesting personalized adjustments to a patient's rehabilitation routine based on their performance. Our approach can offer physiotherapists considerable time savings by automating routine adjustments, thereby allowing them to allocate more attention to personalized patient care and complex case analysis. Furthermore, this system incorporates principles of Artificial Intelligence (XAI), providing justifications for its suggestions. This affords therapists a stronger basis for validating or rejecting the proposed modifications by the artificial system. The paper presents a case study where a stroke patient's rehabilitation routine is automatically adjusted by the system, demonstrating the applicability and benefits of our approach. The routine generated by the artificial system is compared with the routine that a physiotherapist could potentially assign and modify manually when monitoring the progress of a stroke patient. Finally, the findings of a preliminary evaluation with patients and therapists in a hospital are also discussed.</t>
  </si>
  <si>
    <t>Martinez-Cid, Sergio; Vallejo, David; Herrera, Vanesa; Schez-Sobrino, Santiago; Castro-Schez, Jose J.; Albusac, Javier A.</t>
  </si>
  <si>
    <t>Vallejo, D (corresponding author), Univ Castilla La Mancha, Dept Informat Technol &amp; Syst, P Univ 4, Ciudad Real 13071, Spain.</t>
  </si>
  <si>
    <t>David.Vallejo@uclm.es; JoseJesus.Castro@uclm.es; JavierAlonso.Albusac@uclm.es; Vanesa.Herrera@uclm.es; Santiago.Sanchez@uclm.es; Sergio.Martinez34@alu.uclm.es</t>
  </si>
  <si>
    <t>University of Castilla-La Mancha (Spain) [2023-GRIN-34400]; Spanish Ministry of Science, Innovation and Universities [PID2020-117361RB-C21, PID2020-117361RB-C22]</t>
  </si>
  <si>
    <t>University of Castilla-La Mancha (Spain); Spanish Ministry of Science, Innovation and Universities (Spanish Government)</t>
  </si>
  <si>
    <t>This work has been funded by University of Castilla-La Mancha (Spain) under Project ID 2023-GRIN-34400 and by the Spanish Ministry of Science, Innovation and Universities under the Research Project: Platform for Upper Extremity Rehabilitation based on Immersive Virtual Reality (Rehab-Immersive), PID2020-117361RB-C21 and PID2020-117361RB-C22. We would like to thank both patients and medical staff at the National Hospital for Paraplegics in Toledo for their willingness to facilitate the preliminary assessment discussed in this paper, especially Ana de los Reyes Guzman and Raquel Perales Gomez. Moreover, the authors want to acknowledge Ana I. Molina and Carmen Lacave for the design of the quasiexperiment discussed in this research work.</t>
  </si>
  <si>
    <t>[Martinez-Cid, Sergio; Vallejo, David; Herrera, Vanesa; Schez-Sobrino, Santiago; Castro-Schez, Jose J.; Albusac, Javier A.] Univ Castilla La Mancha, Dept Informat Technol &amp; Syst, P Univ 4, Ciudad Real 13071, Spain</t>
  </si>
  <si>
    <t>Universidad de Castilla-La Mancha</t>
  </si>
  <si>
    <t>Explainable AI-driven decision support system for personalizing rehabilitation routines in stroke recovery</t>
  </si>
  <si>
    <t>PROGRESS IN ARTIFICIAL INTELLIGENCE</t>
  </si>
  <si>
    <t>Decision support systems; Remote rehabilitation; Explainable AI; Soft computing; Health</t>
  </si>
  <si>
    <t>ARTIFICIAL-INTELLIGENCE; OPERATORS; MODEL; COPD</t>
  </si>
  <si>
    <t>Vallejo, David/AAA-9827-2019; Martínez Cid, Sergio/KIH-0565-2024; Castro-Schez, Jose Jesus/E-8934-2012; Schez-Sobrino, Santiago/PSK-4648-2026</t>
  </si>
  <si>
    <t>Vallejo, David/0000-0002-6001-7192; Martínez Cid, Sergio/0009-0009-8976-4974; Herrera Tirado, Vanesa/0000-0002-6187-4794; Albusac Jiménez, Javier Alonso/0000-0003-1889-3065; Castro-Schez, Jose Jesus/0000-0002-0201-7653; Schez-Sobrino, Santiago/0000-0001-6620-1719</t>
  </si>
  <si>
    <t>SPRINGERNATURE</t>
  </si>
  <si>
    <t>CAMPUS, 4 CRINAN ST, LONDON, N1 9XW, ENGLAND</t>
  </si>
  <si>
    <t>2192-6352</t>
  </si>
  <si>
    <t>2192-6360</t>
  </si>
  <si>
    <t>PROG ARTIF INTELL</t>
  </si>
  <si>
    <t>Prog. Artif. Intell.</t>
  </si>
  <si>
    <t>10.1007/s13748-024-00357-6</t>
  </si>
  <si>
    <t>http://dx.doi.org/10.1007/s13748-024-00357-6</t>
  </si>
  <si>
    <t>R0B6Q</t>
  </si>
  <si>
    <t>WOS:001388221000001</t>
  </si>
  <si>
    <t>Pavanya, M; Chadaga, K; Vennila, J; Vasudeva, A; Rao, BK; Bhat, SK</t>
  </si>
  <si>
    <t>Foetal outcomes with reduced foetal movements in the later pregnancy are widely reported. We intend to quantify early foetal movements (FMs) through a checklist and their foetal outcomes via explainable artificial intelligence. It is a prospective observational study of 356 foetuses in the first trimester, and we were able to screen only 230 foetuses for early foetal growth restriction (FGR). Of which 26 were FGR and 204 were normal and were identified from the dataset using non-probability convenience sampling techniques. JASP 0.18.3, Jamovi 2.3.21, and Google Collaboratory were used to construct the predictive model. Ultrasound scores of more than 8 had favourable indicators of a normal foetus. CatBoost had the highest accuracy and recall of 87; the highest precision of 79 was given by random forest (RF), decision tree (DT), K-nearest neighbour (KNN), and CatBoost; and the F1 score of 83 was given by CatBoost. The lowest Hamming loss of 0.13 was obtained via CatBoost. The highest Jaccard score of 0.87 was by CatBoost. The stacked model has an accuracy of 89, a precision of 79, and a recall of 83. Shapley additive explanations (SHAP), local interpretable model-agnostic explanations (LIME), QLattice, and Anchor also provided good explanations. The created model can serve as a warning tool to obstetricians to make timely medical decisions.</t>
  </si>
  <si>
    <t>Pavanya, Manohar; Chadaga, Krishnaraj; Vennila, J.; Vasudeva, Akhila; Rao, Bhamini Krishna; Bhat, Shashikala K.</t>
  </si>
  <si>
    <t>Bhat, SK (corresponding author), Manipal Acad Higher Educ, Melaka Manipal Med Coll, Dr TMA Pai Hosp Udupi, Dept Obstet &amp; Gynecol, Manipal, Karnataka, India.; Chadaga, K (corresponding author), Manipal Acad Higher Educ, Manipal Inst Technol, Manipal, India.</t>
  </si>
  <si>
    <t>shashikala.bhat@manipal.edu; krishnaraj.chadaga@manipal.edu</t>
  </si>
  <si>
    <t>[Pavanya, Manohar; Bhat, Shashikala K.] Manipal Acad Higher Educ, Melaka Manipal Med Coll, Dr TMA Pai Hosp Udupi, Dept Obstet &amp; Gynecol, Manipal, Karnataka, India; [Chadaga, Krishnaraj] Manipal Acad Higher Educ, Manipal Inst Technol, Manipal, India; [Vennila, J.] Manipal Acad Higher Educ, Manipal Coll Hlth Profess, Stat, Manipal, Karnataka, India; [Vasudeva, Akhila] Manipal Acad Higher Educ, Kasturba Med Coll, Dept Obstet &amp; Gynaecol, Div Fetal Med, Manipal, Karnataka, India; [Rao, Bhamini Krishna] Manipal Acad Higher Educ, Manipal Coll Hlth Profess, Dept Physiotherapy, Manipal, Karnataka, India</t>
  </si>
  <si>
    <t>Manipal Academy of Higher Education (MAHE); Manipal Academy of Higher Education (MAHE); Manipal Academy of Higher Education (MAHE); Manipal Academy of Higher Education (MAHE); Kasturba Medical College, Manipal; Manipal Academy of Higher Education (MAHE)</t>
  </si>
  <si>
    <t>A Model of the First Trimester Evaluation of Foetal Movements and Their Outcomes via Explainable Artificial Intelligence: A Multicentric Study</t>
  </si>
  <si>
    <t>HEALTHCARE TECHNOLOGY LETTERS</t>
  </si>
  <si>
    <t>early FGR; explainable artificial intelligence; FTAS; foetal movements; nuchal translucency</t>
  </si>
  <si>
    <t>BEHAVIOR; VALIDATION; ULTRASOUND; EMERGENCE</t>
  </si>
  <si>
    <t>Chadaga, Krishnaraj/AAX-7126-2021; /ACZ-5278-2022; Vasudeva, Akhila/P-9103-2019</t>
  </si>
  <si>
    <t>2053-3713</t>
  </si>
  <si>
    <t>HEALTHC TECHNOL LETT</t>
  </si>
  <si>
    <t>Healthc. Technol. Lett.</t>
  </si>
  <si>
    <t>e70014</t>
  </si>
  <si>
    <t>10.1049/htl2.70014</t>
  </si>
  <si>
    <t>http://dx.doi.org/10.1049/htl2.70014</t>
  </si>
  <si>
    <t>AC0WL</t>
  </si>
  <si>
    <t>40963798</t>
  </si>
  <si>
    <t>WOS:001644586700022</t>
  </si>
  <si>
    <t>Nemteanu, I; Mancebo, A Jr; Joe, L; Lopez, R; Lopez, P; Pettine, WW</t>
  </si>
  <si>
    <t>Artificial intelligence (AI) is transforming patient care, but it also raises ethical questions, such as bias and transparency. While a range of well-established frameworks exist to guide responsible AI practice, most were designed for academic or regulatory settings and can be hard to operationalize within fast-moving, resource-limited small and medium-sized enterprises (SMEs). We report on the collaborative design of the SAFE-AI (Scalable Agile Framework for Execution in AI), an approach that embeds ethical safeguards, including fairness, transparency, responsibility metrics, and continuous monitoring, directly into standard Agile development cycles. In keeping with established Agile principles, SAFE-AI provides "just enough structure" to integrate ethical oversight into existing workflows without prescribing extensive new governance layers. Similar to other Agile frameworks, such as Scrum, which is described as a "lightweight framework" designed to help teams solve complex problems through iterative learning and minimal process overhead, SAFE-AI aims to remain practical for organizations that may not have dedicated ethics or compliance staff. Rather than simplifying technical methods, SAFE-AI simplifies when and how ethical review is triggered and documented, making responsible AI practices feasible even in environments with limited ethics, governance, or compliance resources. SAFE-AI assumes the presence of qualified data scientists and engineers, and it does not replace the need for statistical or technical expertise but instead provides a lightweight structure for coordinating and documenting work that those experts already perform. We followed a design-science, practice-oriented approach over 20 weeks. After a discovery workshop, a cross-functional team was assembled that included SME employees, ethics researchers, and academic partners. The SME's role was limited to informing design constraints and feasibility considerations during the co-design phase. No operational pilot or production deployment was conducted as part of this study. To reduce the risk of internal design bias and improve generalizability, we also consulted external stakeholders through structured feedback sessions, including clinicians, health care domain experts, and regulatory specialists. Their feedback was incorporated into each prototype-feedback cycle, ensuring that priorities reflected not only the SME's immediate context but also broader clinical and regulatory perspectives. The co-design process produced a 4-phase SAFE-AI life cycle: discovery, assessment, development, and monitoring. SAFE-AI's phase-specific checklists meld acceptance, fairness, and transparency metrics into each Agile sprint. A novel scenario-based probability analogy mapping method was added to translate model risk and uncertainty into plain-language narratives for nontechnical stakeholders, forming the framework's core "responsibility metrics" layer. SAFE-AI is presented as a proposed framework showing that meaningful ethical safeguards can be embedded easily within common workflows used by SMEs that already use basic Agile or iterative development practices. Its checklist-driven phases and automatic review triggers provide a defensible way to track fairness, transparency, and responsibility throughout the model lifecycle.</t>
  </si>
  <si>
    <t>Nemteanu, Ion; Mancebo Jr, Adir; Joe, Leslie; Lopez, Ryan; Lopez, Patricia; Pettine, Warren Woodrich</t>
  </si>
  <si>
    <t>Pettine, WW (corresponding author), Univ Utah, Dept Psychiat, 501 Chipeta Way, Salt Lake City, UT 84108 USA.</t>
  </si>
  <si>
    <t>warren.pettine@hsc.utah.edu</t>
  </si>
  <si>
    <t>National Institute on Aging's Artificial Intelligence and Technology Collaboratories for Aging Research [P30AG073104]; US Army xTech AI Grand Challenge; Huntsman Mental Health Foundation; Mountain Biometrics, Inc.; Data Science Alliance; Nemsee, LLC</t>
  </si>
  <si>
    <t>National Institute on Aging's Artificial Intelligence and Technology Collaboratories for Aging Research; US Army xTech AI Grand Challenge; Huntsman Mental Health Foundation; Mountain Biometrics, Inc.; Data Science Alliance; Nemsee, LLC</t>
  </si>
  <si>
    <t>This study was partially supported by the National Institute on Aging's Artificial Intelligence and Technology Collaboratories for Aging Research Grant P30AG073104 (WWP) , the US Army xTech AI Grand Challenge (WWP) , the Huntsman Mental Health Foundation (WWP) ; as well as Mountain Biometrics, Inc. (WWP) , Nemsee, LLC (IN) , and the Data Science Alliance (AM, LJ, RL, and PL) . The views and conclusions contained herein are those of the authors and should not be interpreted as necessarily representing the official policies, either expressed or implied, of the US Army or the US Government.</t>
  </si>
  <si>
    <t>[Nemteanu, Ion] Nemsee LLC, San Diego, CA USA; [Mancebo Jr, Adir; Joe, Leslie; Lopez, Ryan; Lopez, Patricia] Data Sci Alliance, San Diego, CA USA; [Pettine, Warren Woodrich] Univ Utah, Dept Psychiat, 501 Chipeta Way, Salt Lake City, UT 84108 USA; [Pettine, Warren Woodrich] Mt Biometr Inc, Salt Lake City, UT USA</t>
  </si>
  <si>
    <t>Utah System of Higher Education; University of Utah</t>
  </si>
  <si>
    <t>Scalable Agile Framework for Execution in AI for Medical AI Ethics Policy Design in Small-and Medium-Sized Enterprises</t>
  </si>
  <si>
    <t>JOURNAL OF MEDICAL INTERNET RESEARCH</t>
  </si>
  <si>
    <t>digital health; eHealth; artificial intelligence; machine learning; medical ethics; small business; agile methodology; software development life cycle; risk assessment; fairness metrics; transparency; trustworthy AI</t>
  </si>
  <si>
    <t>Lopez, Patricia/0009-0008-7095-6485; Joe, Leslie/0009-0006-2399-2788; Mancebo, Adir/0009-0007-4791-8950</t>
  </si>
  <si>
    <t>JMIR PUBLICATIONS, INC</t>
  </si>
  <si>
    <t>TORONTO</t>
  </si>
  <si>
    <t>130 QUEENS QUAY East, Unit 1100, TORONTO, ON M5A 0P6, CANADA</t>
  </si>
  <si>
    <t>1439-4456</t>
  </si>
  <si>
    <t>1438-8871</t>
  </si>
  <si>
    <t>J MED INTERNET RES</t>
  </si>
  <si>
    <t>J. Med. Internet Res.</t>
  </si>
  <si>
    <t>FEB 25 2026</t>
  </si>
  <si>
    <t>e80028</t>
  </si>
  <si>
    <t>10.2196/80028</t>
  </si>
  <si>
    <t>http://dx.doi.org/10.2196/80028</t>
  </si>
  <si>
    <t>EY0VJ</t>
  </si>
  <si>
    <t>41740154</t>
  </si>
  <si>
    <t>WOS:001712476200008</t>
  </si>
  <si>
    <t>Rahat, MMA; Islam, MI; Miah, MSU; Alharbi, T</t>
  </si>
  <si>
    <t>While the global burden of COVID-19 has eased due to widespread vaccination and public health efforts, the virus has not been eradicated. New variants continue to emerge, and localized outbreaks remain a concern, particularly in regions with limited healthcare resources. This highlights the ongoing need for rapid, accurate, and scalable diagnostic tools. In this study, a comprehensive deep learning framework for detecting COVID-19 from lung CT scans is presented, aimed at improving diagnostic reliability and computational efficiency. An extensive and diverse CT dataset was curated by combining images from nine publicly available datasets, with a total of 25,408 samples in COVID-19 and normal classes. Multiple state-of-the-art convolutional neural networks (CNNs) and vision transformer models were fine-tuned and evaluated under consistent conditions to build a strong performance benchmark. Based on these findings, a new lightweight parallel model was developed, combining a custom CNN and a pretrained backbone. Both networks process the input image independently, and their extracted features are fused at the final stage for classification. The proposed model demonstrated higher accuracy (97.46%) compared to other models tested in this study, while maintaining low computational complexity. Additionally, explainable AI techniques, including Grad-CAM and LIME, were employed to provide visual interpretations of the model's predictions.</t>
  </si>
  <si>
    <t>Rahat, Md. Mahid Arfan; Islam, Md. Imamul; Miah, Md Saef Ullah; Alharbi, Talal</t>
  </si>
  <si>
    <t>Alharbi, T (corresponding author), Qassim Univ, Coll Engn, Dept Elect Engn, Buraydah 52571, Saudi Arabia.</t>
  </si>
  <si>
    <t>atalal@qu.edu.sa</t>
  </si>
  <si>
    <t>Deanship of Graduate Studies and Scientific Research at Qassim University [QU-APC-2026]</t>
  </si>
  <si>
    <t>The Researchers would like to thank the Deanship of Graduate Studies and Scientific Research at Qassim University for financial support (QU-APC-2026).</t>
  </si>
  <si>
    <t>[Rahat, Md. Mahid Arfan] Green Univ Bangladesh, Dept Elect &amp; Elect Engn, Narayanganj 1461, Bangladesh; [Islam, Md. Imamul] Bangladesh Univ Business &amp; Technol, Dept Elect &amp; Elect Engn, Dhaka 1216, Bangladesh; [Miah, Md Saef Ullah] Amer Int Univ Bangladesh, Dhaka 1229, Bangladesh; [Alharbi, Talal] Qassim Univ, Coll Engn, Dept Elect Engn, Buraydah 52571, Saudi Arabia</t>
  </si>
  <si>
    <t>Bangladesh University of Business &amp; Technology (BUBT); American International University Bangladesh (AIUB); Qassim University</t>
  </si>
  <si>
    <t>An efficient dual path deep learning framework for COVID-19 classification using lung CT scans with explainable AI</t>
  </si>
  <si>
    <t>COVID-19 classification; Lung CT scan; Deep learning; Medical image analysis; Computer-aided diagnosis; Feature fusion; Parallel architecture; Dual-path network; Explainable AI</t>
  </si>
  <si>
    <t>Alharbi, Talal/X-6740-2019; Islam, Imamul/IUM-8002-2023; Miah, Md./AGH-4618-2022</t>
  </si>
  <si>
    <t>Islam, Imamul/0000-0003-0253-5474; , Mahid Arfan Rahat/0009-0008-9067-7299</t>
  </si>
  <si>
    <t>JAN 24 2026</t>
  </si>
  <si>
    <t>3687</t>
  </si>
  <si>
    <t>10.1038/s41598-025-33178-1</t>
  </si>
  <si>
    <t>http://dx.doi.org/10.1038/s41598-025-33178-1</t>
  </si>
  <si>
    <t>CT5AO</t>
  </si>
  <si>
    <t>41580460</t>
  </si>
  <si>
    <t>WOS:001674052400002</t>
  </si>
  <si>
    <t>Fumanal-Idocin, J; Andreu-Perez, J</t>
  </si>
  <si>
    <t>Understanding the decisions taken by machine learning systems is instrumental in their deployment in real -world systems, as it enables responsible decision -making, fosters trust, and facilitates debugging and improvement. The research field devoted to studying the techniques that explain and illustrate those decisions is called explainable AI. Fuzzy logic, with its interpretable fuzzy rule -based inference, has emerged as a popular tool for Explainable AI because of these interpretable classifiers. However, current fuzzy logic libraries provide limited inference capabilities and integration to machine learning or are only available in the Java or R language, which makes their integration with the standard machine libraries in Python challenging. This paper describes a software library that contains a Python implementation to perform fuzzy inference using different kinds of fuzzy sets, with a special focus on result visualization. This library follows the scikit-learn programming interface, enabling researchers to utilize it with minimum fuzzy logic background seamlessly. This toolkit unveils novel tools for programming fuzzy systems that are learnable using machine learning methods, leading to data -powered systems that maintain full transparency and accountability, accessible to virtually anyone without specialized AI training. The interpretability of these systems makes them highly valuable in industries like healthcare, law, and security.</t>
  </si>
  <si>
    <t>Fumanal-Idocin, Javier; Andreu-Perez, Javier</t>
  </si>
  <si>
    <t>Andreu-Perez, J (corresponding author), Univ Essex, Ctr Computat Intelligence, Sch Comp Sci &amp; Elect Engn, Colchester, England.</t>
  </si>
  <si>
    <t>j.andreu-perez@essex.ac.uk</t>
  </si>
  <si>
    <t>European Union; University of Essex, United Kingdom under Marie Sklodowska-Curie YUFE4 postdoc action</t>
  </si>
  <si>
    <t>European Union (European Union (EU)); University of Essex, United Kingdom under Marie Sklodowska-Curie YUFE4 postdoc action</t>
  </si>
  <si>
    <t>Javier Fumanal-Idocin research has been supported by the European Union and the University of Essex, United Kingdom under a Marie Sklodowska-Curie YUFE4 postdoc action. The authors would also like to thank for their feedback and appraisal to: Hani Hagras, Humberto Bustince Sola, Iosu Rodriguez-Martinez, Asier Urio-Larrea, Mehrin Kiani and Jessica Caterson.</t>
  </si>
  <si>
    <t>[Fumanal-Idocin, Javier; Andreu-Perez, Javier] Univ Essex, Ctr Computat Intelligence, Sch Comp Sci &amp; Elect Engn, Colchester, England</t>
  </si>
  <si>
    <t>University of Essex</t>
  </si>
  <si>
    <t>Ex-Fuzzy: A library for symbolic explainable AI through fuzzy logic programming</t>
  </si>
  <si>
    <t>NEUROCOMPUTING</t>
  </si>
  <si>
    <t>Fuzzy logic; Python software; Fuzzy rules classifier; Explainable AI</t>
  </si>
  <si>
    <t>ALGORITHM</t>
  </si>
  <si>
    <t>Fumanal Idocin, Javier/HKW-0403-2023; Andreu-Perez, Javier/AAQ-2360-2020</t>
  </si>
  <si>
    <t>Fumanal Idocin, Javier/0000-0002-0644-1355; Andreu-Perez, Javier/0000-0002-7421-4808</t>
  </si>
  <si>
    <t>0925-2312</t>
  </si>
  <si>
    <t>1872-8286</t>
  </si>
  <si>
    <t>Neurocomputing</t>
  </si>
  <si>
    <t>SEP 28 2024</t>
  </si>
  <si>
    <t>599</t>
  </si>
  <si>
    <t>128048</t>
  </si>
  <si>
    <t>10.1016/j.neucom.2024.128048</t>
  </si>
  <si>
    <t>http://dx.doi.org/10.1016/j.neucom.2024.128048</t>
  </si>
  <si>
    <t>XM4J8</t>
  </si>
  <si>
    <t>WOS:001262084200001</t>
  </si>
  <si>
    <t>Li, SP; Bao, LX; Li, SK; Wan, B</t>
  </si>
  <si>
    <t>PurposeMedical decision-making (MDM) is a complex clinical reasoning process that requires the systematic integration of multidisciplinary knowledge and evidence. Current approaches based on large language models (LLMs) are constrained by their reliance on static training corpora and often exhibit limited domain-specific adaptation, which can compromise diagnostic accuracy and reliability. This study aims to overcome these limitations by developing a framework that enables LLMs to dynamically acquire and refine knowledge during test time, thereby enhancing the robustness and precision of MDM systems.MethodsWe propose a test-time optimization framework that refines a frozen LLM's diagnostic reasoning through test-time knowledge acquisition and integration. For each medical query, the model generates multiple trajectories that are synthesized into a pseudo reference answer, whose self-consistency score separates confident from unconfident cases. Confident cases enable reward-guided reflection to extract reliable diagnostic heuristics, while unconfident cases undergo unsupervised reflection to reveal reasoning gaps and uncertainty patterns. The extracted knowledge is continually incorporated into an evolving, capacity-controlled knowledge base through operations that add, modify, or merge knowledge. This updated knowledge base then guides subsequent inference, allowing the model to adapt its reasoning strategy during test time without updating any parameters.ResultsExperimental evaluations on three public medical decision-making benchmarks-MedQA, NEJMQA, and MMLU-Pro-Health-show that the proposed framework consistently improves the performance of the state-of-the-art LLM, DeepSeekv3.2 Exp 671B. For example, on the MMLU-Pro-Health dataset, our method achieved an average accuracy of 79.22%, surpassing DeepSeekv3.2 Exp 671B by 1.84 percentage points, thus demonstrating the effectiveness of the framework in enhancing diagnostic decision-making.ConclusionBy leveraging inference-time self-evaluation and experience accumulation, this work introduces a new paradigm for building reliable, adaptive, and context-aware medical AI systems. It underscores the critical role of continual knowledge evolution in advancing trustworthy artificial intelligence for clinical decision support and lays the foundation for future developments in dynamic and responsive medical reasoning tools.</t>
  </si>
  <si>
    <t>Li, Shipeng; Bao, Liuxin; Li, Shikun; Wan, Bo</t>
  </si>
  <si>
    <t>Li, SK (corresponding author), Hong Kong Baptist Univ, Dept Comp Sci, Kowloon Tong, Waterloo Rd, Hong Kong, Peoples R China.; Wan, B (corresponding author), Shanghai Jiao Tong Univ, Renji Hosp, Sch Med, Dept Dermatol, Pujian Rd, Shanghai 200127, Peoples R China.</t>
  </si>
  <si>
    <t>shikunli.ml@gmail.com; lxbao@hdu.edu.cn; shipengli.nju@gmail.com; wblu@163.com</t>
  </si>
  <si>
    <t>[Li, Shipeng] Nanjing Univ, Sch Intelligent Sci &amp; Technol, Taihu Ave, Suzhou 215163, Jiangsu, Peoples R China; [Bao, Liuxin] Hangzhou Dianzi Univ, Sch Automat, Wenyi Rd, Hangzhou 310018, Zhejiang, Peoples R China; [Li, Shikun] Hong Kong Baptist Univ, Dept Comp Sci, Kowloon Tong, Waterloo Rd, Hong Kong, Peoples R China; [Wan, Bo] Shanghai Jiao Tong Univ, Renji Hosp, Sch Med, Dept Dermatol, Pujian Rd, Shanghai 200127, Peoples R China</t>
  </si>
  <si>
    <t>Nanjing University; Hangzhou Dianzi University; Hong Kong Baptist University; Shanghai Jiao Tong University</t>
  </si>
  <si>
    <t>Enhancing LLM-based medical decision-making by test-time knowledge acquisition</t>
  </si>
  <si>
    <t>HEALTH INFORMATION SCIENCE AND SYSTEMS</t>
  </si>
  <si>
    <t>Medical decision-making; Large language model; Dynamic knowledge acquisition; Test-time compute</t>
  </si>
  <si>
    <t>Bao, Liuxin/KFR-1828-2024</t>
  </si>
  <si>
    <t>2047-2501</t>
  </si>
  <si>
    <t>HEALTH INF SCI SYST</t>
  </si>
  <si>
    <t>Health Inf. Sci. Syst.</t>
  </si>
  <si>
    <t>10.1007/s13755-026-00449-8</t>
  </si>
  <si>
    <t>http://dx.doi.org/10.1007/s13755-026-00449-8</t>
  </si>
  <si>
    <t>GC6HU</t>
  </si>
  <si>
    <t>41953846</t>
  </si>
  <si>
    <t>WOS:001733205200001</t>
  </si>
  <si>
    <t>Green Accepted</t>
  </si>
  <si>
    <t>Roschewitz, M; Khara, G; Yearsley, J; Sharma, N; James, JJ; Ambrózay, E; Heroux, A; Kecskemethy, P; Rijken, T; Glocker, B</t>
  </si>
  <si>
    <t>Image-based prediction models for disease detection are sensitive to changes in data acquisition such as the replacement of scanner hardware or updates to the image processing software. The resulting differences in image characteristics may lead to drifts in clinically relevant performance metrics which could cause harm in clinical decision making, even for models that generalise in terms of area under the receiver-operating characteristic curve. We propose Unsupervised Prediction Alignment, a generic automatic recalibration method that requires no ground truth annotations and only limited amounts of unlabelled example images from the shifted data distribution. We illustrate the effectiveness of the proposed method to detect and correct performance drift in mammography-based breast cancer screening and on publicly available histopathology data. We show that the proposed method can preserve the expected performance in terms of sensitivity/specificity under various realistic scenarios of image acquisition shift, thus offering an important safeguard for clinical deployment.Automatic correction of performance drift caused by changes in image acquisition is key for safe AI deployment. Here, the authors present a solution that restores the expected clinical performance of image classification systems in breast screening and histopathology.</t>
  </si>
  <si>
    <t>Roschewitz, Melanie; Khara, Galvin; Yearsley, Joe; Sharma, Nisha; James, Jonathan J.; Ambrozay, Eva; Heroux, Adam; Kecskemethy, Peter; Rijken, Tobias; Glocker, Ben</t>
  </si>
  <si>
    <t>Roschewitz, M; Glocker, B (corresponding author), Kheiron Med Technol, London, England.; Roschewitz, M; Glocker, B (corresponding author), Imperial Coll London, Dept Comp, London, England.</t>
  </si>
  <si>
    <t>mb121@imperial.ac.uk; b.glocker@imperial.ac.uk</t>
  </si>
  <si>
    <t>B.G. is grateful for the support from the Royal Academy of Engineering as part of his Kheiron Medical Technologies/RAEng Research Chair in Safe Deployment of Medical Imaging AI.; Royal Academy of Engineering</t>
  </si>
  <si>
    <t>B.G. is grateful for the support from the Royal Academy of Engineering as part of his Kheiron Medical Technologies/RAEng Research Chair in Safe Deployment of Medical Imaging AI.; Royal Academy of Engineering (Royal Academy of Engineering - UK)</t>
  </si>
  <si>
    <t>B.G. is grateful for the support from the Royal Academy of Engineering as part of his Kheiron Medical Technologies/RAEng Research Chair in Safe Deployment of Medical Imaging AI.</t>
  </si>
  <si>
    <t>[Roschewitz, Melanie; Khara, Galvin; Yearsley, Joe; Heroux, Adam; Kecskemethy, Peter; Rijken, Tobias; Glocker, Ben] Kheiron Med Technol, London, England; [Roschewitz, Melanie; Glocker, Ben] Imperial Coll London, Dept Comp, London, England; [Sharma, Nisha] Leeds Teaching Hosp NHS Trust, Dept Radiol, Leeds, England; [James, Jonathan J.] Nottingham Univ Hosp NHS Trust, Nottingham City Hosp, Nottingham Breast Inst, Nottingham, England; [Ambrozay, Eva] MaMMa Egeszsegugy Zrt, Budapest, Hungary</t>
  </si>
  <si>
    <t>Imperial College London; Leeds General Infirmary; University of Leeds; Nottingham University Hospital NHS Trust; Nottingham City Hospital</t>
  </si>
  <si>
    <t>Automatic correction of performance drift under acquisition shift in medical image classification</t>
  </si>
  <si>
    <t>Glocker, Ben/MNO-6603-2025</t>
  </si>
  <si>
    <t>, Tobias/0009-0005-1522-5418; Glocker, Ben/0000-0002-4897-9356</t>
  </si>
  <si>
    <t>OCT 19 2023</t>
  </si>
  <si>
    <t>6608</t>
  </si>
  <si>
    <t>10.1038/s41467-023-42396-y</t>
  </si>
  <si>
    <t>http://dx.doi.org/10.1038/s41467-023-42396-y</t>
  </si>
  <si>
    <t>X7KN2</t>
  </si>
  <si>
    <t>37857643</t>
  </si>
  <si>
    <t>WOS:001100196000023</t>
  </si>
  <si>
    <t>Yu, XX; Chen, YX; Zhao, Q; Li, HM</t>
  </si>
  <si>
    <t>This research investigates the interplay between trust and control in the context of AI-enabled healthcare decision-making using a cybernetic approach to how clinicians adjust their trust toward AI-powered clinical decision support systems. It seeks to uncover the barriers to AI implementation within clinical practices regarding dependency and trust towards AI technologies. Forty-two clinicians who used an AI-powered clinical decision support system in radiology participated in an empirical mixed-method study. Participants interpreted x-ray images with different levels of AI control and transparency. Trust ratings, override behaviors, and decision accuracy were captured and analyzed with t-tests, ANOVA, and regression models. Trust dynamics were explored through semi-structured interviews. The findings reveal that when the AI adheres to clinical reasoning, its transparency boosts trust, yet it diminishes confidence when an error occurs.</t>
  </si>
  <si>
    <t>Yu, Xiaoxuan; Chen, Yixin; Zhao, Qian; Li, Hongming</t>
  </si>
  <si>
    <t>Yu, XX (corresponding author), Northeastern Univ, Sch Humanities &amp; Law, Shenyang, Peoples R China.</t>
  </si>
  <si>
    <t>yuxiaoxuan@mail.neu.edu.cn</t>
  </si>
  <si>
    <t>Youth Project of Liaoning Provincial Social Sciences Association: "Research on the Application of Liaoning's Red Culture in the Construction of 'Grand Ideological and Political Courses'", 2024 [2025lslqnkt-009]</t>
  </si>
  <si>
    <t>Youth Project of Liaoning Provincial Social Sciences Association: "Research on the Application of Liaoning's Red Culture in the Construction of 'Grand Ideological and Political Courses'", 2024</t>
  </si>
  <si>
    <t>This research was supported by The Youth Project of Liaoning Provincial Social Sciences Association: "Research on the Application of Liaoning's Red Culture in the Construction of 'Grand Ideological and Political Courses'", 2024 (Grant No. 2025lslqnkt-009) .</t>
  </si>
  <si>
    <t>[Yu, Xiaoxuan] Northeastern Univ, Sch Humanities &amp; Law, Shenyang, Peoples R China; [Chen, Yixin] Shengjing Hosp, Dept Ultrasound, Shenyang, Peoples R China; [Zhao, Qian] China Med Univ, Shengjing Hosp, Dept Pediat Urol, Shenyang, Peoples R China; [Li, Hongming] Univ Florida, Coll Educ, Gainesville, FL USA</t>
  </si>
  <si>
    <t>Northeastern University - China; China Medical University; State University System of Florida; University of Florida</t>
  </si>
  <si>
    <t>Research and Analysis of Trust and Control in Human-AI Interaction for Decision-Making Systems in Optimizing Public Health Service</t>
  </si>
  <si>
    <t>JOURNAL OF ORGANIZATIONAL AND END USER COMPUTING</t>
  </si>
  <si>
    <t>Trust Calibration; AI Transparency; Cybernetic Feedback; Human-AI Collaboration; Clinical Decision Support; AI Governance; Public Health Service</t>
  </si>
  <si>
    <t>IGI GLOBAL</t>
  </si>
  <si>
    <t>HERSHEY</t>
  </si>
  <si>
    <t>701 E CHOCOLATE AVE, STE 200, HERSHEY, PA 17033-1240 USA</t>
  </si>
  <si>
    <t>1546-2234</t>
  </si>
  <si>
    <t>1546-5012</t>
  </si>
  <si>
    <t>J ORGAN END USER COM</t>
  </si>
  <si>
    <t>J. Organ. End User Comput.</t>
  </si>
  <si>
    <t>388626</t>
  </si>
  <si>
    <t>10.4018/JOEUC.388626</t>
  </si>
  <si>
    <t>http://dx.doi.org/10.4018/JOEUC.388626</t>
  </si>
  <si>
    <t>Computer Science, Information Systems; Information Science &amp; Library Science; Management</t>
  </si>
  <si>
    <t>Computer Science; Information Science &amp; Library Science; Business &amp; Economics</t>
  </si>
  <si>
    <t>8DE1R</t>
  </si>
  <si>
    <t>WOS:001585853900004</t>
  </si>
  <si>
    <t>Naser, LJM; Göksu, A; Denizhan, B</t>
  </si>
  <si>
    <t>Supplier selection in healthcare is a complex multi-criteria decision-making (MCDM) challenge requiring a balance of sustainability, resilience, and operational efficiency. Traditional methods struggle with scalability and subjectivity when applied to large administrative datasets. This study introduces a transparent hybrid Machine Learning-MCDM (ML-MCDM) framework, validated using a U.S. Medicare dataset of 661 suppliers. The framework integrates eXtreme Gradient Boosting (XGBoost) and SHapley Additive exPlanations (SHAP) for criterion prioritization, the Full Consistency Method (FUCOM) for mathematically consistent weighting, and Technique for Order of Preference by Similarity to Ideal Solution (TOPSIS) for final ranking. As the dataset lacks direct sustainability metrics, seven indicators were synthetically generated; thus, the results serve as proof-of-concept demonstration of the framework's architecture. Specifically, XGBoost-SHAP is trained to predict a synthetically constructed Overall Performance Score (OPS), meaning that the resulting feature importance output constitutes an algorithmic consistency check-confirming that the pipeline correctly recovers importance signals deliberately embedded in the training target. For interpretability, suppliers were segmented into five performance profiles via K-Means: Strategic Partners (17.7%), Green Leaders (18.6%), Reliable Emergency Suppliers (18.2%), Balanced Performers (20.4%), and Developing Suppliers (25.1%). Carbon Footprint Score (0.408) and Emergency Response Capability (0.316) achieved the highest feature importance. FUCOM-derived weights prioritized On-Time Delivery Rate (0.272), Carbon Footprint Score (0.222), and Emergency Response Capability (0.220). The top supplier attained a TOPSIS closeness coefficient of 0.800, showing strong discrimination. Sensitivity analysis across four scenarios confirmed ranking robustness, maintaining Spearman correlations rho &gt;= 0.977. This ML-FUCOM-TOPSIS approach provides an auditable, scalable, and policy-relevant decision-support tool, enabling procurement managers to navigate high-dimensional data while ensuring operational continuity and environmental responsibility in healthcare supply chains.</t>
  </si>
  <si>
    <t>Naser, Lara J. M.; Goksu, Alper; Denizhan, Berrin</t>
  </si>
  <si>
    <t>Göksu, A (corresponding author), Sakarya Univ, Fac Engn, Dept Ind Engn, TR-54050 Sakarya, Turkiye.</t>
  </si>
  <si>
    <t>denizhan@sakarya.edu.tr; lara.naser@ogr.sakarya.edu.tr; agoksu@sakarya.edu.tr</t>
  </si>
  <si>
    <t>This research received no external funding.</t>
  </si>
  <si>
    <t>[Naser, Lara J. M.; Goksu, Alper; Denizhan, Berrin] Sakarya Univ, Fac Engn, Dept Ind Engn, TR-54050 Sakarya, Turkiye</t>
  </si>
  <si>
    <t>Sakarya University</t>
  </si>
  <si>
    <t>An Explainable AI-Driven Framework for Sustainable Supplier Selection in Healthcare Systems: A Methodological Framework and Proof of Concept</t>
  </si>
  <si>
    <t>SYSTEMS</t>
  </si>
  <si>
    <t>sustainable healthcare; supplier selection; machine learning; multi-criteria decision-making; XGBoost; SHAP; FUCOM; TOPSIS; Supply Chain Resilience</t>
  </si>
  <si>
    <t>Denizhan, Berrin/IXD-2539-2023; /H-5842-2018</t>
  </si>
  <si>
    <t>2079-8954</t>
  </si>
  <si>
    <t>SYSTEMS-BASEL</t>
  </si>
  <si>
    <t>Systems-Basel</t>
  </si>
  <si>
    <t>JUN 20 2026</t>
  </si>
  <si>
    <t>709</t>
  </si>
  <si>
    <t>10.3390/systems14060709</t>
  </si>
  <si>
    <t>http://dx.doi.org/10.3390/systems14060709</t>
  </si>
  <si>
    <t>Social Sciences, Interdisciplinary</t>
  </si>
  <si>
    <t>Social Sciences - Other Topics</t>
  </si>
  <si>
    <t>KC2ZK</t>
  </si>
  <si>
    <t>WOS:001803551900001</t>
  </si>
  <si>
    <t>Kirboga, KK; Küçüksille, EU; Naldan, ME; Isik, M; Gülcü, O; Aksakal, E</t>
  </si>
  <si>
    <t>Background and purpose: COVID-19, which emerged in Wuhan (China), is one of the deadliest and fastest -spreading pandemics as of the end of 2019. According to the World Health Organization (WHO), there are more than 100 million infectious cases worldwide. Therefore, research models are crucial for managing the pandemic scenario. However, because the behavior of this epidemic is so complex and difficult to understand, an effective model must not only produce accurate predictive results but must also have a clear explanation that enables human experts to act proactively. For this reason, an innovative study has been planned to diagnose Troponin levels in the COVID-19 process with explainable white box algorithms to reach a clear explanation.Methods: Using the pandemic data provided by Erzurum Training and Research Hospital (decision num-ber: 2022/13-145), an interpretable explanation of Troponin data was provided in the COVID-19 process with SHApley Additive exPlanations (SHAP) algorithms. Five machine learning (ML) algorithms were de-veloped. Model performances were determined based on training, test accuracies, precision, F1-score, re-call, and AUC (Area Under the Curve) values. Feature importance was estimated according to Shapley values by applying the SHApley Additive exPlanations (SHAP) method to the model with high accuracy. The model created with Streamlit v.3.9 was integrated into the interface with the name CVD22.Results: Among the five-machine learning (ML) models created with pandemic data, the best model was selected with the values of 1.0, 0.83, 0.86, 0.83, 0.80, and 0.91 in train and test accuracy, precision, F1 -score, recall, and AUC values, respectively. As a result of feature selection and SHApley Additive exPlana-tions (SHAP) algorithms applied to the XGBoost model, it was determined that DDimer mean, mortality, CKMB (creatine kinase myocardial band), and Glucose were the features with the highest importance over the model estimation.Conclusions: Recent advances in new explainable artificial intelligence (XAI) models have successfully made it possible to predict the future using large historical datasets. Therefore, throughout the ongoing pandemic, CVD22 ( https://cvd22covid.streamlitapp.com/ ) can be used as a guide to help authorities or medical professionals make the best decisions quickly.(c) 2023 Elsevier B.V. All rights reserved.</t>
  </si>
  <si>
    <t>Kirboga, Kevser Kubra; Kucuksille, Ecir Ugur; Naldan, Muhammet Emin; Isik, Mesut; Gulcu, Oktay; Aksakal, Emrah</t>
  </si>
  <si>
    <t>Kirboga, KK (corresponding author), Bilecik Seyh Edebali Univ, Bioengn Dept, TR-11230 Bilecik, Turkiye.; Kirboga, KK (corresponding author), Istanbul Tech Univ, Informat Inst, TR-34469 Istanbul, Turkiye.</t>
  </si>
  <si>
    <t>kubra.kirboga@yahoo.com</t>
  </si>
  <si>
    <t>Acknowledgement We are grateful to Turkey Erzurum Training and Research Hos-pital , which provided pandemic data with the approval of the ethics committee (decision number: 2022/13-145) within the scope of this study.</t>
  </si>
  <si>
    <t>[Kirboga, Kevser Kubra; Isik, Mesut] Bilecik Seyh Edebali Univ, Bioengn Dept, TR-11230 Bilecik, Turkiye; [Kirboga, Kevser Kubra] Istanbul Tech Univ, Informat Inst, TR-34469 Istanbul, Turkiye; [Kucuksille, Ecir Ugur] Suleyman Demirel Univ, Engn Fac, Dept Comp Engn, TR-32260 Isparta, Turkiye; [Naldan, Muhammet Emin] Bilecik Seyh Edebali Univ, Fac Med, Dept Anaesthesiol &amp; Reanimat, TR-11230 Bilecik, Turkiye; [Gulcu, Oktay; Aksakal, Emrah] Hlth Sci Univ, Erzurum City Hosp, Dept Cardiol, Erzurum, Turkiye</t>
  </si>
  <si>
    <t>Bilecik Seyh Edebali University; Istanbul Technical University; Suleyman Demirel University; Bilecik Seyh Edebali University; University of Health Sciences Turkey</t>
  </si>
  <si>
    <t>CVD22: Explainable artificial intelligence determination of the relationship of troponin to D-Dimer, mortality, and CK-MB in COVID-19 patients</t>
  </si>
  <si>
    <t>COMPUTER METHODS AND PROGRAMS IN BIOMEDICINE</t>
  </si>
  <si>
    <t>COVID-19; Coronavirus; Troponin; creatine kinase; explainable artificial intelligence</t>
  </si>
  <si>
    <t>CREATINE-KINASE-MB; SEVERITY; METAANALYSIS</t>
  </si>
  <si>
    <t>AKSAKAL, Emrah/AAA-3576-2020; Kucuksille, Ecir Ugur/AAG-6721-2019; ISIK, MESUT/ABG-4558-2020; Naldan, Muhammet/AAB-2488-2021; Kırboğa, Kevser Kübra/JGM-3886-2023</t>
  </si>
  <si>
    <t>AKSAKAL, Emrah/0000-0001-5765-4281; Kucuksille, Ecir Ugur/0000-0002-3293-9878; ISIK, MESUT/0000-0002-4677-8104; Kırboğa, Kevser Kübra/0000-0002-2917-8860</t>
  </si>
  <si>
    <t>0169-2607</t>
  </si>
  <si>
    <t>1872-7565</t>
  </si>
  <si>
    <t>COMPUT METH PROG BIO</t>
  </si>
  <si>
    <t>Comput. Meth. Programs Biomed.</t>
  </si>
  <si>
    <t>233</t>
  </si>
  <si>
    <t>107492</t>
  </si>
  <si>
    <t>10.1016/j.cmpb.2023.107492</t>
  </si>
  <si>
    <t>http://dx.doi.org/10.1016/j.cmpb.2023.107492</t>
  </si>
  <si>
    <t>MAR 2023</t>
  </si>
  <si>
    <t>Computer Science, Interdisciplinary Applications; Computer Science, Theory &amp; Methods; Engineering, Biomedical; Medical Informatics</t>
  </si>
  <si>
    <t>Computer Science; Engineering; Medical Informatics</t>
  </si>
  <si>
    <t>C3XW3</t>
  </si>
  <si>
    <t>36965300</t>
  </si>
  <si>
    <t>WOS:000961293500001</t>
  </si>
  <si>
    <t>Alruwaili, E; Moulahi, T</t>
  </si>
  <si>
    <t>Introduction Federated Learning (FL) has become an attractive approach for e-health because it allows multiple institutions to collaboratively train machine learning models without directly sharing sensitive patient data. Despite these advantages, FL systems are still susceptible to poisoning attacks in which malicious participants manipulate model updates to degrade performance or embed hidden backdoors. Such threats raise serious concerns for medical applications, where reliability, transparency, and regulatory compliance are essential.Methods In this work, we introduce FedSecure-Chain, a modular framework designed to improve the reliability of federated learning environments. The proposed approach combines three phases: an anomaly detection stage applied before aggregation to identify suspicious client updates, a robust aggregation strategy to limit the influence of potentially malicious contributions, and a lightweight blockchain layer that records model updates and client trust information to ensure traceability and auditing. The framework was evaluated on Breast Cancer datasets using TabNet and compact multilayer perceptron (MLP) models under several poisoning attack scenarios and different non-IID data distributions.Results The experimental evaluation indicates that integrating anomaly detection with robust aggregation significantly reduces the impact of poisoning attacks on the global model. In addition, the blockchain logging layer enables transparent tracking of model updates while introducing only limited overhead. Overall, the proposed framework maintains stable model performance even in the presence of adversarial participants.Discussion The results suggest that combining defensive learning strategies with transparent logging mechanisms can strengthen trust in federated healthcare systems. By improving resilience to adversarial manipulation while keeping computational and operational costs manageable, Our method represents a practical step toward secure and trustworthy federated learning for healthcare applications.</t>
  </si>
  <si>
    <t>Alruwaili, Etidal; Moulahi, Tarek</t>
  </si>
  <si>
    <t>Moulahi, T (corresponding author), Qassim Univ, Coll Comp, Dept Informat Technol, Buraydah, Saudi Arabia.</t>
  </si>
  <si>
    <t>t.moulahi@qu.edu.sa</t>
  </si>
  <si>
    <t>Cybersecurity Research and Innovation Pioneers Initiative [CRPG-25-2044]; National Cybersecurity Authority (NCA) in the Kingdom of Saudi Arabia</t>
  </si>
  <si>
    <t>Cybersecurity Research and Innovation Pioneers Initiative; National Cybersecurity Authority (NCA) in the Kingdom of Saudi Arabia</t>
  </si>
  <si>
    <t>The author(s) declared that financial support was received for this work and/or its publication. This research was supported by a grant (No. CRPG-25-2044) under the Cybersecurity Research and Innovation Pioneers Initiative, provided by the National Cybersecurity Authority (NCA) in the Kingdom of Saudi Arabia.</t>
  </si>
  <si>
    <t>[Alruwaili, Etidal; Moulahi, Tarek] Qassim Univ, Coll Comp, Dept Informat Technol, Buraydah, Saudi Arabia</t>
  </si>
  <si>
    <t>Qassim University</t>
  </si>
  <si>
    <t>A robust and verifiable federated learning framework for preventing data poisonous threats in e-health</t>
  </si>
  <si>
    <t>blockchain; federated learning; healthcare analytics; poisoning attacks; security; trustworthy AI</t>
  </si>
  <si>
    <t>Moulahi, Tarek/AAE-8665-2022</t>
  </si>
  <si>
    <t>MAR 17 2026</t>
  </si>
  <si>
    <t>1762346</t>
  </si>
  <si>
    <t>10.3389/fpubh.2026.1762346</t>
  </si>
  <si>
    <t>http://dx.doi.org/10.3389/fpubh.2026.1762346</t>
  </si>
  <si>
    <t>FX2YY</t>
  </si>
  <si>
    <t>41923773</t>
  </si>
  <si>
    <t>WOS:001729591500001</t>
  </si>
  <si>
    <t>Ponselvakumar, AP; Anandamurugan, S</t>
  </si>
  <si>
    <t>Alzheimer's disease classification from MRI slices is a cornerstone of personalized neurology, enabling patientspecific diagnosis and treatment planning. Traditional machine learning approaches often fail in this domain due to class imbalance, limited feature representation, and poor interpretability, which restrict their clinical adoption and typically leading to biased predictions and unstable subject-level outcomes. This research introduces NeuroX-DualFusion, a hybrid framework that integrates a local attention stream and a global convolutional stream to capture both fine-grained and contextual features. The pipeline begins with standardized preprocessing and data augmentation to enhance anatomical clarity and mitigate class imbalance. Segmentation via attentionbased U-Net isolates critical brain regions, while proposed NeuroX-DualFusion, dual-stream feature extraction enables robust representation learning. Additionally, Grad-CAM visualizations provide transparent, class-specific interpretability, highlighting discriminative regions aligned with clinical markers. Quantitative evaluation across Accuracy (97.5%), Precision (96.5%), Recall (97.5%), F1-score (96.5%), and Specificity (98.5%), demonstrates that NeuroX-DualFusion outperforms individual models, achieving subject-level accuracy. These findings underscore the potential of NeuroX-DualFusion to advance personalized neurology by delivering reliable, interpretable, and patient-centered dementia stage classification using MRI data, bridging the gap between computational innovation and clinical practice.</t>
  </si>
  <si>
    <t>Ponselvakumar, A. P.; Anandamurugan, S.</t>
  </si>
  <si>
    <t>Ponselvakumar, AP (corresponding author), Kongu Engn Coll, Dept Informat Technol, Perundurai 638 060, Erode, India.</t>
  </si>
  <si>
    <t>contactponse@gmail.com</t>
  </si>
  <si>
    <t>[Ponselvakumar, A. P.; Anandamurugan, S.] Kongu Engn Coll, Dept Informat Technol, Perundurai 638 060, Erode, India</t>
  </si>
  <si>
    <t>Kongu Engineering College</t>
  </si>
  <si>
    <t>Advancing personalized neurology with explainable AI in Alzheimer's classification using NeuroX-DualFusion framework</t>
  </si>
  <si>
    <t>EGYPTIAN INFORMATICS JOURNAL</t>
  </si>
  <si>
    <t>Explainable AI; Personalized neurology; Alzheimer disease classification; MRI-based diagnosis and dementia staging</t>
  </si>
  <si>
    <t>CAIRO UNIV, FAC COMPUTERS &amp; INFORMATION</t>
  </si>
  <si>
    <t>GIZA GOVERNORATE</t>
  </si>
  <si>
    <t>AHMED ZEWAIL, AD DOQI, GIZA GOVERNORATE, 00000, EGYPT</t>
  </si>
  <si>
    <t>1110-8665</t>
  </si>
  <si>
    <t>2090-4754</t>
  </si>
  <si>
    <t>EGYPT INFORM J</t>
  </si>
  <si>
    <t>Egypt. Inform. J.</t>
  </si>
  <si>
    <t>100926</t>
  </si>
  <si>
    <t>10.1016/j.eij.2026.100926</t>
  </si>
  <si>
    <t>http://dx.doi.org/10.1016/j.eij.2026.100926</t>
  </si>
  <si>
    <t>Computer Science, Artificial Intelligence; Computer Science, Information Systems; Computer Science, Software Engineering</t>
  </si>
  <si>
    <t>EU8KP</t>
  </si>
  <si>
    <t>WOS:001710272400001</t>
  </si>
  <si>
    <t>Mayrose, H; Sampathila, N; Bairy, GM; Nayak, T; Belurkar, S; Saravu, K</t>
  </si>
  <si>
    <t>Dengue fever is a rapidly increasing mosquito-borne ailment spread by the virus DENV in the tropics and subtropics worldwide. It is a significant public health problem and accounts for many deaths globally. Implementing more effective methods that can more accurately detect dengue cases is challenging. The theme of this digital pathology-associated research is automatic dengue detection from peripheral blood smears (PBS) employing deep learning (DL) techniques. In recent years, DL has been significantly employed for automated computer-assisted diagnosis of various diseases from medical images. This paper explores pre-trained convolution neural networks (CNNs) for automatic dengue fever detection. Transfer learning (TL) is executed on three state-of-the-art CNNs - ResNet50, MobileNetV3Small, and MobileNetV3Large, to customize the models for differentiating the dengue-infected blood smears from the healthy ones. The dataset used to design and test the models contains 100x magnified dengue-infected and healthy control digital microscopic PBS images. The models are validated with a 5-fold cross-validation framework and tested on unseen data. An explainable artificial intelligence (XAI) approach, Gradient-weighted Class Activation Mapping (GradCAM), is eventually applied to the models to allow visualization of the precise regions on the smears most instrumental in making the predictions. While all three transferred pre-trained CNN models performed well (above 98% overall classification accuracy), MobileNetV3Small is the recommended model for this classification problem due to its significantly less computationally demanding characteristics. Transferred pre-trained CNN based on MobileNetV3Small yielded Accuracy, Recall, Specificity, Precision, F1 Score, and Area Under the ROC Curve (AUC) of 0.982 +/- 0.011, 0.973 +/- 0.027, 0.99 +/- 0.013, 0.989 +/- 0.015, 0.981 +/- 0.012 and 0.982 +/- 0.012 respectively, averaged over the five folds on the unseen dataset. Promising results show that the developed models have the potential to provide high-quality support to haematologists by expertly performing tedious, repetitive, and time-consuming tasks in hospitals and remote/low-resource settings.</t>
  </si>
  <si>
    <t>Mayrose, Hilda; Sampathila, Niranjana; Bairy, G. Muralidhar; Nayak, Tushar; Belurkar, Sushma; Saravu, Kavitha</t>
  </si>
  <si>
    <t>Sampathila, N; Bairy, GM (corresponding author), Manipal Acad Higher Educ MAHE, Manipal Inst Technol, Dept Biomed Engn, Manipal 576104, India.</t>
  </si>
  <si>
    <t>niranjana.s@manipal.edu; gm.bairy@manipal.edu</t>
  </si>
  <si>
    <t>[Mayrose, Hilda; Sampathila, Niranjana; Bairy, G. Muralidhar; Nayak, Tushar] Manipal Acad Higher Educ MAHE, Manipal Inst Technol, Dept Biomed Engn, Manipal 576104, India; [Belurkar, Sushma] Manipal Acad Higher Educ MAHE, Kasturba Med Coll, Dept Pathol, Manipal 576104, India; [Saravu, Kavitha] Manipal Acad Higher Educ MAHE, Kasturba Med Coll, Dept Infect Dis, Manipal 576104, India</t>
  </si>
  <si>
    <t>Manipal Academy of Higher Education (MAHE); Manipal Academy of Higher Education (MAHE); Kasturba Medical College, Manipal; Manipal Academy of Higher Education (MAHE); Kasturba Medical College, Manipal</t>
  </si>
  <si>
    <t>An Explainable Artificial Intelligence Integrated System for Automatic Detection of Dengue From Images of Blood Smears Using Transfer Learning</t>
  </si>
  <si>
    <t>Deep learning; dengue fever; digital pathology; explainable artificial intelligence; GradCAM; peripheral blood smear; pre-trained CNN; transfer learning</t>
  </si>
  <si>
    <t>Sampathila, Niranjana/AAQ-8318-2020; Mayrose, Hilda/IXE-0220-2023; Saravu, Kavitha/H-4634-2019</t>
  </si>
  <si>
    <t>Sampathila, Niranjana/0000-0002-3345-360X; Bairy, G Muralidhar/0000-0001-9710-2289; Nayak, Tushar/0000-0002-4328-7983; Mayrose, Hilda/0000-0002-8655-4922; Saravu, Kavitha/0000-0001-6399-1129</t>
  </si>
  <si>
    <t>41750</t>
  </si>
  <si>
    <t>41762</t>
  </si>
  <si>
    <t>10.1109/ACCESS.2024.3378516</t>
  </si>
  <si>
    <t>http://dx.doi.org/10.1109/ACCESS.2024.3378516</t>
  </si>
  <si>
    <t>MF5R8</t>
  </si>
  <si>
    <t>WOS:001192230200001</t>
  </si>
  <si>
    <t>Thomas, J; Lucht, A; Segler, J; Wundrack, R; Miche, M; Lieb, R; Kuchinke, L; Meinlschmidt, G</t>
  </si>
  <si>
    <t>Background: Suicide represents a critical public health concern, and machine learning (ML) models offer the potential for identifying at-riskindividuals. Recent studies using benchmark datasets and real-world social media data have demonstrated the capability of pretrained large language models in predicting suicidal ideation and behaviors (SIB) in speech and text. Objective: This study aimed to (1) develop and implement ML methods for predicting SIBs in a real-world crisis helpline dataset, using transformer-based pretrained models as a foundation; (2) evaluate, cross-validate, and benchmark the model against traditional text classification approaches; and (3) train an explainable model to highlight relevant risk-associated features. Methods: We analyzed chat protocols from adolescents and young adults (aged 14-25 years) seeking assistance from a German crisis helpline. An ML model was developed using a transformer-based language model architecture with pretrained weights and long short-term memory layers. The model predicted suicidal ideation (SI) and advanced suicidal engagement (ASE), as indicated by composite Columbia-Suicide Severity Rating Scale scores. We compared model performance against a classical word-vector-based ML model. We subsequently computed discrimination, calibration, clinical utility, and explainability information using a Shapley Additive Explanations value-based post hoc estimation model. Results: The dataset comprised 1348 help-seeking encounters (1011 for training and 337 for testing). The transformer-based classifier achieved a macroaveraged area under the curve (AUC) receiver operating characteristic (ROC) of 0.89 (95% CI 0.81-0.91) and an overall accuracy of 0.79 (95% CI 0.73-0.99). This performance surpassed the word-vector-based baseline model (AUC-ROC=0.77, 95% CI 0.64-0.90; accuracy=0.61, 95% CI 0.61-0.80). Thetransformermodel demonstratedexcellent prediction for nonsuicidal sessions (AUC-ROC=0.96, 95% CI 0.96-0.99) and good prediction for SI and ASE, with AUC-ROCs of 0.85 (95% CI 0.97-0.86) and 0.87 (95% CI 0.81-0.88), respectively. The Brier Skill Score indicated a 44% improvement in classification performance over the baseline model. The Shapley Additive Explanations model identified language features predictive of SIBs, including self-reference, negation, expressions of low self-esteem, and absolutist language. Conclusions:Neural networks using large language model-based transfer learning can accurately identify SI and ASE. The post hoc explainer model revealedlanguage featuresassociated with SI and ASE. Such models may potentially support clinical decision-making in suicide prevention services. Future research should explore multimodal input features and temporal aspects of suicide risk.</t>
  </si>
  <si>
    <t>Thomas, Julia; Lucht, Antonia; Segler, Jacob; Wundrack, Richard; Miche, Marcel; Lieb, Roselind; Kuchinke, Lars; Meinlschmidt, Gunther</t>
  </si>
  <si>
    <t>Thomas, J (corresponding author), Univ Basel, Fac Psychol, Div Clin Psychol &amp; Epidemiol, Missionsstr 60-62, CH-4055 Basel, Switzerland.</t>
  </si>
  <si>
    <t>julia.thomas@krisenchat.de</t>
  </si>
  <si>
    <t>Open Access Fund of Universitat Trier; German Research Foundation (DFG)</t>
  </si>
  <si>
    <t>Open Access Fund of Universitat Trier; German Research Foundation (DFG) (German Research Foundation (DFG))</t>
  </si>
  <si>
    <t>The publication was funded and supported by the Open Access Fund of Universitat Trier and by the German Research Foundation (DFG) .</t>
  </si>
  <si>
    <t>[Thomas, Julia; Miche, Marcel; Lieb, Roselind] Univ Basel, Fac Psychol, Div Clin Psychol &amp; Epidemiol, Missionsstr 60-62, CH-4055 Basel, Switzerland; [Thomas, Julia; Meinlschmidt, Gunther] Int Psychoanalyt Univ Berlin, Div Clin Psychol &amp; Cognit Behav Therapy, Berlin, Germany; [Thomas, Julia; Lucht, Antonia; Wundrack, Richard] Krisenchat gGmbH, Dept Res Analyt &amp; Dev, Berlin, Germany; [Segler, Jacob] Univ Klinikum Ulm, Div Child &amp; Adolescent Psychiat Psychotherapy, Ulm, Germany; [Kuchinke, Lars] Int Psychoanalyt Univ Berlin, Div Methods &amp; Stat, Berlin, Germany; [Meinlschmidt, Gunther] Trier Univ, Dept Psychol, Clin Psychol &amp; Psychotherapy, Methods &amp; Approaches, Trier, Germany; [Meinlschmidt, Gunther] Univ Hosp, Dept Digital &amp; Blended Psychosomat &amp; Psychotherapy, Psychosomat Med, Basel, Switzerland; [Meinlschmidt, Gunther] Univ Basel, Basel, Switzerland; [Meinlschmidt, Gunther] Univ Basel, Univ Hosp Basel, Dept Psychosomat Med, Basel, Switzerland</t>
  </si>
  <si>
    <t>University of Basel; Ulm University; Universitat Trier; University of Basel; University of Basel</t>
  </si>
  <si>
    <t>An Explainable Artificial Intelligence Text Classifier for Suicidality Prediction in Youth Crisis Text Line Users: Development and Validation Study</t>
  </si>
  <si>
    <t>JMIR PUBLIC HEALTH AND SURVEILLANCE</t>
  </si>
  <si>
    <t>deep learning; explainable artificial intelligence (XAI); large language model (LLM); machine learning; neural network; prevention; risk monitoring; suicide; transformermodel; suicidality; suicidal ideation; self-murder; self-harm; youth; adolescent; adolescents; public health; language model; language models; chat protocols; crisis helpline; help-seeking behaviors; German; Shapley; decision-making; mental health; health informatics; mobile phone</t>
  </si>
  <si>
    <t>NEURAL-NETWORKS; HEALTH</t>
  </si>
  <si>
    <t>Lieb, Roselind/O-2550-2016; M, G/HLW-6079-2023; Wundrack, Richard/AAQ-4707-2020; Kuchinke, Lars/E-7641-2010</t>
  </si>
  <si>
    <t>Thomas, Julia/0000-0002-2444-3389; Wundrack, Richard/0000-0003-2121-0982; Miche, Marcel/0000-0001-8838-1749; Keller, Jacob/0000-0001-6694-5507; Lucht, Antonia/0000-0002-5106-0340; Kuchinke, Lars/0000-0001-8248-1167</t>
  </si>
  <si>
    <t>2369-2960</t>
  </si>
  <si>
    <t>JMIR PUBLIC HLTH SUR</t>
  </si>
  <si>
    <t>JMIR Public Health Surveill.</t>
  </si>
  <si>
    <t>e63809</t>
  </si>
  <si>
    <t>10.2196/63809</t>
  </si>
  <si>
    <t>http://dx.doi.org/10.2196/63809</t>
  </si>
  <si>
    <t>Z5W0V</t>
  </si>
  <si>
    <t>39879608</t>
  </si>
  <si>
    <t>WOS:001439594300001</t>
  </si>
  <si>
    <t>Wang, GJ; Bennamoun, H; Kwok, WH; Quimbayo, JPO; Kelly, B; Ratajczak, T; Marriott, R; Walker, R; Kotz, J</t>
  </si>
  <si>
    <t>Background: Perinatal depression and anxiety significantly impact maternal and infant health, potentially leading to severe outcomeslike preterm birth and suicide. Aboriginal women, despite their resilience, face elevated risks due to the long-term effects of colonization and cultural disruption. The Baby Coming You Ready (BCYR) model of care, centered on a digitized, holistic, strengths-based assessment, was co-designed to address these challenges. The successful BCYR pilot demonstrated its ability toreplacetraditional risk-based screens. However,somehealth professionalsstill overrelyonpsychological risk scores, often overlooking the contextual circumstances of Aboriginal mothers, their cultural strengths, and mitigating protective factors. This highlights the need for new tools to improve clinical decision-making. Objective: We explored different explainable artificial intelligence (XAI)-powered machine learning techniques for developing culturally informed, strengths-based predictive modeling of perinatal psychological distress among Aboriginal mothers. The model identifies and evaluates influential protective and risk factors while offering transparent explanations for AI-driven decisions. Methods: We used deidentified data from 293 Aboriginal mothers who participated in the BCYR program between September 2021 and June 2023 at 6 health care services in Perth and regional Western Australia. The original dataset includes variables spanning cultural strengths, protective factors, life events, worries, relationships, childhood experiences, family and domestic violence, and substance use. After applying feature selection and expert input, 20 variables were chosen as predictors. The Kessler-5 scale was used as an indicator of perinatal psychological distress. Several machine learning models, including random forest (RF), CatBoost (CB), light gradient-boosting machine (LightGBM), extreme gradient boosting (XGBoost), k-nearest neighbor (KNN), support vector machine (SVM), and explainable boosting machine (EBM), were developed and compared for predictive performance. To make the black-box model interpretable, post hoc explanation techniques including Shapley additive explanations and local interpretable model-agnostic explanations were applied. Results: TheEBM outperformedothermodels (accuracy=0.849, 95% CI 0.8170-0.8814; F1-score=0.771, 95%CI 0.7169-0.8245; area under the curve=0.821, 95% CI 0.7829-0.8593) followed by RF (accuracy=0.829, 95% CI 0.7960-0.8617; F1-score=0.736, 95% CI 0.6859-0.7851; area under the curve=0.795, 95% CI 0.7581-0.8318). Explanations from EBM, Shapley additive explanations, and local interpretable model-agnostic explanations identified consistent patterns of key influential factors, including questions related to "Feeling Lonely," "Blaming Herself," "Makes Family Proud," "Life Not Worth Living," and "Managing Day-to-Day." At the individual level, where responses are highly personal, these XAI techniques provided case-specific insights through visual representations, distinguishing between protective and risk factors and illustrating their impact on predictions. Conclusions: This study shows the potential of XAI-driven models to predict psychological distress in Aboriginal mothers and provide clear, human-interpretable explanations of how important factors interact and influence outcomes. These models may help health professionals make more informed, non-biased decisions in Aboriginal perinatal mental health screenings.</t>
  </si>
  <si>
    <t>Wang, Guanjin; Bennamoun, Hachem; Kwok, Wai Hang; Quimbayo, Jenny Paola Ortega; Kelly, Bridgette; Ratajczak, Trish; Marriott, Rhonda; Walker, Roz; Kotz, Jayne</t>
  </si>
  <si>
    <t>Wang, GJ (corresponding author), Murdoch Univ, Sch Informat Technol, 90 South St, Perth, WA 6150, Australia.</t>
  </si>
  <si>
    <t>Guanjin.Wang@murdoch.edu.au</t>
  </si>
  <si>
    <t>Western Australian Future Health Research and Innovation Fund [IC2023-GAIA/18, IC2023-GAIA/23]; Google Inclusion Research Award</t>
  </si>
  <si>
    <t>Western Australian Future Health Research and Innovation Fund; Google Inclusion Research Award</t>
  </si>
  <si>
    <t>Acknowledgments The work was supported by the Western Australian Future Health Research and Innovation Fund (Grant ID IC2023-GAIA/18, IC2023-GAIA/23) , and GW and JK are supported by the Google Inclusion Research Award.</t>
  </si>
  <si>
    <t>[Wang, Guanjin; Bennamoun, Hachem; Quimbayo, Jenny Paola Ortega] Murdoch Univ, Sch Informat Technol, 90 South St, Perth, WA 6150, Australia; [Wang, Guanjin; Kelly, Bridgette; Ratajczak, Trish; Marriott, Rhonda; Walker, Roz; Kotz, Jayne] Murdoch Univ, Ngangk Yira Inst Change, Perth, Australia; [Kwok, Wai Hang] Edith Cowan Univ, Sch Nursing &amp; Midwifery, Perth, Australia</t>
  </si>
  <si>
    <t>Murdoch University; Murdoch University; Edith Cowan University</t>
  </si>
  <si>
    <t>Investigating Protective and Risk Factors and Predictive Insights for Aboriginal Perinatal Mental Health: Explainable Artificial Intelligence Approach</t>
  </si>
  <si>
    <t>explainable AI; perinatal mental health; AI-assisted decision-making; perinatal; mental health; artificial intelligence; predictive; depression; anxiety; maternal health; maternal; infant health; infant; Aboriginal; woman; psychological risk; mother; decision-making; decision support; machine learning; psychological distress; Aboriginal mothers; risk factors; Australia; cultural strengths; protective factors; life events; worries; relationships; childhood experiences; domestic violence; substance use</t>
  </si>
  <si>
    <t>POSTPARTUM DEPRESSION</t>
  </si>
  <si>
    <t>Wang, Guanjin/HMD-2412-2023</t>
  </si>
  <si>
    <t>Walker, Roz/0000-0002-3140-7036; Ortega Quimbayo, Jenny Paola/0009-0009-4602-7456; Marriott, Rhonda/0000-0002-6037-2565; Ratajczak, Trish/0009-0009-5156-2402; Wang, Guanjin/0000-0002-5258-0532; kotz, jayne/0000-0002-7793-4202; BENNAMOUN, HACHEM/0009-0006-4165-9938</t>
  </si>
  <si>
    <t>APR 30 2025</t>
  </si>
  <si>
    <t>e68030</t>
  </si>
  <si>
    <t>10.2196/68030</t>
  </si>
  <si>
    <t>http://dx.doi.org/10.2196/68030</t>
  </si>
  <si>
    <t>2ZX5A</t>
  </si>
  <si>
    <t>40306634</t>
  </si>
  <si>
    <t>WOS:001495307800008</t>
  </si>
  <si>
    <t>Kasiviswanathan, S; Kaur, G; Bansal, S; Faruque, MRI</t>
  </si>
  <si>
    <t>Waste disposal processes often result in significant losses of materials, energy, and financial resources, prompting the implementation of laws and monetary incentives to enhance the recovery of valuable assets and reduce contamination rates. To promote environmental sustainability, this study presents an intelligent system for realtime detection and documentation of Bio-Medical Waste (BMW) in waste management processes using deep learning and Explainable Artificial Intelligence (XAI). The proposed system integrates Faster Mask Recurrent Convolutional Neural Networks (FMRCNN) for accurate waste detection with XAI techniques to enhance transparency in decision-making. While FMRCNN performs classification and localization of waste, XAI methods such as Grad-CAM and SHAP are employed to provide visual and quantitative explanations of the model's predictions, enabling better interpretability and validation. The system achieves high performance, with a classification accuracy of 99.66% and a false-positive rate of 3.8%, based on the FMRCNN detection framework. The integration of XAI improves the transparency and trustworthiness of the system and is used strictly for post-hoc interpretability and validation, without altering or directly influencing the predictive behavior of the model. Overall, the proposed framework offers a robust, interpretable, and efficient solution for smart biomedical waste management, contributing to improved environmental sustainability and reliable decision support.</t>
  </si>
  <si>
    <t>Kasiviswanathan, Somasundaram; Kaur, Gaganpreet; Bansal, Shonak; Faruque, Mohammad Rashed Iqbal</t>
  </si>
  <si>
    <t>Kaur, G (corresponding author), Chitkara Univ, Chitkara Univ Inst Engn &amp; Technol, Rajpura, Punjab, India.; Bansal, S (corresponding author), Chandigarh Univ, Univ Inst Engn, Dept Elect &amp; Commun Engn, Mohali 140413, Punjab, India.; Faruque, MRI (corresponding author), Univ Kebangsaan Malaysia, Space Sci Ctr ANGKASA, Bangi 43600, Selangor, Malaysia.</t>
  </si>
  <si>
    <t>kaur.gaganpreet@chitkara.edu.in; somasundaramk@citchennai.net; shonak.e10103@cumail.in; rashed@ukm.edu.my</t>
  </si>
  <si>
    <t>Research Universiti Grant, Universiti Kebangsaan Malaysia, GeranTranslasi [UKM-TR2024-10]</t>
  </si>
  <si>
    <t>Research Universiti Grant, Universiti Kebangsaan Malaysia, GeranTranslasi (Universiti Kebangsaan Malaysia)</t>
  </si>
  <si>
    <t>The authors acknowledge that the research Universiti Grant, Universiti Kebangsaan Malaysia, GeranTranslasi: UKM-TR2024-10 conducting the research work.</t>
  </si>
  <si>
    <t>[Kasiviswanathan, Somasundaram] Chennai Inst Technol, Dept Comp Sci &amp; Engn, Chennai, Tamil Nadu, India; [Kaur, Gaganpreet] Chitkara Univ, Chitkara Univ Inst Engn &amp; Technol, Rajpura, Punjab, India; [Bansal, Shonak] Chandigarh Univ, Univ Inst Engn, Dept Elect &amp; Commun Engn, Mohali 140413, Punjab, India; [Faruque, Mohammad Rashed Iqbal] Univ Kebangsaan Malaysia, Space Sci Ctr ANGKASA, Bangi 43600, Selangor, Malaysia</t>
  </si>
  <si>
    <t>Chennai Institute of Technology; Chitkara University, Punjab; Chandigarh University; Universiti Kebangsaan Malaysia</t>
  </si>
  <si>
    <t>Advancing waste management through explainable artificial intelligence for real-time detection and classification of bio-medical waste using faster mask recurrent convolutional neural networks</t>
  </si>
  <si>
    <t>MATERIALS TODAY SUSTAINABILITY</t>
  </si>
  <si>
    <t>Faster mask recurrent convolutional neural; network; Bio waste identification; Real-time reporting; Waste management; Environmental sustainability; Deep learning</t>
  </si>
  <si>
    <t>K, Somasundaram/AGW-7354-2022; Iqbal Faruque, Mohammad Rashed/Q-5957-2019</t>
  </si>
  <si>
    <t>2589-2347</t>
  </si>
  <si>
    <t>MATER TODAY SUSTAIN</t>
  </si>
  <si>
    <t>Mater. Today Sustain.</t>
  </si>
  <si>
    <t>101410</t>
  </si>
  <si>
    <t>10.1016/j.mtsust.2026.101410</t>
  </si>
  <si>
    <t>http://dx.doi.org/10.1016/j.mtsust.2026.101410</t>
  </si>
  <si>
    <t>JUL 2026</t>
  </si>
  <si>
    <t>Green &amp; Sustainable Science &amp; Technology; Materials Science, Multidisciplinary</t>
  </si>
  <si>
    <t>Science &amp; Technology - Other Topics; Materials Science</t>
  </si>
  <si>
    <t>KY2HR</t>
  </si>
  <si>
    <t>WOS:001818429100001</t>
  </si>
  <si>
    <t>Naz, NS; Mehmood, MH; Ahmed, F; Ahmad, M; Rehman, AU; Ismael, WM; Adnan, KM</t>
  </si>
  <si>
    <t>The classification of human skin disorders, particularly benign and malignant skin cancer, is thoroughly examined in this study with a focus on protecting data privacy. Traditional visual diagnosis of skin disorders is often subjective and complicated by the varying colors, textures, and shapes of lesions. To address these challenges, we propose a privacy-preserving and explainable deep learning (DL) architecture that leverages secure federated learning (FL) on distributed medical data sources without exposing private patient information, ensuring compliance with data protection regulations. Real-world decentralized scenarios are simulated by dividing a skin image dataset into two classes and distributing it among three clients. The Federated Averaging (FedAvg) method is employed to train the VGG19 model-a well-established convolutional neural network (CNN)-over 25 federated communication rounds, after pretraining on ImageNet and fine-tuning for binary classification. To enhance robustness and diversity, dermatology datasets, such as Kaggle, are often used in similar studies for performance evaluation. Additionally, explainable AI (XAI) techniques, such as Gradient-weighted Class Activation Mapping (Grad-CAM), are incorporated to improve transparency and assist clinicians in visualizing and interpreting the model's decision-making process. Experimental results demonstrate that the federated approach maintains data privacy while achieving high classification performance. This work highlights the potential of combining explainability and FL to develop reliable and privacy-conscious AI solutions for dermatological diagnosis.</t>
  </si>
  <si>
    <t>Naz, Naila Sammar; Mehmood, Muhammad Hassaan; Ahmed, Fahad; Ahmad, Munir; Rehman, Ateeq Ur; Ismael, Waleed M.; Adnan, Khan Muhammad</t>
  </si>
  <si>
    <t>Ismael, WM (corresponding author), Azal Univ Human Dev, Dept Informat Technol, Fac Engn, Sanaa, Yemen.; Adnan, KM (corresponding author), Gachon Univ, Fac Artificial Intelligence &amp; Software, Dept Software, Seongnam 13557, South Korea.</t>
  </si>
  <si>
    <t>adnan@gachon.ac.kr; Waleed.m@auhd.edu.ye</t>
  </si>
  <si>
    <t>[Naz, Naila Sammar; Mehmood, Muhammad Hassaan; Ahmed, Fahad; Ahmad, Munir] Natl Coll Business Adm &amp; Econ, Sch Comp Sci, Lahore 54000, Pakistan; [Ahmad, Munir] Korea Univ, Univ Coll, Dept Comp Sci, Seoul 02841, South Korea; [Rehman, Ateeq Ur] Saveetha Inst Med &amp; Tech Sci, Saveetha Sch Engn, Comp Sci &amp; Engn, Chennai, Tamil Nadu, India; [Rehman, Ateeq Ur] Appl Sci Private Univ, Appl Sci Res Ctr, Amman, Jordan; [Rehman, Ateeq Ur] Chitkara Univ, Chitkara Univ Inst Engn &amp; Technol, Rajpura, Punjab, India; [Ismael, Waleed M.] Azal Univ Human Dev, Dept Informat Technol, Fac Engn, Sanaa, Yemen; [Adnan, Khan Muhammad] Gachon Univ, Fac Artificial Intelligence &amp; Software, Dept Software, Seongnam 13557, South Korea</t>
  </si>
  <si>
    <t>Korea University; Saveetha Institute of Medical &amp; Technical Science; Saveetha School of Engineering; Applied Science Private University; Chitkara University, Punjab; Gachon University</t>
  </si>
  <si>
    <t>Privacy preserving skin cancer diagnosis through federated deep learning and explainable AI</t>
  </si>
  <si>
    <t>Skin cancer prediction; Secure deep transfer learning; VGG19; Federated learning; Grad-CAM</t>
  </si>
  <si>
    <t>CLASSIFICATION; NETWORKS</t>
  </si>
  <si>
    <t>Rehman, Ateeq Ur/AAI-6344-2020; Ismael, Waleed m/JKI-2324-2023; Naz, Naila/LOS-6503-2024; Ahmad, Dr. Munir/F-7482-2018; Ahmed, Fahad/KDO-1700-2024; Adnan, Khan Muhammad/ACJ-2841-2022</t>
  </si>
  <si>
    <t>Rehman, Ateeq Ur/0000-0001-5203-0621; Ahmed, Fahad/0009-0006-2320-6038; Adnan, Khan Muhammad/0000-0003-4854-9935</t>
  </si>
  <si>
    <t>OCT 15 2025</t>
  </si>
  <si>
    <t>36094</t>
  </si>
  <si>
    <t>10.1038/s41598-025-19905-8</t>
  </si>
  <si>
    <t>http://dx.doi.org/10.1038/s41598-025-19905-8</t>
  </si>
  <si>
    <t>8SM7N</t>
  </si>
  <si>
    <t>41093964</t>
  </si>
  <si>
    <t>WOS:001596279600032</t>
  </si>
  <si>
    <t>Makhni, S; Rico, J; Cerrato, P; Hill, B; Overgaard, S; Wu, J; Fairbanks, J; Tripp, R; Redziniak, J; Blundo, R; Otley, C; Halamka, J</t>
  </si>
  <si>
    <t>Integrating artificial intelligence (AI) into health care offers the potential to address critical challenges related to access to care, workforce burnout, and health inequities. Despite its promise, AI adoption remains limited due to safety, efficacy, and equity concerns. This paper presents a novel and comprehensive framework for responsible AI development, evaluation, and deployment in health care, encompassing four key phases: (1) AI Solution Design and Development, (2) AI Solution Qualification, (3) AI Solution Efficacy and Safety Evaluation, and (4) AI Solution Impact. By establishing rigorous standards for operational, clinical, and technical quality, the framework aims to guide AI developers and health care professionals toward creating AI solutions that are ethical, effective, and scalable. This structured approach fosters collaboration and mitigates risks to help AI achieve its full potential in improving patient outcomes and health care efficiency. (c) 2025 THE AUTHORS. Published by Elsevier Inc on behalf of Mayo Foundation for Medical Education and Research. This is an open access article under the CC BY-NC-ND license (http://creativecommons.org/licenses/by-nc-nd/4.0/) n Mayo Clin Proc Digital Health 2025;3(4):100294</t>
  </si>
  <si>
    <t>Makhni, Sonya; Rico, Jose; Cerrato, Paul; Hill, Brenton; Overgaard, Shauna; Wu, Jeffrey; Fairbanks, Justin; Tripp, Rachelann; Redziniak, Justin; Blundo, Roberto; Otley, Clark; Halamka, John</t>
  </si>
  <si>
    <t>Makhni, S (corresponding author), Mayo Clin Platform, 200 1st St SW, Rochester, MN 55905 USA.</t>
  </si>
  <si>
    <t>makhni.sonya@mayo.edu</t>
  </si>
  <si>
    <t>[Makhni, Sonya] Mayo Clin Rochester, Dept Hosp Internal Med, Mayo Clin Platform, Rochester, MN USA; [Rico, Jose; Cerrato, Paul; Hill, Brenton; Wu, Jeffrey; Fairbanks, Justin; Tripp, Rachelann; Redziniak, Justin; Blundo, Roberto; Halamka, John] Mayo Clin, Mayo Clin Platform, Rochester, MN USA; [Overgaard, Shauna] Mayo Clin, Rochester, MN USA; [Otley, Clark] Mayo Clin, Dept Dermatol, Mayo Clin Platform, Rochester, MN USA</t>
  </si>
  <si>
    <t>Mayo Clinic; Mayo Clinic; Mayo Clinic; Mayo Clinic</t>
  </si>
  <si>
    <t>A Comprehensive Approach to Responsible AI Development and Deployment</t>
  </si>
  <si>
    <t>MAYO CLINIC PROCEEDINGS: DIGITAL HEALTH</t>
  </si>
  <si>
    <t>ARTIFICIAL-INTELLIGENCE; CHALLENGES</t>
  </si>
  <si>
    <t>Rico Jr, Jose/JWO-4340-2024; Overgaard, Shauna/KYR-1043-2024</t>
  </si>
  <si>
    <t>Makhni, Sonya/0000-0003-4342-1940; Rico Jr, Jose/0009-0009-4809-3203; Overgaard, Shauna/0000-0002-4494-0008</t>
  </si>
  <si>
    <t>2949-7612</t>
  </si>
  <si>
    <t>MAYO CLIN P DIGIT H</t>
  </si>
  <si>
    <t>Mayo Clin. Proc. Digit. Health</t>
  </si>
  <si>
    <t>100294</t>
  </si>
  <si>
    <t>10.1016/j.mcpdig.2025.100294</t>
  </si>
  <si>
    <t>http://dx.doi.org/10.1016/j.mcpdig.2025.100294</t>
  </si>
  <si>
    <t>9PT9D</t>
  </si>
  <si>
    <t>41282583</t>
  </si>
  <si>
    <t>WOS:001612123700001</t>
  </si>
  <si>
    <t>Wang, CL; Liu, Y; Wang, F; Zhang, CX; Wang, YD; Yuan, M; Yang, G</t>
  </si>
  <si>
    <t>Background and Objective: Lung cancer has the highest mortality rate of all deadly cancers in the world. Early detection is essential to the treatment of lung cancer. However, detection and accurate diagnosis of pulmonary nodules depend heavily on the experience of radiologists and can be a heavy workload for them. Computer-aided diagnosis (CAD) systems have been developed to assist radiologists in nodule detection and diagnosis, greatly easing the workload while increasing diagnosis accuracy. Recent developments in deep learning have greatly improved the performance of CAD systems. However, the lack of model reliability and interpretability remains a major obstacle for its large-scale clinical application.Methods: We proposed a multi-task explainable deep-learning model for pulmonary nodule diagnosis, named "ExPN-Net". The proposed ExPN-Net can not only predict lesion malignancy but also identify nodule characteristics. Further, the location of each characteristic can also be visualized for visual interpretability. We first used 3D nnU-Net to obtain the probability maps of lung nodules, which were used as attention for the following classification task. Then, we used an anatomical attention gate (AAG) mechanism to introduce the spatial attention information into the classification network. Finally, the soft activation map (SAM) module is used to generate fine-grained activation maps to indicate the nodule characteristics. To evaluate the performance, we validated ExPN-Net on both public and in-house datasets. 624 and 807 participants were enrolled from the public LIDC and our-inhouse datasets, respectively. The roles of different modules in ExPN-Net are analyzed by ablation experiments.Results: ExPN-Net achieved a test AUC of 0.992 and 0.923 on the LIDC public and in-house datasets, respectively. Moreover, experimental results proved that by incorporating characteristic identification tasks into the multitask model, the accuracy of the malignancy classification can also be improved.Conclusions: This work successfully updates the state-of-the-art diagnosis accuracy of pulmonary nodules by incorporating characteristics and anatomical attention mechanism. Furthermore, our multi-task explainable model provides a solution for AI models to better interact with radiologists in a clinical environment. Source code is available at: https://github.com/KumoLiu/explainablePN.</t>
  </si>
  <si>
    <t>Wang, Chenglong; Liu, Yun; Wang, Fen; Zhang, Chengxiu; Wang, Yida; Yuan, Mei; Yang, Guang</t>
  </si>
  <si>
    <t>Yang, G (corresponding author), East China Normal Univ, Shanghai Key Lab Magnet Resonance, Shanghai 200062, Peoples R China.</t>
  </si>
  <si>
    <t>clwang@phy.ecnu.edu.cn; yuanmeijiangsu@163.com; wangfen0102li@163.com; cxzhang@phy.ecnu.edu.cn; yunl@nvidia.com; ydwang@phy.ecnu.edu.cn; gyang@phy.ecnu.edu.cn</t>
  </si>
  <si>
    <t>Shanghai Pujiang Program [2020PJD016]; China Postdoctoral Science Foundation [2021 M691038]</t>
  </si>
  <si>
    <t>Shanghai Pujiang Program (Shanghai Pujiang Program); China Postdoctoral Science Foundation (China Postdoctoral Science Foundation)</t>
  </si>
  <si>
    <t>Part of this work is sponsored by Shanghai Pujiang Program (Grant No. 2020PJD016) and China Postdoctoral Science Foundation (Grant No. 2021 M691038) . All retrospective use of the data was approved by the local institutional ethics review board, and the requirement for informed consent was waived.</t>
  </si>
  <si>
    <t>[Wang, Chenglong; Liu, Yun; Zhang, Chengxiu; Wang, Yida; Yang, Guang] East China Normal Univ, Shanghai Key Lab Magnet Resonance, Shanghai 200062, Peoples R China; [Wang, Fen; Yuan, Mei] Nanjing Med Univ, Affiliated Hosp 1, Dept Radiol, Nanjing 210029, Peoples R China</t>
  </si>
  <si>
    <t>East China Normal University; Nanjing Medical University</t>
  </si>
  <si>
    <t>Towards reliable and explainable AI model for pulmonary nodule diagnosis</t>
  </si>
  <si>
    <t>Deep learning; CAD; Interpretability; Pulmonary Nodule; Nodule characteristics</t>
  </si>
  <si>
    <t>Yang, Guang/AAU-3926-2020</t>
  </si>
  <si>
    <t>Yang, Guang/0000-0001-8942-427X</t>
  </si>
  <si>
    <t>88</t>
  </si>
  <si>
    <t>105646</t>
  </si>
  <si>
    <t>10.1016/j.bspc.2023.105646</t>
  </si>
  <si>
    <t>http://dx.doi.org/10.1016/j.bspc.2023.105646</t>
  </si>
  <si>
    <t>W6QD8</t>
  </si>
  <si>
    <t>WOS:001092845100001</t>
  </si>
  <si>
    <t>BackgroundWarfarin dosing varies widely due to genetic, demographic, and clinical factors, but it is unknown whether the importance, equilibrium, and prediction uncertainty of established pharmacogenetic predictors (VKORC1 and CYP2C9) differ between arterial (AF/stroke) and venous (DVT/PE) thromboembolic indications.Research design and methodsThis exploratory study (early clinical evaluation) synthesizes findings from the International Warfarin Pharmacogenetics Consortium dataset. We evaluated five machine learning (ML) models, and SHapley Additive exPlanations (SHAP) and Bayesian Additive Regression Trees (BART) analyses were carried out.ResultsRandom Forest demonstrated slightly better predictive performance than other ML models. SHAP analysis quantified feature contributions, revealing that VKORC1 G/G genotype as the most influential in AF/Stroke, while VKORC1 A/A genotype followed by age in the DVT/PE group. BART provided probabilistic predictions and identified indication-specific uncertainty drivers. Age possibly has an interaction effect in the requirements of reduced warfarin doses with AF/Stroke.ConclusionsOur findings reveal that while core genetic and anthropometric predictors of warfarin dose transcend thromboembolic indication, the equilibrium among these factors and sources of prediction uncertainty possibly differ between arterial and venous disease. Integration of ML with SHAP offers a roadmap for personalized warfarin dosing, though prospective validation is needed before clinical implementation.</t>
  </si>
  <si>
    <t>Sridharan, K (corresponding author), Arabian Gulf Univ, Coll Med &amp; Hlth Sci, Dept Pharmacol &amp; Therapeut, POB 26671, Manama, Bahrain.</t>
  </si>
  <si>
    <t>[Sridharan, Kannan] Arabian Gulf Univ, Coll Med &amp; Hlth Sci, Dept Pharmacol &amp; Therapeut, POB 26671, Manama, Bahrain; [Sivaramakrishnan, Gowri] Bahrain Def Force Royal Med Serv, Riffa, Bahrain</t>
  </si>
  <si>
    <t>Predictors of warfarin therapeutic dose across thromboembolic indications: an exploratory early clinical evaluation study using machine learning-integrated explainable artificial intelligence and Bayesian models</t>
  </si>
  <si>
    <t>EXPERT REVIEW OF CLINICAL PHARMACOLOGY</t>
  </si>
  <si>
    <t>Warfarin; personalized therapy; XAI; machine learning; precision medicine</t>
  </si>
  <si>
    <t>MECHANISM; GENOTYPE; IMPACT; RISK</t>
  </si>
  <si>
    <t>Sridharan, Kannan/AAO-1715-2021; Sivaramakrishnan, Gowri/LHA-4016-2024</t>
  </si>
  <si>
    <t>1751-2433</t>
  </si>
  <si>
    <t>1751-2441</t>
  </si>
  <si>
    <t>EXPERT REV CLIN PHAR</t>
  </si>
  <si>
    <t>Expert Rev. Clin. Pharmacol.</t>
  </si>
  <si>
    <t>JUN 3 2026</t>
  </si>
  <si>
    <t>587</t>
  </si>
  <si>
    <t>600</t>
  </si>
  <si>
    <t>10.1080/17512433.2026.2682286</t>
  </si>
  <si>
    <t>http://dx.doi.org/10.1080/17512433.2026.2682286</t>
  </si>
  <si>
    <t>KB7JJ</t>
  </si>
  <si>
    <t>42210631</t>
  </si>
  <si>
    <t>WOS:001782837500001</t>
  </si>
  <si>
    <t>Toque, E; Gutiérrez-Flores, C; Abarca, VE; Vila, S; Silva-Salas, RM; Elias, DA</t>
  </si>
  <si>
    <t>The prevalence of Parkinson's disease (PD) represents a significant global health concern due to its debilitating motor symptoms, particularly tremors. This pilot study presents an interpretable Internet of Medical Things (IoMT)-based monitoring system for analyzing hand tremors in individuals with PD. The proposed framework integrates a 6-axis inertial sensor for motion tracking, a low-power wireless microcontroller for data acquisition and connectivity, and a gradient boosting-based machine learning model (LightGBM) for tremor classification. During the data acquisition phase, signals from a triaxial accelerometer and gyroscope are sampled at 66.67 Hz, covering the characteristic 4-6 Hz Parkinsonian tremor frequency band. A RESTful API transmits the acquired data to a server over Wi-Fi, where it is stored in a relational database. Signal processing includes noise reduction, temporal segmentation, and frequency-domain feature extraction using the fast Fourier transform (FFT). The LightGBM classifier categorizes motor activity into Parkinsonian tremor, voluntary movement, or absence of tremor. Additionally, a web-based user interface supports real-time signal visualization and structured clinical data entry. As a feasibility study, the system demonstrates strong classification performance, achieving 95.64% accuracy and an F1-score of 0.95 on a dataset comprising 10,314 samples from nine participants (four with clinically diagnosed PD and five healthy controls). Although evaluated under controlled laboratory conditions, these results support the potential of the proposed system as a low-cost, interpretable tool for objective tremor assessment and continuous monitoring of Parkinson's disease symptoms.</t>
  </si>
  <si>
    <t>Toque, Erick; Gutierrez-Flores, Cesar; Abarca, Victoria E.; Vila, Sebastian; Silva-Salas, Rosa M.; Elias, Dante A.</t>
  </si>
  <si>
    <t>Abarca, VE (corresponding author), Pontificia Univ Catolica Peru, Biomech &amp; Appl Robot Res Lab, Lima 15088, Peru.</t>
  </si>
  <si>
    <t>estoque@pucp.edu.pe; vila.s@pucp.edu.pe; delias@pucp.pe; victoria.abarca@pucp.edu.pe; rosam.silva@pucp.edu.pe; cesar.gutierrezf@pucp.edu.pe</t>
  </si>
  <si>
    <t>Fondo de Apoyo a la Investigacion, Pontificia Universidad Catolica del Peru</t>
  </si>
  <si>
    <t>This research was supported by the Fondo de Apoyo a la Investigacion 2023 (FAI 2023), Pontificia Universidad Catolica del Peru.</t>
  </si>
  <si>
    <t>[Toque, Erick; Gutierrez-Flores, Cesar; Abarca, Victoria E.; Vila, Sebastian; Silva-Salas, Rosa M.; Elias, Dante A.] Pontificia Univ Catolica Peru, Biomech &amp; Appl Robot Res Lab, Lima 15088, Peru</t>
  </si>
  <si>
    <t>Pontificia Universidad Catolica del Peru</t>
  </si>
  <si>
    <t>IoMT and explainable AI-enabled wearable system for classifying tremor and motor patterns in Parkinson's disease</t>
  </si>
  <si>
    <t>Internet of medical things (IoMT); Wearable sensors; Parkinson's disease; Tremor; Explainable artificial intelligence (XAI)</t>
  </si>
  <si>
    <t>Elias, Dante/JMC-3347-2023</t>
  </si>
  <si>
    <t>109608</t>
  </si>
  <si>
    <t>10.1016/j.rineng.2026.109608</t>
  </si>
  <si>
    <t>http://dx.doi.org/10.1016/j.rineng.2026.109608</t>
  </si>
  <si>
    <t>EE7IW</t>
  </si>
  <si>
    <t>WOS:001699329700002</t>
  </si>
  <si>
    <t>Senoner, J; Schallmoser, S; Kratzwald, B; Feuerriegel, S; Netland, T</t>
  </si>
  <si>
    <t>Artificial intelligence (AI) provides considerable opportunities to assist human work. However, one crucial challenge of human-AI collaboration is that many AI algorithms operate in a black-box manner where the way how the AI makes predictions remains opaque. This makes it difficult for humans to validate a prediction made by AI against their own domain knowledge. For this reason, we hypothesize that augmenting humans with explainable AI improves task performance in human-AI collaboration. To test this hypothesis, we implement explainable AI in the form of visual heatmaps in inspection tasks conducted by domain experts. Visual heatmaps have the advantage that they are easy to understand and help to localize relevant parts of an image. We then compare participants that were either supported by (a) black-box AI or (b) explainable AI, where the latter supports them to follow AI predictions when the AI is accurate or overrule the AI when the AI predictions are wrong. We conducted two preregistered experiments with representative, real-world visual inspection tasks from manufacturing and medicine. The first experiment was conducted with factory workers from an electronics factory, who performed \documentclass[12pt]{minimal} \usepackage{amsmath} \usepackage{wasysym} \usepackage{amsfonts} \usepackage{amssymb} \usepackage{amsbsy} \usepackage{mathrsfs} \usepackage{upgreek} \setlength{\oddsidemargin}{-69pt} \begin{document}$$N=9,600$$\end{document} assessments of whether electronic products have defects. The second experiment was conducted with radiologists, who performed \documentclass[12pt]{minimal} \usepackage{amsmath} \usepackage{wasysym} \usepackage{amsfonts} \usepackage{amssymb} \usepackage{amsbsy} \usepackage{mathrsfs} \usepackage{upgreek} \setlength{\oddsidemargin}{-69pt} \begin{document}$$N=5,650$$\end{document} assessments of chest X-ray images to identify lung lesions. The results of our experiments with domain experts performing real-world tasks show that task performance improves when participants are supported by explainable AI with heatmaps instead of black-box AI. We find that explainable AI as a decision aid improved the task performance by 7.7 percentage points (95% confidence interval [CI]: 3.3% to 12.0%, \documentclass[12pt]{minimal} \usepackage{amsmath} \usepackage{wasysym} \usepackage{amsfonts} \usepackage{amssymb} \usepackage{amsbsy} \usepackage{mathrsfs} \usepackage{upgreek} \setlength{\oddsidemargin}{-69pt} \begin{document}$$P=0.001$$\end{document}) in the manufacturing experiment and by 4.7 percentage points (95% CI: 1.1% to 8.3%, \documentclass[12pt]{minimal} \usepackage{amsmath} \usepackage{wasysym} \usepackage{amsfonts} \usepackage{amssymb} \usepackage{amsbsy} \usepackage{mathrsfs} \usepackage{upgreek} \setlength{\oddsidemargin}{-69pt} \begin{document}$$P=0.010$$\end{document}) in the medical experiment compared to black-box AI. These gains represent a significant improvement in task performance.</t>
  </si>
  <si>
    <t>Senoner, Julian; Schallmoser, Simon; Kratzwald, Bernhard; Feuerriegel, Stefan; Netland, Torbjorn</t>
  </si>
  <si>
    <t>Netland, T (corresponding author), Swiss Fed Inst Technol, Zurich, Switzerland.</t>
  </si>
  <si>
    <t>tnetland@ethz.ch</t>
  </si>
  <si>
    <t>Schweizerischer Nationalfonds zur Frderung der Wissenschaftlichen Forschung [186932]; Swiss National Science Foundation; Siemens</t>
  </si>
  <si>
    <t>Schweizerischer Nationalfonds zur Frderung der Wissenschaftlichen Forschung; Swiss National Science Foundation (Swiss National Science Foundation (SNSF)); Siemens</t>
  </si>
  <si>
    <t>The authors thank all participants, as well as Davide Vecchione, Burak Seyid, and Alexander Dierolf for enabling the manufacturing experiment at Siemens. SF acknowledges funding via Swiss National Science Foundation Grant 186932. TN acknowledges funding from Siemens; however, without competing interest.</t>
  </si>
  <si>
    <t>[Senoner, Julian; Kratzwald, Bernhard; Netland, Torbjorn] Swiss Fed Inst Technol, Zurich, Switzerland; [Schallmoser, Simon; Feuerriegel, Stefan] Ludwig Maximilians Univ Munchen, Munich, Germany; [Schallmoser, Simon; Feuerriegel, Stefan] Munich Ctr Machine Learning MCML, Munich, Germany; [Senoner, Julian; Kratzwald, Bernhard] EthonAI, Zurich, Switzerland</t>
  </si>
  <si>
    <t>Swiss Federal Institutes of Technology Domain; ETH Zurich; University of Munich</t>
  </si>
  <si>
    <t>Explainable AI improves task performance in human-AI collaboration</t>
  </si>
  <si>
    <t>Explainable AI; Task performance; Decision-making; Human-centered AI; Human-AI collaboration</t>
  </si>
  <si>
    <t>EXPLANATIONS; ALGORITHMS; NETWORKS</t>
  </si>
  <si>
    <t>Netland, Torbjørn/C-4944-2013; Feuerriegel, Stefan/ABD-6599-2021</t>
  </si>
  <si>
    <t>31150</t>
  </si>
  <si>
    <t>10.1038/s41598-024-82501-9</t>
  </si>
  <si>
    <t>http://dx.doi.org/10.1038/s41598-024-82501-9</t>
  </si>
  <si>
    <t>Q7O7D</t>
  </si>
  <si>
    <t>39730794</t>
  </si>
  <si>
    <t>WOS:001386530100002</t>
  </si>
  <si>
    <t>Biswas, S; Mostafiz, R; Uddin, MS; Uddin, MS</t>
  </si>
  <si>
    <t>Pneumonia, a severe lung infection caused by various viruses, presents significant challenges in diagnosis and treatment due to its similarities with other respiratory conditions. Additionally, the need to protect patient privacy complicates the sharing of sensitive clinical data. This study introduces FLPneXAINet, an effective framework that combines federated learning (FL) with deep learning (DL) and explainable AI (XAI) to securely and accurately predict pneumonia using chest X-ray (CXR) images. We utilized a benchmark dataset from Kaggle, comprising 8,402 CXR images (3,904 normal and 4,498 pneumonia). The dataset was preprocessed and augmented using a cycle-consistent generative adversarial (CycleGAN) network to increase the volume of training data. Three pre-trained DL models named VGG16, NASNetMobile, and MobileNet were employed to extract features from the augmented dataset. Further, four ensemble DL (EDL) models were used to enhance feature extraction. Feature optimization was performed using recursive feature elimination (RFE), analysis of variance (ANOVA), and random forest (RF) to select the most relevant features. These optimized features were then inputted into machine learning (ML) models, including K-nearest neighbor (KNN), naive bayes (NB), support vector machine (SVM), and RF, for pneumonia prediction. The performance of the models was evaluated in a FL environment, with the EDL network achieving the best results: accuracy 97.61%, F1 score 98.36%, recall 98.13%, and precision 98.59%. The framework's predictions were further validated using two XAI techniques-Local Interpretable Model-Agnostic Explanations (LIME) and Grad-CAM. FLPneXAINet offers a robust solution for healthcare professionals to accurately diagnose pneumonia, ensuring timely treatment while safeguarding patient privacy.</t>
  </si>
  <si>
    <t>Biswas, Shuvo; Mostafiz, Rafid; Uddin, Mohammad Shorif; Uddin, Muhammad Shahin</t>
  </si>
  <si>
    <t>Uddin, MS (corresponding author), Mawlana Bhashani Sci &amp; Technol Univ, Dept Informat &amp; Commun Technol, Tangail, Bangladesh.</t>
  </si>
  <si>
    <t>shahin.mbstu@gmail.com</t>
  </si>
  <si>
    <t>[Biswas, Shuvo; Uddin, Muhammad Shahin] Mawlana Bhashani Sci &amp; Technol Univ, Dept Informat &amp; Commun Technol, Tangail, Bangladesh; [Mostafiz, Rafid] Noakhali Sci &amp; Technol Univ, Inst Informat Technol, Noakhali, Bangladesh; [Uddin, Mohammad Shorif] Jahangirnagar Univ, Dept Comp Sci &amp; Engn, Dhaka, Bangladesh</t>
  </si>
  <si>
    <t>Mawlana Bhashani Science &amp; Technology University; Noakhali Science &amp; Technology University (NSTU); Jahangirnagar University</t>
  </si>
  <si>
    <t>FLPneXAINet: Federated deep learning and explainable AI for improved pneumonia prediction utilizing GAN-augmented chest X-ray data</t>
  </si>
  <si>
    <t>Uddin, Mohammad/L-6994-2019; Biswas, Shuvo/MCY-1673-2025</t>
  </si>
  <si>
    <t>Biswas, Shuvo/0009-0003-1320-2293</t>
  </si>
  <si>
    <t>JUL 17 2025</t>
  </si>
  <si>
    <t>e0324957</t>
  </si>
  <si>
    <t>10.1371/journal.pone.0324957</t>
  </si>
  <si>
    <t>http://dx.doi.org/10.1371/journal.pone.0324957</t>
  </si>
  <si>
    <t>6JB5U</t>
  </si>
  <si>
    <t>40674439</t>
  </si>
  <si>
    <t>WOS:001554553900003</t>
  </si>
  <si>
    <t>Ahamed, MF; Islam, MR; Nahiduzzaman, M; Karim, MJ; Ayari, MA; Khandakar, A</t>
  </si>
  <si>
    <t>Detecting colorectal polyps promptly and accurately is crucial in preventing the progression of colorectal cancer. These polyps cause severe conditions in the colon or rectum, presenting a significant diagnostic challenge. Traditional manual detection through medical imaging is not only bulky and prone to errors but also incurs substantial costs, requiring expert endoscopist. Inefficient detection and treatment can lead to critical health complications. Addressing these issues, we extensively employed various configurations of the state-of-the-art YOLOv8 (n-nano, s-small, m-medium, l-large, and x-extra-large) models for effective polyp localization. Complementing this, we proposed a novel TR-SE-Net model for segmentation, integrating Squeeze-and-Excite Networks (SE-Net) to elevate performance and real-time processing capabilities. The Kvasir-SEG dataset is utilized for training and testing models, supplemented by external validation CVC-ClinicDB, PolypGen, ETIS-LaribPolypDB, EDD 2020, and BKAI-IGH to confirm their efficacy in processing unseen, real-time data. This study delves into the interpretability of these models using explainable AI (XAI), such as eigen visualization for localization and heatmap analysis for segmentation. This exploration provides deeper insights into the decision-making processes of the models, thereby enhancing their reliability. Notably, the YOLOv8m model showcased remarkable prediction speed (approximately 16.61 ms) and excelled in precision (0.946), recall (0.771), F1-score (0.85), mAP(50) (0.886), and mAP(50-95) (0.695), catering to diverse clinical scenarios. The TR-SE-Net demonstrated significant improvements in segmentation performances, including DSC (0.8754), F2-score (0.8786), precision (0.9027), recall (0.8879), accuracy (0.9647), competitive mIoU (0.7961), FPS (54), parameters (27.27 million), and flops (10.59 GMac). Furthermore, A graphical Computer Aided Diagnosis (CAD) system developed utilizing both models can substantially reduce the miss rate because segmentation will assist in polyp detection or vice versa if localization fails. Conclusively, integrating these advanced computer-aided methods substantially enhances colonoscopy procedures by mitigating the risks of colorectal cancer.</t>
  </si>
  <si>
    <t>Ahamed, Md. Faysal; Islam, Md. Rabiul; Nahiduzzaman, Md.; Karim, Md. Jawadul; Ayari, Mohamed Arselene; Khandakar, Amith</t>
  </si>
  <si>
    <t>Ayari, MA (corresponding author), Qatar Univ, Dept Civil &amp; Environm Engn, Doha 2713, Qatar.; Ayari, MA (corresponding author), Qatar Univ, Technol Innovat &amp; Engn Educ Unit TIEE, Doha, Qatar.</t>
  </si>
  <si>
    <t>ArslanA@qu.edu.qa</t>
  </si>
  <si>
    <t>UREP30-196-2-058 from Qatar Research, Development and Innovation (QRDI)</t>
  </si>
  <si>
    <t>[Ahamed, Md. Faysal; Islam, Md. Rabiul] Rajshahi Univ Engn &amp; Technol, Dept Comp Sci &amp; Engn, Rajshahi 6204, Bangladesh; [Nahiduzzaman, Md.; Karim, Md. Jawadul] Rajshahi Univ Engn &amp; Technol, Dept Elect &amp; Comp Engn, Rajshahi 6204, Bangladesh; [Ayari, Mohamed Arselene] Qatar Univ, Dept Civil &amp; Environm Engn, Doha 2713, Qatar; [Ayari, Mohamed Arselene] Qatar Univ, Technol Innovat &amp; Engn Educ Unit TIEE, Doha, Qatar; [Khandakar, Amith] Qatar Univ, Dept Elect Engn, Doha, Qatar</t>
  </si>
  <si>
    <t>Rajshahi University of Engineering &amp; Technology (RUET); Rajshahi University of Engineering &amp; Technology (RUET); Qatar University; Qatar University; Qatar University</t>
  </si>
  <si>
    <t>Automated Detection of Colorectal Polyp Utilizing Deep Learning Methods With Explainable AI</t>
  </si>
  <si>
    <t>Solid modeling; Location awareness; Gastrointestinal tract; Training; Reliability; Real-time systems; Localization; segmentation; YOLOv8; TR-SE-Net; squeeze-and-excite network; colonoscopy; deep learning; Kvasir-SEG; CVC-ClinicDB; PolypGen; ETIS-LaribPolypDB; EDD 2020; BKAI-IGH; explainable AI (XAI)</t>
  </si>
  <si>
    <t>SEGMENTATION; VALIDATION; POLYPECTOMY</t>
  </si>
  <si>
    <t>Nahiduzzaman/GWZ-7870-2022; Islam, Md Rabiul/AHB-4557-2022; Ayari, Mohamed Arselene/R-7691-2019</t>
  </si>
  <si>
    <t>Ahamed, Faysal/0000-0002-7014-3205; Khandakar, Amith/0000-0001-7068-9112; Nahiduzzaman/0000-0003-4126-0389; lslam, Rabiul/0000-0003-1989-4385; Karim, Jawadul/0009-0006-4226-3652; Ayari, Mohamed Arselene/0000-0002-8663-886X</t>
  </si>
  <si>
    <t>43</t>
  </si>
  <si>
    <t>78074</t>
  </si>
  <si>
    <t>78100</t>
  </si>
  <si>
    <t>10.1109/ACCESS.2024.3402818</t>
  </si>
  <si>
    <t>http://dx.doi.org/10.1109/ACCESS.2024.3402818</t>
  </si>
  <si>
    <t>TL9W8</t>
  </si>
  <si>
    <t>WOS:001241545600001</t>
  </si>
  <si>
    <t>Afrash, MR; Rahimi, M; Moulaei, K; Mostafazadeh, B; Rafsanjani, H; Evini, PET; Parvin, M; Sharifi, M; Salehi, S; Daeechini, AH; Baharestani, M; Shadnia, S</t>
  </si>
  <si>
    <t>Background Methanol poisoning poses significant challenges due to its rapid progression and high mortality rate, necessitating timely and accurate ICU admission decisions. Explainable artificial intelligence (XAI) offers transparent insights into these decisions, enhancing trust and interpretability in predictive models. This study aims was to compare the effectiveness of deep learning and machine learning models in predicting ICU admissions for methanol poisoning patients using explainable AI techniques.Methods This study analyzed a dataset of 897 patient records collected from Loghman Hakim Hospital in Tehran, Iran, involving confirmed cases of methanol poisoning. Among these patients, 202 required ICU admission, whereas 695 did not. To develop predictive models, eight established approaches were implemented, including machine learning methods (Support Vector Machine (SVM), Extreme Gradient Boosting (XGBoost), Decision Tree (DT), and Random Forest (RF)) as well as deep learning architectures (Deep Neural Network (DNN), Feedforward Neural Network (FNN), Long Short-Term Memory (LSTM), and Convolutional Neural Network (CNN)). To reduce the risk of overfitting, 10-fold cross-validation and systematic hyperparameter tuning were applied. Model interpretability was ensured using Shapley Additive Explanations (SHAP) and Local Interpretable Model-agnostic Explanations (LIME). The performance of all models was evaluated through multiple metrics, including accuracy, sensitivity, specificity, F1-score, and the area under the ROC curve (AUC).Results Among all DL and ML models, the XGBoost ML model outperformed the others, achieving an accuracy of 92.0%, a precision of 92.0%, a recall of 97.0%, an F1-score of 95.0%, and a AUROC of 92.0%. Among DL models, the FNN emerged as the top performer with an accuracy of 91.0%, precision of 92.0%, recall of 96.0%, F1-score of 94.0%, and AUROC of 90.0%. Generally, ML models exhibited higher accuracy (87% - 92%) than DL models (89% - 91%), with similar precision (75% - 92% for ML, 91% - 92% for DL), recall (90% - 97% for ML, 94% - 96% for DL), F1-scores (82% - 95% for ML, 93% - 94% for DL), and AUROC scores (84% - 92% for ML, 89% - 90% for DL).Conclusion While both ML and DL models demonstrated strong performance, ML models, especially XGBoost, proved to be more effective in predicting ICU admissions for methanol poisoning patients. The proposed model is intended to support early ICU admission risk stratification during the initial emergency department assessment and should be used as a decision-support tool rather than a replacement for clinical judgment.</t>
  </si>
  <si>
    <t>Afrash, Mohammad Reza; Rahimi, Mitra; Moulaei, Khadijeh; Mostafazadeh, Babak; Rafsanjani, Heliya; Evini, Peyman Erfan Talab; Parvin, Mohammad; Sharifi, Mohanna; Salehi, Somayeh; Daeechini, Amir Hossein; Baharestani, Mahdi; Shadnia, Shahin</t>
  </si>
  <si>
    <t>Shadnia, S (corresponding author), Shahid Beheshti Univ Med Sci, Loghman Hakim Hosp, Toxicol Res Ctr, Excellence Ctr Clin Toxicol,Dept Clin Toxicol, Tehran, Iran.</t>
  </si>
  <si>
    <t>mzp0112@auburn.edu; shahin1380@gmail.com</t>
  </si>
  <si>
    <t>Shahid Beheshti University of Medical Sciences (SBMU) [43009342]</t>
  </si>
  <si>
    <t>Shahid Beheshti University of Medical Sciences (SBMU) (Shahid Beheshti University Medical Sciences)</t>
  </si>
  <si>
    <t>This research was funded by Shahid Beheshti University of Medical Sciences (SBMU) (Grant Code: 43009342). The funding body had no involvement in the study design, data collection, or analysis.</t>
  </si>
  <si>
    <t>[Afrash, Mohammad Reza; Salehi, Somayeh] Smart Univ Med Sci, Artificial Intelligence Med Sci Res Ctr, Tehran, Iran; [Rahimi, Mitra; Mostafazadeh, Babak; Evini, Peyman Erfan Talab; Shadnia, Shahin] Shahid Beheshti Univ Med Sci, Loghman Hakim Hosp, Toxicol Res Ctr, Excellence Ctr Clin Toxicol,Dept Clin Toxicol, Tehran, Iran; [Moulaei, Khadijeh] Iran Univ Med Sci, Hlth Management Res Inst, Hlth Management &amp; Econ Res Ctr, Tehran, Iran; [Rafsanjani, Heliya; Baharestani, Mahdi] Network Interdisciplinar Neonates &amp; Infants NINI, Universal Sci Educ &amp; Res Network USERN, Tehran, Iran; [Parvin, Mohammad] Auburn Univ, Dept Ind &amp; Syst Engn, Ind &amp; Syst Engn, Auburn, AL USA; [Sharifi, Mohanna] Tor Vergata Univ, Dept Pharm, Rome, Italy; [Daeechini, Amir Hossein] Univ Tehran Med Sci, Sch Allied Med Sci, Dept Hlth Informat Management &amp; Med Informat, Tehran, Iran</t>
  </si>
  <si>
    <t>Shahid Beheshti University Medical Sciences; Iran University of Medical Sciences; Universal Scientific Education &amp; Research Network (USERN); Auburn University System; Auburn University; University of Rome Tor Vergata; Tehran University of Medical Sciences</t>
  </si>
  <si>
    <t>Explainable artificial intelligence in ICU admission prediction for methanol poisoning patients: a comparative study of deep and machine learning models</t>
  </si>
  <si>
    <t>INTERNATIONAL JOURNAL OF EMERGENCY MEDICINE</t>
  </si>
  <si>
    <t>Explainable AI; ICU; Prediction; Methanol; Poisoning; Deep learning; Machine learning</t>
  </si>
  <si>
    <t>1865-1372</t>
  </si>
  <si>
    <t>1865-1380</t>
  </si>
  <si>
    <t>INT J EMERG MED</t>
  </si>
  <si>
    <t>Int. J. Emergency Medicine</t>
  </si>
  <si>
    <t>197</t>
  </si>
  <si>
    <t>10.1186/s12245-026-01328-5</t>
  </si>
  <si>
    <t>http://dx.doi.org/10.1186/s12245-026-01328-5</t>
  </si>
  <si>
    <t>Emergency Medicine</t>
  </si>
  <si>
    <t>MF7KY</t>
  </si>
  <si>
    <t>WOS:001841165800001</t>
  </si>
  <si>
    <t>Engin, Z</t>
  </si>
  <si>
    <t>This paper introduces the Human-AI Governance (HAIG) framework, contributing to the AI Governance (AIG) field by foregrounding the relational dynamics between human and AI actors rather than treating AI systems as objects of governance alone. Current categorical frameworks (e.g., 'human-in-the-loop' models) inadequately capture how AI systems evolve from 'tools' to 'partners', particularly as foundation models demonstrate emergent capabilities and multi-agent systems exhibit autonomous goal-setting behaviours. As systems are deployed across contexts, agency redistributes in complex patterns that are better represented as positions along continua rather than discrete categories. The HAIG framework operates across three levels: dimensions (Decision Authority, Process Autonomy, and Accountability Configuration), continua (continuous positional spectra along each dimension), and thresholds (critical points along the continua where governance requirements shift qualitatively). The framework's dimensional architecture is level-agnostic, applicable from individual deployment decisions and organisational governance through to sectorial comparison and national/international regulatory design. Unlike risk-based or principle-based approaches that treat governance primarily as a constraint on AI deployment, HAIG adopts a trust-utility orientation - reframing governance as the condition under which human-AI collaboration can realise its potential, calibrating oversight to specific relational contexts rather than predetermined categories. The analysis reveals how technical advances in self-supervision, reasoning authority, and distributed decision-making drive context-dependent and non-uniform evolution in trustworthiness conditions - with consequences for the trust attitudes of relevant stakeholders that existing categorical frameworks are ill-equipped to track. Case studies in healthcare and European regulation demonstrate how HAIG complements existing frameworks while offering a foundation for adaptive regulatory design that anticipates governance challenges before they emerge.</t>
  </si>
  <si>
    <t>Engin, Zeynep</t>
  </si>
  <si>
    <t>Engin, Z (corresponding author), Digital Statecraft Acad, Cambridge, England.; Engin, Z (corresponding author), Univ Coll London UCL, Dept Comp Sci, London, England.</t>
  </si>
  <si>
    <t>z.engin@digitalstatecraft.academy</t>
  </si>
  <si>
    <t>[Engin, Zeynep] Digital Statecraft Acad, Cambridge, England; [Engin, Zeynep] Univ Coll London UCL, Dept Comp Sci, London, England</t>
  </si>
  <si>
    <t>University of London; University College London</t>
  </si>
  <si>
    <t>Human-AI governance (HAIG): A trust-utility approach</t>
  </si>
  <si>
    <t>JOURNAL OF RESPONSIBLE TECHNOLOGY</t>
  </si>
  <si>
    <t>Human-AI governance (HAIG); Trust-utility; Agentic AI; Dimensional governance; Trust dynamics; AI oversight; Foundation models</t>
  </si>
  <si>
    <t>AUTOMATION BIAS; DECISION-MAKING; MACHINE; PRINCIPLES; SCIENCE</t>
  </si>
  <si>
    <t>109</t>
  </si>
  <si>
    <t>2666-6596</t>
  </si>
  <si>
    <t>J RESPONSIB TECHNOL</t>
  </si>
  <si>
    <t>J. Responsib. Technol.</t>
  </si>
  <si>
    <t>100167</t>
  </si>
  <si>
    <t>10.1016/j.jrt.2026.100167</t>
  </si>
  <si>
    <t>http://dx.doi.org/10.1016/j.jrt.2026.100167</t>
  </si>
  <si>
    <t>Computer Science, Artificial Intelligence; Social Issues</t>
  </si>
  <si>
    <t>Computer Science; Social Issues</t>
  </si>
  <si>
    <t>HX0XE</t>
  </si>
  <si>
    <t>WOS:001764746900001</t>
  </si>
  <si>
    <t>Gizzini, AK; Medjahdi, Y; Ghandour, AJ; Clavier, L</t>
  </si>
  <si>
    <t>The support of artificial intelligence (AI) based decision-making is a key element in future 6G networks. Moreover, AI is widely employed in critical applications such as autonomous driving and medical diagnosis. In such applications, using AI as black-box models is risky and challenging. Hence, it is crucial to understand and trust the decisions taken by these models. Tackling this issue can be achieved by developing explainable AI (XAI) schemes that aim to explain the logic behind the black-box model behavior, and thus, ensure its efficient and safe deployment. Highlighting the relevant inputs the black-box model uses to accomplish the desired prediction is essential towards ensuring its interpretability. Recently, we proposed a novel perturbation-based feature selection framework called XAI-CHEST and oriented toward channel estimation in wireless communications. This manuscript provides the detailed theoretical foundations of the XAI-CHEST framework. In particular, we derive the analytical expressions of the XAI-CHEST loss functions and the noise threshold fine-tuning optimization problem. Hence the designed XAI-CHEST delivers a smart low-complex one-shot input feature selection methodology for high-dimensional model input that can further improve the overall performance while optimizing the architecture of the employed model. Simulation results show that the XAI-CHEST framework outperforms the classical feature selection XAI schemes such as local interpretable model-agnostic explanations (LIME) and shapley additive explanations (SHAP), mainly in terms of interpretability resolution as well as providing better performance-complexity trade-off.</t>
  </si>
  <si>
    <t>Gizzini, Abdul Karim; Medjahdi, Yahia; Ghandour, Ali J.; Clavier, Laurent</t>
  </si>
  <si>
    <t>Gizzini, AK (corresponding author), SogetiLabs Res &amp; Innovat, Capgemini, F-92130 Issy Les Moulineaux, France.</t>
  </si>
  <si>
    <t>abdul.gizzini@sogeti.com</t>
  </si>
  <si>
    <t>Travel Project through French National Research Agency (ANR) [ANR-24-IAS1-0003]</t>
  </si>
  <si>
    <t>Travel Project through French National Research Agency (ANR) (Agence Nationale de la Recherche (ANR), Association Nationale de la Recherche et de la Technologie (ANRT))</t>
  </si>
  <si>
    <t>This work was supported by the framework of the Travel Project through French National Research Agency (ANR) under Grant ANR-24-IAS1-0003.</t>
  </si>
  <si>
    <t>[Gizzini, Abdul Karim] SogetiLabs Res &amp; Innovat, Capgemini, F-92130 Issy Les Moulineaux, France; [Medjahdi, Yahia; Clavier, Laurent] Univ Lille, Inst Mines Telecom, Ctr Digital Syst, IMT Nord Europe, F-59000 Lille, France; [Ghandour, Ali J.] Natl Council Sci Res, CNRS, Natl Ctr Remote Sensing, Beirut 1103, Lebanon</t>
  </si>
  <si>
    <t>Capgemini; IMT - Institut Mines-Telecom; Universite de Lille; IMT Nord Europe; Centre National de la Recherche Scientifique (CNRS) - Lebanon; National Center for Remote Sensing (CNRSL)</t>
  </si>
  <si>
    <t>Explainable AI for Enhancing Efficiency of DL-Based Channel Estimation</t>
  </si>
  <si>
    <t>IEEE TRANSACTIONS ON MACHINE LEARNING IN COMMUNICATIONS AND NETWORKING</t>
  </si>
  <si>
    <t>Channel estimation; Explainable AI; Closed box; Computational modeling; Predictive models; 6G mobile communication; Wireless communication; Adaptation models; Accuracy; Feature extraction; 6G; AI; XAI; perturbation-based; feature selection; channel estimation</t>
  </si>
  <si>
    <t>Gizzini, Abdul Karim/AEV-3241-2022; Ghandour, Ali/H-5170-2012; Clavier, Laurent/R-5767-2017; /AEX-3323-2022</t>
  </si>
  <si>
    <t>Gizzini, Abdul Karim/0000-0001-7642-5900; Ghandour, Ali/0000-0002-2430-8443; Clavier, Laurent/0000-0002-3279-930X</t>
  </si>
  <si>
    <t>2831-316X</t>
  </si>
  <si>
    <t>IEEE T MACH LEARN CO</t>
  </si>
  <si>
    <t>IEEE Trans. Mach. Learn. Commun. Netw.</t>
  </si>
  <si>
    <t>976</t>
  </si>
  <si>
    <t>996</t>
  </si>
  <si>
    <t>10.1109/TMLCN.2025.3596548</t>
  </si>
  <si>
    <t>http://dx.doi.org/10.1109/TMLCN.2025.3596548</t>
  </si>
  <si>
    <t>Computer Science, Artificial Intelligence; Telecommunications</t>
  </si>
  <si>
    <t>Computer Science; Telecommunications</t>
  </si>
  <si>
    <t>6ER1Z</t>
  </si>
  <si>
    <t>WOS:001551558600001</t>
  </si>
  <si>
    <t>Lin, CH; Chen, ZL; Wu, CK; Wu, TC; Ma, CW</t>
  </si>
  <si>
    <t>Vascular access dysfunction is a prevalent and critical complication among hemodialysis patients, particularly in Taiwan, which has the highest proportion of dialysis patients globally. Early diagnosis and effective management are essential for improving patient outcomes. However, traditional diagnostic approaches, such as routine surveillance and fixed blood flow thresholds, often fail to reliably identify patients requiring timely surgical intervention. To address these challenges, this study proposes a trustworthy AI system utilizing an uncertainty-aware, tree-based machine learning framework to improve the assessment of vascular access dysfunction. The proposed framework incorporates advanced uncertainty management techniques to address both aleatoric uncertainty (data uncertainty) originating from inherent data variability, and epistemic uncertainty (model uncertainty) arising from model limitations. Aleatoric uncertainty is systematically quantified using a multipass perturbation strategy that simulates sample variability to capture the distribution of potential outcomes, while epistemic uncertainty is mitigated using ensemble methods. By leveraging the multipass perturbation strategy, the framework generates calibrated uncertainty estimations. To increase the reliability and trustworthiness of clinical decision-making, the framework assigns low-confidence (high-uncertainty) predictions to an 'Uncertain' category, thereby achieving a near-zero leakage rate, which is crucial in high-stakes clinical scenarios. Additionally, an extended confusion matrix and novel uncertainty metrics are introduced to comprehensively evaluate model performance. The system has been validated using real-world hospital datasets, demonstrating its deployable AI potential with superior predictive accuracy, sensitivity, and robustness compared to traditional methods such as the Kidney Disease Outcomes Quality Initiative (KDOQI) guidelines.</t>
  </si>
  <si>
    <t>Lin, Chia-Hsun; Chen, Zheng Lin; Wu, Chung-Kuan; Wu, Tsen-Che; Ma, Ching-Wen</t>
  </si>
  <si>
    <t>Ma, CW (corresponding author), Natl Yang Ming Chiao Tung Univ, Coll Artificial Intelligence, Hsinchu, Taiwan.</t>
  </si>
  <si>
    <t>machingwen@nycu.edu.tw</t>
  </si>
  <si>
    <t>Shin Kong Wu Ho-Su Memorial Hospital; National Yang Ming Chiao Tung University [112-SKH-NYCU-03, 2024SKHADR014]; National Yang Ming Chiao Tung University</t>
  </si>
  <si>
    <t>Shin Kong Wu Ho-Su Memorial Hospital; National Yang Ming Chiao Tung University; National Yang Ming Chiao Tung University</t>
  </si>
  <si>
    <t>This work was supported by the Shin Kong Wu Ho-Su Memorial Hospital and the National Yang Ming Chiao Tung University under Grant 112-SKH-NYCU-03 and Grant 2024SKHADR014.</t>
  </si>
  <si>
    <t>[Lin, Chia-Hsun; Wu, Chung-Kuan] Fu Jen Catholic Univ, Sch Med, Taipei, Taiwan; [Lin, Chia-Hsun] Shin Kong Wu Ho Su Mem Hosp, Dept Surg, Div Cardiovasc Surg, Taipei, Taiwan; [Chen, Zheng Lin; Wu, Tsen-Che; Ma, Ching-Wen] Natl Yang Ming Chiao Tung Univ, Coll Artificial Intelligence, Hsinchu, Taiwan; [Wu, Chung-Kuan] Shin Kong Wu Ho Su Mem Hosp, Dept Internal Med, Div Nephrol, Taipei, Taiwan; [Wu, Chung-Kuan] Shin Kong Wu Ho Su Mem Hosp, Dept Digital Med, Div Digital Informat Management, Taipei, Taiwan</t>
  </si>
  <si>
    <t>Fu Jen Catholic University; Shin Kong Wu Ho Su Memorial Hospital; National Yang Ming Chiao Tung University; Shin Kong Wu Ho Su Memorial Hospital; Shin Kong Wu Ho Su Memorial Hospital</t>
  </si>
  <si>
    <t>A Trustworthy Model With Uncertainty Management for Predicting Vascular Access Dysfunction in Hemodialysis Patients</t>
  </si>
  <si>
    <t>Uncertainty; Data models; Reliability; Predictive models; Ensemble learning; Surgery; Machine learning; Surveillance; Guidelines; Decision making; Deployable AI; uncertainty quantification; machine learning; toward zero leakage rate AI; tree-based models; trustworthy AI system; vascular access dysfunction</t>
  </si>
  <si>
    <t>QUANTIFICATION</t>
  </si>
  <si>
    <t>Wu, Chung-Kuan/N-5000-2018</t>
  </si>
  <si>
    <t>Wu, Tsen-Che/0009-0000-4270-9083; Ma, Ching-Wen/0000-0001-8813-6292; Chia-Hsun, Lin/0000-0003-1041-0516</t>
  </si>
  <si>
    <t>171511</t>
  </si>
  <si>
    <t>171522</t>
  </si>
  <si>
    <t>10.1109/ACCESS.2025.3612957</t>
  </si>
  <si>
    <t>http://dx.doi.org/10.1109/ACCESS.2025.3612957</t>
  </si>
  <si>
    <t>8JE9M</t>
  </si>
  <si>
    <t>WOS:001589952200030</t>
  </si>
  <si>
    <t>Dietrich, N; Gong, B; Patlas, MN</t>
  </si>
  <si>
    <t>Artificial intelligence (AI) is rapidly transforming radiology, with applications spanning disease detection, lesion segmentation, workflow optimization, and report generation. As these tools become more integrated into clinical practice, new concerns have emerged regarding their vulnerability to adversarial attacks. This review provides an in-depth overview of adversarial AI in radiology, a topic of growing relevance in both research and clinical domains. It begins by outlining the foundational concepts and model characteristics that make machine learning systems particularly susceptible to adversarial manipulation. A structured taxonomy of attack types is presented, including distinctions based on attacker knowledge, goals, timing, and computational frequency. The clinical implications of these attacks are then examined across key radiology tasks, with literature highlighting risks to disease classification, image segmentation and reconstruction, and report generation. Potential downstream consequences such as patient harm, operational disruption, and loss of trust are discussed. Current mitigation strategies are reviewed, spanning input-level defenses, model training modifications, and certified robustness approaches. In parallel, the role of broader lifecycle and safeguard strategies are considered. By consolidating current knowledge across technical and clinical domains, this review helps identify gaps, inform future research priorities, and guide the development of robust, trustworthy AI systems in radiology.</t>
  </si>
  <si>
    <t>Dietrich, Nicholas; Gong, Bo; Patlas, Michael N.</t>
  </si>
  <si>
    <t>Dietrich, N (corresponding author), Univ Toronto, Temerty Fac Med, Toronto, ON M5S 1A8, Canada.</t>
  </si>
  <si>
    <t>nicholas.dietrich@mail.utoronto.ca</t>
  </si>
  <si>
    <t>[Dietrich, Nicholas] Univ Toronto, Temerty Fac Med, Toronto, ON M5S 1A8, Canada; [Gong, Bo; Patlas, Michael N.] Univ Toronto, Temerty Fac Med, Dept Med Imaging, Toronto, ON M5T 1W7, Canada; [Gong, Bo] Univ Toronto, Dept Comp Sci, Toronto, ON M5S 2E4, Canada</t>
  </si>
  <si>
    <t>University of Toronto; University of Toronto; University of Toronto</t>
  </si>
  <si>
    <t>Adversarial artificial intelligence in radiology: Attacks, defenses, and future considerations</t>
  </si>
  <si>
    <t>DIAGNOSTIC AND INTERVENTIONAL IMAGING</t>
  </si>
  <si>
    <t>Adversarial attacks; Artificial intelligence; Cybersecurity; Machine learning; Medical imaging</t>
  </si>
  <si>
    <t>Gong, Bo/E-6820-2011</t>
  </si>
  <si>
    <t>ELSEVIER MASSON, CORP OFF</t>
  </si>
  <si>
    <t>PARIS</t>
  </si>
  <si>
    <t>65 CAMILLE DESMOULINS CS50083 ISSY-LES-MOULINEAUX, 92442 PARIS, FRANCE</t>
  </si>
  <si>
    <t>2211-5684</t>
  </si>
  <si>
    <t>DIAGN INTERV IMAG</t>
  </si>
  <si>
    <t>Diagn. Interv. Imaging</t>
  </si>
  <si>
    <t>106</t>
  </si>
  <si>
    <t>375</t>
  </si>
  <si>
    <t>384</t>
  </si>
  <si>
    <t>10.1016/j.diii.2025.05.006</t>
  </si>
  <si>
    <t>http://dx.doi.org/10.1016/j.diii.2025.05.006</t>
  </si>
  <si>
    <t>9KF8R</t>
  </si>
  <si>
    <t>40404555</t>
  </si>
  <si>
    <t>WOS:001608346000004</t>
  </si>
  <si>
    <t>Shahbaz, M; Basharat, A; Yasmin, R; Ahmad, N; Abbasi, R; Hussain, S</t>
  </si>
  <si>
    <t>Leukemia, a prevalent childhood cancer affecting the blood and bone marrow, necessitates a proactive approach to risk mitigation through lifestyle adaptations. Despite previous investigations into similar aspects across different cancer types, a comprehensive inquiry focusing on all leukemia subtypes within Pakistan remains a significant research gap. Acknowledging the influence of regional variations on individuals' lifestyles, this study aims to identify lifestyle and demographic factors associated with leukemia development and predict specific leukemia subtypes using clinical data. Our data collection included 364 leukemia cases and 896 control subjects, gathered from different cancer or tertiary care hospitals in Islamabad and Peshawar, Pakistan. The data was meticulously categorized into laboratory results, demographic characteristics, and lifestyle parameters. For demographic and lifestyle analysis, we employed advanced techniques of Machine Learning, and statistical and graph-based methodologies to assess leukemia development risk. This study highlights factors associated with a higher risk of leukemia, including passive smoking, rural residence, and poor nutrition. These insights emphasize the promotion of healthier lifestyle choices to potentially reduce leukemia incidences. Additionally, we transformed the clinical dataset into graph data, which was utilized for leukemia classification and subtype prediction. We conducted classification on both graph and structured (tabular) data, with the structured data, achieving a 96% accuracy rate, notably on oversampled data. To enhance the interoperability of our classification outcomes, we employed the SHapley Additive exPlanations (SHAP) algorithm to explain the classification, offering comprehensive insights into the rationale behind leukemia classification.</t>
  </si>
  <si>
    <t>Shahbaz, Maryam; Basharat, Amna; Yasmin, Rehana; Ahmad, Nafees; Abbasi, Rashada; Hussain, Shujaat</t>
  </si>
  <si>
    <t>Science Citation Index Expanded (SCI-EXPANDED); Emerging Sources Citation Index (ESCI)</t>
  </si>
  <si>
    <t>Basharat, A (corresponding author), Natl Univ Comp &amp; Emerging Sci, Islamabad 44000, Pakistan.</t>
  </si>
  <si>
    <t>amna.basharat@nu.edu.pk</t>
  </si>
  <si>
    <t>[Shahbaz, Maryam; Basharat, Amna] Natl Univ Comp &amp; Emerging Sci, Islamabad 44000, Pakistan; [Yasmin, Rehana] Quaid i Azam Univ, Islamabad 15320, Pakistan; [Ahmad, Nafees] Inst Biomed &amp; Genet Engn, Islamabad 44000, Pakistan; [Hussain, Shujaat] Oxford Brookes Univ, Sch Engn Comp &amp; Math, Oxford OX3 0BP, England</t>
  </si>
  <si>
    <t>Quaid I Azam University; Oxford Brookes University</t>
  </si>
  <si>
    <t>Leveraging Explainable AI for Early Risk Prediction and Type Classification for Leukemia: Insights Using Clinical Data From Pakistan</t>
  </si>
  <si>
    <t>IEEE JOURNAL OF BIOMEDICAL AND HEALTH INFORMATICS</t>
  </si>
  <si>
    <t>Leukemia; Accuracy; Data models; Predictive models; Classification algorithms; Blood; Prediction algorithms; Pediatrics; Medical diagnostic imaging; Hospitals; Classification; demography; graph data; leukemia; lifestyle; risk factors</t>
  </si>
  <si>
    <t>Shahid, Muhammad Khalid/KAM-3375-2024; Mahmood, Khalid/B-1160-2008; Yasmin, Rehana/HCI-8853-2022; Hussain, Shujaat/HSD-5917-2023; abdullah, hamdy/G-1570-2011</t>
  </si>
  <si>
    <t>Shahid, Muhammad Khalid/0000-0001-8593-9620; Basharat, Amna/0000-0002-5744-6498; Hussain Kausar, Shujaat/0000-0001-6607-2814; Shahbaz, Maryam/0009-0005-3185-8530; Ahmad, Nafees/0000-0002-7436-7644; abdullah, hamdy/0009-0006-7254-8827</t>
  </si>
  <si>
    <t>2168-2194</t>
  </si>
  <si>
    <t>2168-2208</t>
  </si>
  <si>
    <t>IEEE J BIOMED HEALTH</t>
  </si>
  <si>
    <t>IEEE J. Biomed. Health Inform.</t>
  </si>
  <si>
    <t>4672</t>
  </si>
  <si>
    <t>4679</t>
  </si>
  <si>
    <t>10.1109/JBHI.2025.3531294</t>
  </si>
  <si>
    <t>http://dx.doi.org/10.1109/JBHI.2025.3531294</t>
  </si>
  <si>
    <t>Computer Science, Information Systems; Computer Science, Interdisciplinary Applications; Mathematical &amp; Computational Biology; Medical Informatics</t>
  </si>
  <si>
    <t>Computer Science; Mathematical &amp; Computational Biology; Medical Informatics</t>
  </si>
  <si>
    <t>4ON9W</t>
  </si>
  <si>
    <t>40031230</t>
  </si>
  <si>
    <t>WOS:001522930100049</t>
  </si>
  <si>
    <t>Humayun, A; Nawi, MAB; Siddiqui, MI; Kabir, R; Babalola, A</t>
  </si>
  <si>
    <t>Accurate prediction of mental health outcomes is vital for early intervention and effective resource allocation, yet existing methods often struggle to balance predictive accuracy with interpretability, a key requirement in clinical and policy settings. This study addresses this dual challenge by introducing a hybrid mathematical framework that combines Multiple Logistic Regression (MLR), known for its transparency, is used with a Multilayer Perceptron (MLP), which is recognized for its ability to capture complex non-linear patterns. Explainability is further enhanced through the incorporation of SHapley Additive exPlanations (SHAP) for global feature attribution and Local Interpretable Model-Agnostic Explanations (LIME) for case-specific interpretive clarity. Applied to a structured dataset of 310 university students, the proposed hybrid model achieved a prediction accuracy of 97.81% and sensitivity of 94.74%, significantly outperforming the standalone MLR model (80.65% accuracy). This performance gain is not only statistically validated but also accompanied by transparent, interpretable insights into the contribution of sociodemographic factors to mental health outcomes. The proposed framework offers a practical solution to the long-standing trade-off between model accuracy and explainability, and has the potential to be applied across various healthcare domains where interpretability is as crucial as predictive performance.</t>
  </si>
  <si>
    <t>Humayun, Arsalan; Nawi, Mohamad Arif Bin Awang; Siddiqui, Muhammad Ilyas; Kabir, Russell; Babalola, Abdulhafeez</t>
  </si>
  <si>
    <t>Nawi, MAB (corresponding author), Univ Sains Malaysia, Sch Dent Sci, Biostastist Unit, Hlth Campus, Kubang Kerian 16150, Kelantan, Malaysia.</t>
  </si>
  <si>
    <t>mohamadarif@usm.my</t>
  </si>
  <si>
    <t>Department of Community Medicine and Public Health Sciences; LUMHS Jamshoro, Pakistan; Universiti Sains Malaysia</t>
  </si>
  <si>
    <t>Department of Community Medicine and Public Health Sciences; LUMHS Jamshoro, Pakistan; Universiti Sains Malaysia (Universiti Sains Malaysia)</t>
  </si>
  <si>
    <t>We would like to express our gratitude to the participants who generously answered the study's questionnaire. We are also thankful to the Department of Community Medicine and Public Health Sciences, LUMHS Jamshoro, Pakistan, and extend our acknowledgment to Universiti Sains Malaysia for their support.</t>
  </si>
  <si>
    <t>[Humayun, Arsalan] Shaheed Mohtarma Benazir Bhutto Med Univ, Bibi Aseefa Dent Coll, Larkana, Pakistan; [Humayun, Arsalan] Univ Sains Malaysia, Sch Dent Sci, Hlth Campus, Kubang Kerian 16150, Kelantan, Malaysia; [Nawi, Mohamad Arif Bin Awang] Univ Sains Malaysia, Sch Dent Sci, Biostastist Unit, Hlth Campus, Kubang Kerian 16150, Kelantan, Malaysia; [Siddiqui, Muhammad Ilyas] Univ Med &amp; Hlth Sci, Dept Liaquat, Jamshoro, Pakistan; [Kabir, Russell] Anglia Ruskin Univ, East Rd, Cambridge CB1 1PT, England; [Babalola, Abdulhafeez] Univ Sains Malaysia, Sch Hlth Sci, Biomed Programme, Hlth Campus, Kubang Kerian 16150, Kelantan, Malaysia</t>
  </si>
  <si>
    <t>Universiti Sains Malaysia; Universiti Sains Malaysia; Anglia Ruskin University; Universiti Sains Malaysia</t>
  </si>
  <si>
    <t>A Hybrid Mathematical Framework Combining Logistic Regression and Neural Networks with Explainable AI Techniques for Mental Health Prediction</t>
  </si>
  <si>
    <t>CONTEMPORARY MATHEMATICS</t>
  </si>
  <si>
    <t>hybrid predictive modeling; logistic regression; MLP; Explainable AI (SHAP, LIME); predictive modelling; mental health</t>
  </si>
  <si>
    <t>Humayun, Arsalan/HRB-9755-2023; Kabir, Russell/H-9715-2019</t>
  </si>
  <si>
    <t>Babalola, Abdulhafeez/0009-0005-2989-4751</t>
  </si>
  <si>
    <t>Universal Wiser Publisher</t>
  </si>
  <si>
    <t>Singapore</t>
  </si>
  <si>
    <t>400 Orchard Road, #06-05 Orchard Towers, Singapore, SINGAPORE</t>
  </si>
  <si>
    <t>2705-1064</t>
  </si>
  <si>
    <t>2705-1056</t>
  </si>
  <si>
    <t>CONTEMP MATH-SINGAP</t>
  </si>
  <si>
    <t>Contemp. Math.</t>
  </si>
  <si>
    <t>10.37256/cm.6520258031</t>
  </si>
  <si>
    <t>http://dx.doi.org/10.37256/cm.6520258031</t>
  </si>
  <si>
    <t>Mathematics, Applied; Mathematics</t>
  </si>
  <si>
    <t>Mathematics</t>
  </si>
  <si>
    <t>8FI7F</t>
  </si>
  <si>
    <t>WOS:001587331100005</t>
  </si>
  <si>
    <t>Brown, CC; Gomez-Acevedo, H; Amick, BC III; Tilford, JM; Bryant-Moore, K; Thomsen, M</t>
  </si>
  <si>
    <t>Objective: Evaluating whether common algorithmic fairness-improving approaches can improve low-birth-weight predictive model performance can provide important implications for population health management and health equity. This study aimed to evaluate alternative approaches for improving algorithmic fairness for low-birth-weight predictive models. Study design: Retrospective, cross-sectional study of birth certificates linked with medical insurance claims. Methods: Birth certificates (n = 191,943; 2014-2022) were linked with insurance claims (2013-2021) from the Arkansas All-Payer Claims Database to assess alternative approaches for algorithmic fairness in predictive models for low birth weight (&lt; 2500 g). We fit an original model and compared 6 fairness-improving approaches using elastic net models trained and tested with 70/30 balanced random split samples and 10-fold cross validation. Results: The original model had lower accuracy (percent predicted correctly) in predicting low birth weight among Black, Native Hawaiian/Other Pacific Islander, Asian, and unknown racial/ethnic populations relative to White individuals. For Black individuals, accuracy increased with all 6 fairness-improving approaches relative to the original model; however, sensitivity (true-positives correctly predicted as low birth weight) significantly declined, as much as 31% (from 0.824 to 0.565), in 5 of 6 approaches. Conclusions: When developing and implementing decision-making algorithms, it is critical that model performance metrics align with management goals for the predictive tool. In our study, fairness-improving models improved accuracy and area under the curve scores for Black individuals but decreased sensitivity and negative predictive value, suggesting that the original model, although unfair, was not improved. Implementation of unfair models for allocating preventive services could perpetuate racial/ethnic inequities by failing to identify individuals most at risk for a low-birth-weight delivery.</t>
  </si>
  <si>
    <t>Brown, Clare C.; Gomez-Acevedo, Horacio; Amick III, Benjamin C.; Tilford, J. Mick; Bryant-Moore, Keneshia; Thomsen, Michael</t>
  </si>
  <si>
    <t>Brown, CC (corresponding author), Univ Arkansas Med Sci, 4301 Markham St,Slot 820-12, Little Rock, AR 72205 USA.</t>
  </si>
  <si>
    <t>cbrown3@uams.edu</t>
  </si>
  <si>
    <t>National Institute on Minority Health and Health Disparities of the National Institutes of Health (NIH); Arkansas Insurance Department/Arkansas Biosciences Institute/Arkansas Center for Health Improvement All-Payer Claims Database Cooperative Agreement; National Institute of Mental Health of the NIH; National Center for Advancing Translational Sciences of the NIH [U54TR001629]; National Institute of Diabetes and Digestive and Kidney Diseases of the NIH [1R01DK125641]</t>
  </si>
  <si>
    <t>National Institute on Minority Health and Health Disparities of the National Institutes of Health (NIH); Arkansas Insurance Department/Arkansas Biosciences Institute/Arkansas Center for Health Improvement All-Payer Claims Database Cooperative Agreement; National Institute of Mental Health of the NIH; National Center for Advancing Translational Sciences of the NIH (United States Department of Health &amp; Human Services, National Institutes of Health (NIH) - USA, NIH National Center for Advancing Translational Sciences (NCATS)); National Institute of Diabetes and Digestive and Kidney Diseases of the NIH (United States Department of Health &amp; Human Services, National Institutes of Health (NIH) - USA, NIH National Institute of Diabetes &amp; Digestive &amp; Kidney Diseases (NIDDK))</t>
  </si>
  <si>
    <t>Dr Brown is supported by the National Institute on Minority Health and Health Disparities of the National Institutes of Health (NIH; 1K01MD018072) . Access to data for this project was provided by the Arkansas Insurance Department/Arkansas Biosciences Institute/Arkansas Center for Health Improvement All-Payer Claims Database Cooperative Agreement. Dr Tilford reports receiving support from the National Institute of Mental Health (R01MH133857) of the NIH, the National Center for Advancing Translational Sciences of the NIH (U54TR001629) , and the National Institute of Diabetes and Digestive and Kidney Diseases of the NIH (1R01DK125641) . The content of this paper is solely the responsibility of the authors and does not necessarily represent the official views of the funders. Funders had no role in the design, analysis, orwriting of this article.</t>
  </si>
  <si>
    <t>[Brown, Clare C.; Gomez-Acevedo, Horacio; Amick III, Benjamin C.; Tilford, J. Mick; Bryant-Moore, Keneshia; Thomsen, Michael] Univ Arkansas Med Sci, 4301 Markham St,Slot 820-12, Little Rock, AR 72205 USA</t>
  </si>
  <si>
    <t>University of Arkansas System; University of Arkansas Medical Sciences</t>
  </si>
  <si>
    <t>Predictive Models for Low Birth Weight: A Comparative Analysis of Algorithmic Fairness-Improving Approaches</t>
  </si>
  <si>
    <t>AMERICAN JOURNAL OF MANAGED CARE</t>
  </si>
  <si>
    <t>HEALTH; BIAS; RISK</t>
  </si>
  <si>
    <t>Gomez-Acevedo, Horacio/AAR-8783-2021</t>
  </si>
  <si>
    <t>Brown, Clare/0000-0001-7149-4739; Thomsen, Michael/0000-0003-2089-9239</t>
  </si>
  <si>
    <t>MANAGED CARE &amp; HEALTHCARE COMMUNICATIONS LLC</t>
  </si>
  <si>
    <t>PLAINSBORO</t>
  </si>
  <si>
    <t>666 PLAINSBORO RD, STE 300, PLAINSBORO, NJ 08536 USA</t>
  </si>
  <si>
    <t>1088-0224</t>
  </si>
  <si>
    <t>AM J MANAG CARE</t>
  </si>
  <si>
    <t>Am. J. Manag. Care</t>
  </si>
  <si>
    <t>10.37765/ajmc.2025.89737</t>
  </si>
  <si>
    <t>http://dx.doi.org/10.37765/ajmc.2025.89737</t>
  </si>
  <si>
    <t>Health Care Sciences &amp; Services; Health Policy &amp; Services; Medicine, General &amp; Internal</t>
  </si>
  <si>
    <t>2XN2S</t>
  </si>
  <si>
    <t>40387721</t>
  </si>
  <si>
    <t>WOS:001493676700001</t>
  </si>
  <si>
    <t>Lv, B; Li, S; Liu, Y; Wang, W; Li, HY; Zhang, XY; Sha, YH; Yang, XF; Yang, Y; Wang, Y; Zhang, CF; Wang, YL; Lv, CF; Xie, GT; Wang, K</t>
  </si>
  <si>
    <t>Purpose: To develop and validate an artificial intelligence framework for identifying multiple retinal lesions at image level and performing an explainable macular disease diagnosis at eye level in optical coherence tomography images. Methods: A total of 26,815 optical coherence tomography images were collected from 865 eyes, and 9 retinal lesions and 3 macular diseases were labeled by ophthalmologists, including diabetic macular edema and dry/wet age-related macular degeneration. We applied deep learning to classify retinal lesions at image level and random forests to achieve an explainable disease diagnosis at eye level. The performance of the integrated two-stage framework was evaluated and compared with human experts. Results: On testing data set of 2,480 optical coherence tomography images from 80 eyes, the deep learning model achieved an average area under curve of 0.978 (95% confidence interval, 0.971-0.983) for lesion classification. In addition, random forests performed accurate disease diagnosis with a 0% error rate, which achieved the same accuracy as one of the human experts and was better than the other three experts. It also revealed that the detection of specific lesions in the center of macular region had more contribution to macular disease diagnosis. Conclusion: The integrated method achieved high accuracy and interpretability in retinal lesion classification and macular disease diagnosis in optical coherence tomography images and could have the potential to facilitate the clinical diagnosis.</t>
  </si>
  <si>
    <t>Lv, Bin; Li, Shuang; Liu, Yang; Wang, Wei; Li, Hongyang; Zhang, Xiaoyue; Sha, Yanhui; Yang, Xiufen; Yang, Yang; Wang, Yue; Zhang, Chengfen; Wang, Yanling; Lv, Chuanfeng; Xie, Guotong; Wang, Kang</t>
  </si>
  <si>
    <t>Wang, K (corresponding author), Capital Med Univ, Beijing Friendship Hosp, Dept Ophthalmol, Beijing 100050, Peoples R China.</t>
  </si>
  <si>
    <t>wangkang@ccmu.edu.cn</t>
  </si>
  <si>
    <t>[Lv, Bin; Liu, Yang; Zhang, Xiaoyue; Wang, Yue; Zhang, Chengfen; Lv, Chuanfeng; Xie, Guotong] Ping Healthcare Technol, Beijing, Peoples R China; [Li, Shuang; Wang, Wei; Li, Hongyang; Sha, Yanhui; Yang, Xiufen; Yang, Yang; Wang, Yanling; Wang, Kang] Capital Med Univ, Beijing Friendship Hosp, Dept Ophthalmol, Beijing 100050, Peoples R China; [Xie, Guotong] Ping Hlth Cloud Co Ltd, Shenzhen, Peoples R China; [Xie, Guotong] Ping An Int Smart City Technol Co Ltd, Shenzhen, Peoples R China</t>
  </si>
  <si>
    <t>Capital Medical University</t>
  </si>
  <si>
    <t>DEVELOPMENT AND VALIDATION OF AN EXPLAINABLE ARTIFICIAL INTELLIGENCE FRAMEWORK FOR MACULAR DISEASE DIAGNOSIS BASED ON OPTICAL COHERENCE TOMOGRAPHY IMAGES</t>
  </si>
  <si>
    <t>RETINA-THE JOURNAL OF RETINAL AND VITREOUS DISEASES</t>
  </si>
  <si>
    <t>deep learning; macular disease diagnosis; optical coherence tomography</t>
  </si>
  <si>
    <t>DEGENERATION; FLUID</t>
  </si>
  <si>
    <t>LIPPINCOTT WILLIAMS &amp; WILKINS</t>
  </si>
  <si>
    <t>TWO COMMERCE SQ, 2001 MARKET ST, PHILADELPHIA, PA 19103 USA</t>
  </si>
  <si>
    <t>0275-004X</t>
  </si>
  <si>
    <t>1539-2864</t>
  </si>
  <si>
    <t>RETINA-J RET VIT DIS</t>
  </si>
  <si>
    <t>Retin.-J. Retin. Vitr. Dis.</t>
  </si>
  <si>
    <t>MAR 2022</t>
  </si>
  <si>
    <t>456</t>
  </si>
  <si>
    <t>464</t>
  </si>
  <si>
    <t>10.1097/IAE.0000000000003325</t>
  </si>
  <si>
    <t>http://dx.doi.org/10.1097/IAE.0000000000003325</t>
  </si>
  <si>
    <t>Ophthalmology</t>
  </si>
  <si>
    <t>ZD6KA</t>
  </si>
  <si>
    <t>34723902</t>
  </si>
  <si>
    <t>WOS:000758305500013</t>
  </si>
  <si>
    <t>Pittala, RB; Kiran, MA; Sharma, N; Thaile, M; Singamaneni, KK; Byrapuneni, LP</t>
  </si>
  <si>
    <t>Administration actions in the fields of healthcare and finance highlight the drawbacks of post-hoc explainability methods, which often differ from those of model training. We propose a unique framework, the Automated Temporal Multimodal Analysis Method (ATM-AM), a gated recurrent unit (GRU)-based framework that integrates Bahdanau attention with SHAP (SHapley Additive exPlanations) into training, enabling real-time, context-aware interpretability without losing accuracy. ATM-AM: A Hybrid Attention and SHAP-Based Framework for Trustworthy Text Classification involves an adaptive learning and multi-objective optimization process in three stages: dynamic preprocessing of text in the document, an attention-driven mechanism for sequence modeling, and the application of integrated explanation generation. The proposed framework addresses the limitations of black-box testing, including computational complexity, operational issues, context validity across various domains, dependency on the quality of input parameters, trade-offs between interpretability and accuracy, and effective utilization. This expert system will support critical domains, including healthcare, finance, and law. Experimental results on the datasets IMDb, Amazon, and SST-2 yielded the best performance in terms of quality, with an accuracy of 91.8%, an F1-score of 0.89, and an interpretability score of 4.6/5. Furthermore, the quantitative explainability evaluation, with a faithfulness score of 0.82 and a stability analysis score of 0.91, indicates that ATM-AM is effective against state-of-the-art XAI methods.</t>
  </si>
  <si>
    <t>Pittala, Ramesh Babu; Kiran, Medikonda Asha; Sharma, Niteesha; Thaile, Manyam; Singamaneni, Kranthi Kumar; Byrapuneni, Lakshmi Prasanna</t>
  </si>
  <si>
    <t>Kiran, MA (corresponding author), Anurag Univ, Sch Engn, Hyderabad 500088, Telangana, India.</t>
  </si>
  <si>
    <t>ashakiran.it@anurag.edu.in</t>
  </si>
  <si>
    <t>[Pittala, Ramesh Babu; Kiran, Medikonda Asha; Sharma, Niteesha; Thaile, Manyam; Byrapuneni, Lakshmi Prasanna] Anurag Univ, Sch Engn, Hyderabad 500088, Telangana, India; [Singamaneni, Kranthi Kumar] Symbiosis Int, Symbiosis Inst Technol Hyderabad Campus, Pune, India</t>
  </si>
  <si>
    <t>Symbiosis International University</t>
  </si>
  <si>
    <t>ATM-AM: An explainable AI framework for document classification and sentiment analysis in high-stakes applications</t>
  </si>
  <si>
    <t>Artificial intelligence (AI); Sentiment analysis; Bahdanau attention; Natural language processing (NLP); Explainable AI (XAI); SHAP</t>
  </si>
  <si>
    <t>DECISION-MAKING</t>
  </si>
  <si>
    <t>THAILE, MANYAM/ADE-1143-2022; Pittala, Ramesh/IWD-9861-2023; Asha Kiran, Dr Medikonda/JJE-9145-2023; Prasanna Byrapuneni, Lakshmi/LDB-7816-2024</t>
  </si>
  <si>
    <t>DEC 15 2026</t>
  </si>
  <si>
    <t>331</t>
  </si>
  <si>
    <t>133048</t>
  </si>
  <si>
    <t>10.1016/j.eswa.2026.133048</t>
  </si>
  <si>
    <t>http://dx.doi.org/10.1016/j.eswa.2026.133048</t>
  </si>
  <si>
    <t>KE5DC</t>
  </si>
  <si>
    <t>WOS:001805049300001</t>
  </si>
  <si>
    <t>Uma, S; Kannan, S; Adalarasu, K; Jaganathan, SK; Jagannath, M</t>
  </si>
  <si>
    <t>Overactive bladder (OAB) significantly affects an individual's quality of life by disrupting daily routines and social interactions. The hallmark symptom of OAB is a sudden, uncontrollable urge to urinate, often resulting in involuntary leakage. Diagnosing OAB is challenging due to the subjective nature of symptom reporting and the absence of definitive biomarkers. Existing diagnostic methods, such as urodynamic testing and symptom questionnaires, provide valuable insights but often lack conclusive reliability. This research leverages a data-driven approach to diagnose and predict the severity of OAB symptoms using comprehensive questionnaire data. Participants of varying ages provided demographic information, medical history, and details such as urination frequency. OAB severity was classified into three levels: no OAB, mild OAB, and moderate OAB, reflecting an increasing intensity of symptoms. The collected data were used to train multiple machine learning (ML) models, including support vector machine (SVM), artificial neural networks (ANN), linear discriminant analysis (LDA), and random undersampling boosted (RUSBoost). Model performance was evaluated using K-fold cross-validation (K = 5 and 10), measuring accuracy, recall, and F1 score to ensure generalizability. Among the models, SVM achieved the highest accuracy, with a 10-fold cross-validation accuracy of 93.33%. To address limitations such as small dataset size and class imbalance, the synthetic minority oversampling technique (SMOTE) was applied, further enhancing model performance. Explainable artificial intelligence (XAI) techniques were also implemented, showing how individual features influenced model predictions. This eliminated the need for manual intervention by uncovering intricate patterns in symptom data and making the diagnostic process more accessible and interpretable. This study underscores the potential of integrating machine learning into OAB diagnosis. The results demonstrate that questionnaire-based predictions of OAB severity are highly accurate and cost-effective, surpassing the performance of human experts. This approach offers a promising solution for enhancing patient care and streamlining OAB management by reducing diagnostic costs and improving clinical decision-making.</t>
  </si>
  <si>
    <t>Uma, S.; Kannan, Shreeya; Adalarasu, K.; Jaganathan, Saravana Kumar; Jagannath, M.</t>
  </si>
  <si>
    <t>Adalarasu, K (corresponding author), SASTRA Univ, Sch Elect &amp; Elect Engn, Dept Elect &amp; Instrumentat Engn, Thanjavur, Tamil Nadu, India.</t>
  </si>
  <si>
    <t>adalarasu@eie.sastra.edu</t>
  </si>
  <si>
    <t>[Uma, S.; Adalarasu, K.] SASTRA Univ, Sch Elect &amp; Elect Engn, Dept Elect &amp; Instrumentat Engn, Thanjavur, Tamil Nadu, India; [Kannan, Shreeya] SASTRA Univ, Sch Elect &amp; Elect Engn, Dept Robot &amp; Artificial Intelligence, Thanjavur, Tamil Nadu, India; [Jaganathan, Saravana Kumar] Duy Tan Univ, Inst Res &amp; Dev, Da Nang, Vietnam; [Jaganathan, Saravana Kumar] Duy Tan Univ, Sch Engn &amp; Technol, Da Nang, Vietnam; [Jaganathan, Saravana Kumar] Univ Leicester, Sch Engn, Biomed Engn Res Grp, Leicester LE1 7RH, England; [Jagannath, M.] Vellore Inst Technol Chennai, Sch Elect Engn, Chennai, Tamil Nadu, India</t>
  </si>
  <si>
    <t>Shanmugha Arts, Science, Technology &amp; Research Academy (SASTRA); Shanmugha Arts, Science, Technology &amp; Research Academy (SASTRA); Duy Tan University; Duy Tan University; University of Leicester; Vellore Institute of Technology (VIT); VIT Chennai</t>
  </si>
  <si>
    <t>Predicting overactive bladder symptom severity with explainable AI: a data-driven approach using questionnaire responses</t>
  </si>
  <si>
    <t>PHYSICA SCRIPTA</t>
  </si>
  <si>
    <t>overactive bladder (OAB); frequent urination; machine learning; support vector machine (SVM); explainable artificial intelligence (XAI)</t>
  </si>
  <si>
    <t>URINARY-INCONTINENCE; DIAGNOSIS; WOMEN; CLASSIFICATION; URGENCY</t>
  </si>
  <si>
    <t>Adalarasu, Kanagasabai/F-2059-2016; Mahapatra, Jagannath/JXX-1373-2024; Uma, Saumya/HLH-4872-2023; Jaganathan, Saravana Kumar/N-2385-2017</t>
  </si>
  <si>
    <t>Jaganathan, Saravana Kumar/0000-0002-2785-137X</t>
  </si>
  <si>
    <t>BRISTOL</t>
  </si>
  <si>
    <t>TEMPLE CIRCUS, TEMPLE WAY, BRISTOL BS1 6BE, ENGLAND</t>
  </si>
  <si>
    <t>0031-8949</t>
  </si>
  <si>
    <t>1402-4896</t>
  </si>
  <si>
    <t>PHYS SCRIPTA</t>
  </si>
  <si>
    <t>Phys. Scr.</t>
  </si>
  <si>
    <t>100</t>
  </si>
  <si>
    <t>056002</t>
  </si>
  <si>
    <t>10.1088/1402-4896/adc49b</t>
  </si>
  <si>
    <t>http://dx.doi.org/10.1088/1402-4896/adc49b</t>
  </si>
  <si>
    <t>Physics, Multidisciplinary</t>
  </si>
  <si>
    <t>Physics</t>
  </si>
  <si>
    <t>0WO2G</t>
  </si>
  <si>
    <t>WOS:001457724400001</t>
  </si>
  <si>
    <t>Lombardi, A; Diacono, D; Amoroso, N; Biecek, P; Monaco, A; Bellantuono, L; Pantaleo, E; Logroscino, G; De Blasi, R; Tangaro, S; Bellotti, R</t>
  </si>
  <si>
    <t>In clinical practice, several standardized neuropsychological tests have been designed to assess and monitor the neurocognitive status of patients with neurodegenerative diseases such as Alzheimer's disease. Important research efforts have been devoted so far to the development of multivariate machine learning models that combine the different test indexes to predict the diagnosis and prognosis of cognitive decline with remarkable results. However, less attention has been devoted to the explainability of these models. In this work, we present a robust framework to (i) perform a threefold classification between healthy control subjects, individuals with cognitive impairment, and subjects with dementia using different cognitive indexes and (ii) analyze the variability of the explainability SHAP values associated with the decisions taken by the predictive models. We demonstrate that the SHAP values can accurately characterize how each index affects a patient's cognitive status. Furthermore, we show that a longitudinal analysis of SHAP values can provide effective information on Alzheimer's disease progression.</t>
  </si>
  <si>
    <t>Lombardi, Angela; Diacono, Domenico; Amoroso, Nicola; Biecek, Przemyslaw; Monaco, Alfonso; Bellantuono, Loredana; Pantaleo, Ester; Logroscino, Giancarlo; De Blasi, Roberto; Tangaro, Sabina; Bellotti, Roberto</t>
  </si>
  <si>
    <t>Amoroso, N (corresponding author), Univ Bari Aldo Moro, Dipartimento Farm Sci Farmaco, Bari, Italy.</t>
  </si>
  <si>
    <t>nicola.amoroso@uniba.it</t>
  </si>
  <si>
    <t>Regione Puglia (Italy) [928A7C98]</t>
  </si>
  <si>
    <t>Regione Puglia (Italy) (Regione Puglia)</t>
  </si>
  <si>
    <t>This work was supported in part by the research project "Biomarcatori di connettivita cerebrale da imaging multimodale per la diagnosi precoce e stadiazione personalizzata di malattie neurodegenerative con metodi avanzati di intelligenza artificiale in ambiente di calcolo distribuito" (Project Code 928A7C98) within the Program Research for Innovation-REFIN funded by Regione Puglia (Italy) in the framework of the POR Puglia FESR FSE 2014-2020-Asse X-Azione 10.4.</t>
  </si>
  <si>
    <t>[Lombardi, Angela; Pantaleo, Ester; Bellotti, Roberto] Univ Bari Aldo Moro, Dipartimento Fis, Bari, Italy; [Lombardi, Angela; Diacono, Domenico; Amoroso, Nicola; Monaco, Alfonso; Bellantuono, Loredana; Pantaleo, Ester; Tangaro, Sabina; Bellotti, Roberto] Ist Nazl Fis Nucl, Sez Bari, Bari, Italy; [Amoroso, Nicola] Univ Bari Aldo Moro, Dipartimento Farm Sci Farmaco, Bari, Italy; [Biecek, Przemyslaw] Warsaw Univ Technol, Fac Math &amp; Informat Sci, Warsaw, Poland; [Biecek, Przemyslaw] Univ Warsaw, Fac Math Informat &amp; Mech, Warsaw, Poland; [Bellantuono, Loredana; Logroscino, Giancarlo] Univ Bari Aldo Moro, Dipartimento Sci Med Base Neurosci &amp; Organi Senso, Bari, Italy; [Logroscino, Giancarlo; De Blasi, Roberto] Pia Fdn Card G Panico, Tricase, Italy; [Tangaro, Sabina] Univ Bari Aldo Moro, Dipartimento Sci Suolo Pianta &amp; Alimenti, Bari, Italy</t>
  </si>
  <si>
    <t>Universita degli Studi di Bari Aldo Moro; Istituto Nazionale di Fisica Nucleare (INFN); Universita degli Studi di Bari Aldo Moro; Warsaw University of Technology; University of Warsaw; Universita degli Studi di Bari Aldo Moro; Universita degli Studi di Bari Aldo Moro</t>
  </si>
  <si>
    <t>A robust framework to investigate the reliability and stability of explainable artificial intelligence markers of Mild Cognitive Impairment and Alzheimer's Disease</t>
  </si>
  <si>
    <t>BRAIN INFORMATICS</t>
  </si>
  <si>
    <t>Alzheimer's disease; Cognitive spectrum; Explainable Artificial Intelligence; Mild Cognitive Impairment; XAI</t>
  </si>
  <si>
    <t>OLDER-ADULTS; CONVERSION; DEMENTIA; SCALE; CLASSIFICATION; DEFINITION; PREDICTION; EFFICACY; RATES; MCI</t>
  </si>
  <si>
    <t>Diacono, Domenico/HNR-1850-2023; Monaco, Alfonso/AGA-5911-2022; Logroscino, Giancarlo/K-5148-2016; Amoroso, Nicola/AAT-3036-2020; Bellantuono, Loredana/ABC-4780-2020; Lombardi, Angela/LQJ-3950-2024; Tangaro, Sabina/AAN-6617-2020; Bellotti, Roberto/HTM-5191-2023; Pantaleo, Ester/AET-7492-2022</t>
  </si>
  <si>
    <t>Logroscino, Giancarlo/0000-0003-0423-3242; Bellantuono, Loredana/0000-0002-1333-2675; Tangaro, Sabina/0000-0002-1372-3916</t>
  </si>
  <si>
    <t>2198-4018</t>
  </si>
  <si>
    <t>2198-4026</t>
  </si>
  <si>
    <t>BRAIN INFORM</t>
  </si>
  <si>
    <t>Brain Inform.</t>
  </si>
  <si>
    <t>DEC 2022</t>
  </si>
  <si>
    <t>10.1186/s40708-022-00165-5</t>
  </si>
  <si>
    <t>http://dx.doi.org/10.1186/s40708-022-00165-5</t>
  </si>
  <si>
    <t>Computer Science, Artificial Intelligence; Neurosciences</t>
  </si>
  <si>
    <t>Computer Science; Neurosciences &amp; Neurology</t>
  </si>
  <si>
    <t>OI1G8</t>
  </si>
  <si>
    <t>35882684</t>
  </si>
  <si>
    <t>WOS:001206545600005</t>
  </si>
  <si>
    <t>GhoshRoy, D; Alvi, PA; Santosh, KC</t>
  </si>
  <si>
    <t>Infertility is a common problem across the world. Infertility distribution due to male factors ranges from 40% to 50%. Existing artificial intelligence (AI) systems are not often human interpretable. Further, clinicians are unaware of how data analytical tools make decisions, and as a result, they have limited exposure to healthcare. Using explainable AI tools makes AI systems transparent and traceable, enhancing users' trust and confidence in decision-making. The main contribution of this study is to introduce an explainable model for investigating male fertility prediction. Nine features related to lifestyle and environmental factors are utilized to develop a male fertility prediction model. Five AI tools, namely support vector machine, adaptive boosting, conventional extreme gradient boost (XGB), random forest, and extra tree algorithms are deployed with a balanced and imbalanced dataset. To produce our model in a trustworthy way, an explainable AI is applied. The techniques are (1) local interpretable model-agnostic explanations (LIME) and (2) Shapley additive explanations (SHAP). Additionally, ELI5 is utilized to inspect the feature's importance. Finally, XGB outperformed and obtained an AUC of 0.98, which is optimal compared to existing AI systems.</t>
  </si>
  <si>
    <t>GhoshRoy, Debasmita; Alvi, Parvez Ahmad; Santosh, K. C.</t>
  </si>
  <si>
    <t>Santosh, KC (corresponding author), Univ South Dakota, Dept Comp Sci, Appl Res Lab, Vermillion, SD 57069 USA.</t>
  </si>
  <si>
    <t>santosh.kc@usd.edu</t>
  </si>
  <si>
    <t>[GhoshRoy, Debasmita] Banasthali Vidyapith, Sch Automat, Banasthali 304022, India; [Alvi, Parvez Ahmad] Banasthali Vidyapith, Dept Phys, Banasthali 304022, India; [Santosh, K. C.] Univ South Dakota, Dept Comp Sci, Appl Res Lab, Vermillion, SD 57069 USA</t>
  </si>
  <si>
    <t>Banasthali Vidyapith; Banasthali Vidyapith; University of South Dakota</t>
  </si>
  <si>
    <t>Explainable AI to Predict Male Fertility Using Extreme Gradient Boosting Algorithm with SMOTE</t>
  </si>
  <si>
    <t>ELECTRONICS</t>
  </si>
  <si>
    <t>explainability techniques; extreme gradient boosting (XGB); SMOTE; male fertility</t>
  </si>
  <si>
    <t>SEMINAL QUALITY; BLACK-BOX</t>
  </si>
  <si>
    <t>Alvi, Parvez/AAH-9315-2019; Santosh, Casey/H-1363-2012</t>
  </si>
  <si>
    <t>Roy, Debasmita Ghosh/0000-0001-9331-2940; Santosh, Casey/0000-0003-4176-0236</t>
  </si>
  <si>
    <t>2079-9292</t>
  </si>
  <si>
    <t>ELECTRONICS-SWITZ</t>
  </si>
  <si>
    <t>Electronics</t>
  </si>
  <si>
    <t>JAN 2023</t>
  </si>
  <si>
    <t>10.3390/electronics12010015</t>
  </si>
  <si>
    <t>http://dx.doi.org/10.3390/electronics12010015</t>
  </si>
  <si>
    <t>Computer Science, Information Systems; Engineering, Electrical &amp; Electronic; Physics, Applied</t>
  </si>
  <si>
    <t>Computer Science; Engineering; Physics</t>
  </si>
  <si>
    <t>7Q4IG</t>
  </si>
  <si>
    <t>WOS:000909355900001</t>
  </si>
  <si>
    <t>Meng, DY; Guo, HZ; Liang, SY; Tian, ZB; Wang, R; Yang, G; Wang, ZH</t>
  </si>
  <si>
    <t>Background: Due to the low physical fitness of the frail elderly, current exercise program strategies have a limited impact. Eight-form Tai Chi has a low intensity, but high effectiveness in the elderly. Inspired by it, we designed an exercise program that incorporates eight-form Tai Chi, strength, and endurance exercises, to improve physical fitness and reverse frailty in the elderly. Additionally, for the ease of use in clinical practice, machine learning simulations were used to predict the frailty status after the intervention. Methods: For 24 weeks, 150 frail elderly people completed the experiment, which comprised the eight-form Tai Chi group (TC), the strength and endurance training group (SE), and a comprehensive intervention combining both TC and SE (TCSE). The comparison of the demographic variables used one-way ANOVA for continuous data and the chi-squared test for categorical data. Two-way repeated measures analysis of variance (ANOVA) was performed to determine significant main effects and interaction effects. Eleven machine learning models were used to predict the frailty status of the elderly following the intervention. Results: Two-way repeated measures ANOVA results before the intervention, group effects of ten-meter maximum walking speed (10 m MWS), grip strength (GS), timed up and go test (TUGT), and the six-minute walk test (6 min WT) were not significant. There was a significant interaction effect of group x time in ten-meter maximum walking speed, grip strength, and the six-minute walk test. Post hoc tests showed that after 24 weeks of intervention, subjects in the TCSE group showed the greatest significant improvements in ten-meter maximum walking speed (p &lt; 0.05) and the six-minute walk test (p &lt; 0.05) compared to the TC group and SE group. The improvement in grip strength in the TCSE group (4.29 kg) was slightly less than that in the SE group (5.16 kg). There was neither a significant main effect nor a significant interaction effect for TUGT in subjects. The stacking model outperformed other algorithms. Accuracy and the F1-score were 67.8% and 71.3%, respectively. Conclusion: A hybrid exercise program consisting of eight-form Tai Chi and strength and endurance exercises can more effectively improve physical fitness and reduce frailty among the elderly. It is possible to predict whether an elderly person will reverse frailty following an exercise program based on the stacking model.</t>
  </si>
  <si>
    <t>Meng, Deyu; Guo, Hongzhi; Liang, Siyu; Tian, Zhibo; Wang, Ran; Yang, Guang; Wang, Ziheng</t>
  </si>
  <si>
    <t>Yang, G; Wang, ZH (corresponding author), Northeast Normal Univ, Chinese Ctr Exercise Epidemiol, Changchun 130024, Peoples R China.; Wang, ZH (corresponding author), Waseda Univ, Adv Res Ctr Human Sci, Tokorozawa, Saitama 1698050, Japan.</t>
  </si>
  <si>
    <t>hz-guo@moegi.waseda.jp; wangzh654@nenu.edu.cn; mengdy539@nenu.edu.cn; 72201545@dankook.ac.kr; wangr489@nenu.edu.cn; liangsy427@nenu.edu.cn</t>
  </si>
  <si>
    <t>[Meng, Deyu; Liang, Siyu; Wang, Ran; Yang, Guang; Wang, Ziheng] Northeast Normal Univ, Chinese Ctr Exercise Epidemiol, Changchun 130024, Peoples R China; [Guo, Hongzhi] Waseda Univ, Grad Sch Human Sci, Tokorozawa, Saitama 1698050, Japan; [Tian, Zhibo] Dankook Univ, Sports Coll, Sports Mkt Res Grp, Yongin 16890, Gyeonggi Do, South Korea; [Wang, Ziheng] Waseda Univ, Adv Res Ctr Human Sci, Tokorozawa, Saitama 1698050, Japan</t>
  </si>
  <si>
    <t>Northeast Normal University - China; Waseda University; Dankook University; Waseda University</t>
  </si>
  <si>
    <t>Effectiveness of a Hybrid Exercise Program on the Physical Abilities of Frail Elderly and Explainable Artificial-Intelligence-Based Clinical Assistance</t>
  </si>
  <si>
    <t>INTERNATIONAL JOURNAL OF ENVIRONMENTAL RESEARCH AND PUBLIC HEALTH</t>
  </si>
  <si>
    <t>frail; Tai Chi; strength training; endurance training; machine learning</t>
  </si>
  <si>
    <t>TAI-CHI-CHUAN; OLDER-ADULTS; GRIP STRENGTH; MUSCLE STRENGTH; INTERVENTIONS; CARE; ENDURANCE; HEALTHY; POWER; PRESCRIPTION</t>
  </si>
  <si>
    <t>Yang, Guang/PBU-9325-2025; Hongzhi, GUO/IAQ-3863-2023; Wang, Ziheng/JWP-3488-2024; wang, ran/NGR-8152-2025</t>
  </si>
  <si>
    <t>Yang, Guang/0000-0001-7236-7483; Wang, Ziheng/0000-0002-3953-0493; deyu, Meng/0000-0002-3270-9829</t>
  </si>
  <si>
    <t>1660-4601</t>
  </si>
  <si>
    <t>INT J ENV RES PUB HE</t>
  </si>
  <si>
    <t>Int. J. Environ. Res. Public Health</t>
  </si>
  <si>
    <t>6988</t>
  </si>
  <si>
    <t>10.3390/ijerph19126988</t>
  </si>
  <si>
    <t>http://dx.doi.org/10.3390/ijerph19126988</t>
  </si>
  <si>
    <t>Environmental Sciences; Public, Environmental &amp; Occupational Health</t>
  </si>
  <si>
    <t>Environmental Sciences &amp; Ecology; Public, Environmental &amp; Occupational Health</t>
  </si>
  <si>
    <t>2N2ER</t>
  </si>
  <si>
    <t>35742237</t>
  </si>
  <si>
    <t>WOS:000818199600001</t>
  </si>
  <si>
    <t>Al-Hammouri, MF; Vamsi, B; Almalkawi, IT; Al Bataineh, A</t>
  </si>
  <si>
    <t>Intracranial Hemorrhage (ICH) remains a critical life-threatening condition where timely and accurate diagnosis using non-contrast Computed Tomography (CT) scans is vital to reduce mortality and long-term disability. Deep learning methods have shown strong potential for automated hemorrhage detection, yet most existing approaches lack confidence quantification and clinical interpretability, which limits their adoption in high-stakes care. This study presents X-HEM, an explainable hemorrhage ensemble model for reliable detection of Intracranial Hemorrhage (ICH) on non-contrast head CT scans. The aim is to improve diagnostic accuracy, interpretability, and confidence for real-time clinical decision support. X-HEM integrates three convolutional backbones (VGG16, ResNet50, DenseNet121) through soft voting. Bayesian uncertainty is estimated using Monte Carlo Dropout, while Grad-CAM++ and SHAP provide spatial and global interpretability. Training and validation were conducted on the RSNA ICH dataset, with external testing on CQ500. The model achieved AUCs of 0.96 (RSNA) and 0.94 (CQ500), demonstrated well-calibrated confidence (low Brier/ECE), and provided explanations that aligned with radiologist-marked regions. The integration of ensemble learning, Bayesian uncertainty, and dual explainability enables X-HEM to deliver confidence-aware, interpretable ICH predictions suitable for clinical use.</t>
  </si>
  <si>
    <t>Al-Hammouri, Mohammad F.; Vamsi, Bandi; Almalkawi, Islam T.; Al Bataineh, Ali</t>
  </si>
  <si>
    <t>Al-Hammouri, MF (corresponding author), Hashemite Univ, Fac Engn, Dept Comp Engn, Zarqa 13133, Jordan.</t>
  </si>
  <si>
    <t>aalbatai@norwich.edu; drvamsib@mits.ac.in; alhammouri@hu.edu.jo; eslam.malkawi@hu.edu.jo</t>
  </si>
  <si>
    <t>[Al-Hammouri, Mohammad F.; Almalkawi, Islam T.] Hashemite Univ, Fac Engn, Dept Comp Engn, Zarqa 13133, Jordan; [Vamsi, Bandi] Deemed be Univ, Madanapalle Inst Technol &amp; Sci, Dept Artificial Intelligence, Madanapalle 517325, Andhra Pradesh, India; [Al Bataineh, Ali] Norwich Univ, Artificial Intelligence Ctr, Northfield, VT 05663 USA</t>
  </si>
  <si>
    <t>Hashemite University; Madanapalle Institute of Technology &amp; Science</t>
  </si>
  <si>
    <t>X-HEM: An Explainable and Trustworthy AI-Based Framework for Intelligent Healthcare Diagnostics</t>
  </si>
  <si>
    <t>intracranial hemorrhage; deep learning; ensemble model; Bayesian uncertainty; explainable AI; computed tomography; clinical decision support</t>
  </si>
  <si>
    <t>Al-hammouri, Mohammad/HZM-1830-2023; Bandi, Vamsi/AAW-8723-2021</t>
  </si>
  <si>
    <t>Bandi, Vamsi/0000-0001-9111-0990</t>
  </si>
  <si>
    <t>JAN 7 2026</t>
  </si>
  <si>
    <t>10.3390/computers15010033</t>
  </si>
  <si>
    <t>http://dx.doi.org/10.3390/computers15010033</t>
  </si>
  <si>
    <t>CN7HH</t>
  </si>
  <si>
    <t>WOS:001670136400001</t>
  </si>
  <si>
    <t>Shin, YW; Byun, JI; Sunwoo, JS; Rhee, CS; Shin, JH; Kim, HJ; Jung, KY</t>
  </si>
  <si>
    <t>Isolated rapid eye movement (REM) sleep behavior disorder (iRBD) is recognized as a precursor to neurodegenerative diseases. This study aimed to develop predictive models for the timing and subtype of phenoconversion in iRBD. We analyzed comprehensive clinical data from 178 individuals with iRBD over a median follow-up of 3.6 years and applied machine learning models to predict when phenoconversion would occur and whether progression would present with motor- or cognition-first symptoms. During follow-up, 30 patients developed a neurodegenerative disorder, and the extreme gradient boosting survival embeddings-Kaplan neighbors (XGBSE-KN) model demonstrated the best performance for timing (concordance index: 0.823; integrated Brier score: 0.123). Age, antidepressant use, and Movement Disorder Society-Unified Parkinson's Disease Rating Scale Part III scores correlated with higher phenoconversion risk, while coffee consumption was protective. For subtype classification, the RandomForestClassifier achieved the highest performance (Matthews correlation coefficient: 0.697), indicating that higher Montreal Cognitive Assessment scores and younger age predicted motor-first progression, whereas longer total sleep time was associated with cognition-first outcomes. These findings highlight the utility of machine learning in guiding prognosis and tailored interventions for iRBD. Future research should include additional biomarkers, extend follow-up, and validate these models in external cohorts to ensure generalizability.</t>
  </si>
  <si>
    <t>Shin, Yong-Woo; Byun, Jung-Ick; Sunwoo, Jun-Sang; Rhee, Chae-Seo; Shin, Jung-Hwan; Kim, Han-Joon; Jung, Ki-Young</t>
  </si>
  <si>
    <t>Kim, HJ; Jung, KY (corresponding author), Seoul Natl Univ Hosp, Seoul Natl Univ, Coll Med, Dept Neurol, Seoul 03080, South Korea.</t>
  </si>
  <si>
    <t>jungky@snu.ac.kr; jbyun@khu.ac.kr; ultrajs4@gmail.com; reervlftmd@inha.ac.kr; neo2003@snu.ac.kr; movement@snu.ac.kr</t>
  </si>
  <si>
    <t>Ministry of Science, ICT &amp; Future Planning [2017M3C7A1029688]; Brain Research Program through the National Research Foundation of Korea (NRF) - Ministry of Science, ICT &amp; Future Planning [NRF-2022R1H1A2092329]; National Research Foundation of Korea (NRF) - Korean government (MSIP)</t>
  </si>
  <si>
    <t>Ministry of Science, ICT &amp; Future Planning (Ministry of Science &amp; ICT (MMSTI)); Brain Research Program through the National Research Foundation of Korea (NRF) - Ministry of Science, ICT &amp; Future Planning (National Research Foundation of Korea, Ministry of Science &amp; ICT (MMSTI)); National Research Foundation of Korea (NRF) - Korean government (MSIP) (National Research Foundation of Korea)</t>
  </si>
  <si>
    <t>This study was supported by the Brain Research Program through the National Research Foundation of Korea (NRF) funded by the Ministry of Science, ICT &amp; Future Planning (2017M3C7A1029688) and the National Research Foundation of Korea (NRF) grant funded by the Korean government (MSIP) (NRF-2022R1H1A2092329).</t>
  </si>
  <si>
    <t>[Shin, Yong-Woo] Inha Univ Hosp, Dept Neurol, Incheon 22332, South Korea; [Byun, Jung-Ick] Kyung Hee Univ Hosp Gangdong, Dept Neurol, Seoul 05278, South Korea; [Sunwoo, Jun-Sang] Kangbuk Samsung Hosp, Dept Neurol, Seoul 03181, South Korea; [Rhee, Chae-Seo] Seoul Natl Univ, Seoul Natl Univ Hosp, Coll Med, Dept Otorhinolaryngol Head &amp; Neck Surg, Seoul 03080, South Korea; [Shin, Jung-Hwan; Kim, Han-Joon; Jung, Ki-Young] Seoul Natl Univ Hosp, Seoul Natl Univ, Coll Med, Dept Neurol, Seoul 03080, South Korea</t>
  </si>
  <si>
    <t>Inha University; Inha University Hospital; Kyung Hee University; Kyung Hee University Hospital; Sungkyunkwan University (SKKU); Samsung Medical Center; Samsung Kangbuk Hospital; Seoul National University (SNU); Seoul National University Hospital</t>
  </si>
  <si>
    <t>Predicting Phenoconversion in Isolated RBD: Machine Learning and Explainable AI Approach</t>
  </si>
  <si>
    <t>CLOCKS &amp; SLEEP</t>
  </si>
  <si>
    <t>REM sleep behavior disorder; machine learning; phenoconversion; neurodegenerative disorders; Parkinson's disease; survival analysis</t>
  </si>
  <si>
    <t>SLEEP BEHAVIOR DISORDER; MULTIPLE SYSTEM ATROPHY; LEWY BODIES; PARKINSONS-DISEASE; KOREAN VERSION; RISK-FACTORS; DEMENTIA; SURVIVAL; VALIDATION; DIAGNOSIS</t>
  </si>
  <si>
    <t>Kim, Han-Joon/0000-0001-8219-9663; Jung, Ki-Young/0000-0001-5528-9081; Sunwoo, Jun-Sang/0000-0001-8834-0568; Rhee, Chae-Seo/0000-0002-1361-8585</t>
  </si>
  <si>
    <t>2624-5175</t>
  </si>
  <si>
    <t>CLOCKS SLEEP</t>
  </si>
  <si>
    <t>Clocks Sleep</t>
  </si>
  <si>
    <t>APR 11 2025</t>
  </si>
  <si>
    <t>10.3390/clockssleep7020019</t>
  </si>
  <si>
    <t>http://dx.doi.org/10.3390/clockssleep7020019</t>
  </si>
  <si>
    <t>Clinical Neurology; Neurosciences</t>
  </si>
  <si>
    <t>4CL5M</t>
  </si>
  <si>
    <t>40265451</t>
  </si>
  <si>
    <t>WOS:001514719900001</t>
  </si>
  <si>
    <t>Vasireddi, HK; Gedela, RT; Dasari, SK; Devarapalli, RK</t>
  </si>
  <si>
    <t>Purpose Diabetic Retinopathy (DR), a serious complication of Diabetes and leading cause of blindness, demands accurate and early diagnosis. Current diagnostic challenges results from two major limitations: (i) lack of expertly annotated clinical datasets due to privacy and cost factors, and (ii) the nature of deep learning models that limits clinical adoption. This study presents a novel solution combining synthetic data generation with explainable machine learning approach to overcome these challenges. Methods In the proposed work, synthetic retinal fundus images were generated to simulate the Diabetic Retinopathy (DR) severity grading, enabling the generation of a balanced dataset with 1200 instances. Handcrafted features were retrieved using a pre-processing pipeline consisting of (Hue Saturation Value) HSV color space transformation, GLCM (Gray Level Co-occurrence Matrix) based texture analysis, and lesion specific quantification, ensuring clinically relevant feature representation. A Random Forest (RF) classifier optimized with Out of Bag (OOB) validation is implemented for DR severity grading. Shapley Additive Explanations (SHAP) based Explainability is integrated alongside the classifier to include interpretations of feature importance and decision making patterns. Results The proposed framework achieved an accuracy of 94% on synthetic data, outperforming several established deep learning models such as ResNet-50, VGG16 + DenseNet, EfficientNet-B0. Swarm plot analyses revealed that predictions were consistently aligned with better confidence values, and SHAP explanations highlighted the clinically interpretable features such as exudates, validating the reliability of the classifier. Conclusion Incorporating the synthetic data with ground truth data through domain adaptation techniques could reduce the performance gaps and improve the transferability in clinical settings. Key Messages What is known center dot Early detection and grading of Diabetic Retinopathy (DR) are critical to prevent vision loss. However, real-world datasets often suffer from limited size, class imbalance, and variability, restricting the generalization and reliability of deep learning models. What is new center dot A synthetic data-driven framework is proposed for DR severity grading, leveraging HSV-based color transformation, GLCM texture features, and lesion quantification to achieve clinically aligned feature representation. center dot The Random Forest classifier, optimized using Out-of-Bag (OOB) validation, achieved 94% accuracy on synthetic and 84% on real clinical datasets, ensuring robust and adaptable performance. center dot SHAP-based explainability enhances transparency by identifying key clinical features influencing DR severity, bridging the gap between algorithmic decisions and clinical trust.</t>
  </si>
  <si>
    <t>Vasireddi, Hemanth Kumar; Gedela, Ravi Teja; Dasari, Siva Krishna; Devarapalli, Ravi Kishore</t>
  </si>
  <si>
    <t>Vasireddi, HK (corresponding author), GITAM Univ, Comp Sci &amp; Engn, Visakhapatnam 530045, Andhra Pradesh, India.</t>
  </si>
  <si>
    <t>sdasari6@gitam.edu; rdevarap@gitam.edu; hvasired@gitam.edu; rgedela@gitam.edu</t>
  </si>
  <si>
    <t>[Vasireddi, Hemanth Kumar; Gedela, Ravi Teja; Dasari, Siva Krishna; Devarapalli, Ravi Kishore] GITAM Univ, Comp Sci &amp; Engn, Visakhapatnam 530045, Andhra Pradesh, India</t>
  </si>
  <si>
    <t>Gandhi Institute of Technology &amp; Management (GITAM)</t>
  </si>
  <si>
    <t>Synthetic data-driven diabetic retinopathy diagnosis with explainable AI: a clinically interpretable framework</t>
  </si>
  <si>
    <t>GRAEFES ARCHIVE FOR CLINICAL AND EXPERIMENTAL OPHTHALMOLOGY</t>
  </si>
  <si>
    <t>SHAP; Synthetic data; Explainable AI; Diabetic retinopathy; Random forest classifier; Machine learning</t>
  </si>
  <si>
    <t>Gedela, Ravi Teja/JVY-8299-2024; vasireddi, hemanth kumar/HTM-3772-2023</t>
  </si>
  <si>
    <t>Dasari, Siva krishna/0000-0003-0362-1606</t>
  </si>
  <si>
    <t>0721-832X</t>
  </si>
  <si>
    <t>1435-702X</t>
  </si>
  <si>
    <t>GRAEF ARCH CLIN EXP</t>
  </si>
  <si>
    <t>Graefes Arch. Clin. Exp. Ophthalmol.</t>
  </si>
  <si>
    <t>10.1007/s00417-026-07284-3</t>
  </si>
  <si>
    <t>http://dx.doi.org/10.1007/s00417-026-07284-3</t>
  </si>
  <si>
    <t>IJ3OM</t>
  </si>
  <si>
    <t>42171725</t>
  </si>
  <si>
    <t>WOS:001773061300001</t>
  </si>
  <si>
    <t>Mishra, P; Das, H</t>
  </si>
  <si>
    <t>Epilepsy is a medical condition characterized by sudden and frequent sensory disruptions which is commonly detected by electroencephalogram (EEG) analysis. However, analyzing these signals is challenging for traditional classifiers due to their non-stationary nature and high dimensionality. Deep learning (DL) techniques offer significant potential for fast and accurate medical decisions, especially when addressing imbalanced medical datasets. Therefore, this research proposes a novel artificial neural network architecture called the Variational Sparse Autoencoder (VSAE), which combines the strengths of a Sparse Autoencoder (SAE) and a Variational Autoencoder (VAE). The VSAE produces compact, sparse, and informative features for Random Forest (RF) classification, while Explainable AI techniques (XAI) methods like SHapley Additive exPlanations (SHAP) and Local Interpretable Model-agnostic Explanations (LIME) enhance interpretability and transparency. LIME provides local interpretability whereas SHAP offers global interpretability by identifying the most influential EEG features contributing towards seizure detection. Additionally, 10-fold cross-validation (CV) is used to validate the proposed model. Compared to other conventional linear and non linear models, the proposed VSAE model demonstrates accuracy of 96.81%, precision 94.03%, recall 89.74% and F1 score 91.83% respectively.</t>
  </si>
  <si>
    <t>Mishra, Pratiti; Das, Himansu</t>
  </si>
  <si>
    <t>Das, H (corresponding author), Kalinga Inst Ind Technol KIIT Deemed Univ, Sch Comp Engn, Bhubaneswar 751024, Odisha, India.</t>
  </si>
  <si>
    <t>das.himansu2007@gmail.com</t>
  </si>
  <si>
    <t>KIIT Deemed to be University, Odisha, India [KIIT-DU/1570/25]</t>
  </si>
  <si>
    <t>KIIT Deemed to be University, Odisha, India</t>
  </si>
  <si>
    <t>This work was supported in part by KIIT Deemed to be University, Odisha, India, under Grant KIIT-DU/1570/25.</t>
  </si>
  <si>
    <t>[Mishra, Pratiti; Das, Himansu] Kalinga Inst Ind Technol KIIT Deemed Univ, Sch Comp Engn, Bhubaneswar 751024, Odisha, India</t>
  </si>
  <si>
    <t>Kalinga Institute of Industrial Technology (KIIT)</t>
  </si>
  <si>
    <t>An Explainable AI Framework Integrating Variational Sparse Autoencoder and Random Forest for EEG-Based Epilepsy Detection</t>
  </si>
  <si>
    <t>Feature extraction; Electroencephalography; Brain modeling; Accuracy; Autoencoders; Epilepsy; Radio frequency; Computational efficiency; Dimensionality reduction; Classification algorithms; EEG; epilepsy; LIME; RF; SAE; SHAP; VAE; VSAE</t>
  </si>
  <si>
    <t>DIMENSIONALITY REDUCTION; SIGNALS; CLASSIFICATION; SEIZURES</t>
  </si>
  <si>
    <t>Das, Himansu/A-6052-2018</t>
  </si>
  <si>
    <t>Das, Himansu/0000-0002-3995-2768</t>
  </si>
  <si>
    <t>179568</t>
  </si>
  <si>
    <t>179583</t>
  </si>
  <si>
    <t>10.1109/ACCESS.2025.3620762</t>
  </si>
  <si>
    <t>http://dx.doi.org/10.1109/ACCESS.2025.3620762</t>
  </si>
  <si>
    <t>8ZB5F</t>
  </si>
  <si>
    <t>WOS:001600745900043</t>
  </si>
  <si>
    <t>Guruvammal, S; Narmada, B; Kumar, AV</t>
  </si>
  <si>
    <t>Abnormal growths of malignant or non-malignant tissue in the brain can lead to long-term damage. One important area of research in medical imaging focuses on brain tumor classification, which plays a key role in diagnosis and helps guide effective treatment planning. This paper proposes a novel Explainable Hybrid Le-GhostNet for Brain Tumor Classification (EHLGN-BTC) framework. The brain tumor classification framework starts with input MRI images, which are augmented to increase dataset size and improve model performance. The images are then pre-processed using Adaptive Dual-based Median Filtering (AD-MF) to reduce noise while preserving key details. Tumor regions are segmented using a Modified Backbone Region-based Convolutional Neural Network (MBR-CNN) and the segmented areas are classified using Hybrid Le-GhostNet (HL-GNet) model with a combination of Convolution with Global Hierarchical-based LeNet (CGH-LNet) and GhostNet models. The system produces the tumor type as output and explainable AI using LIME (XAI-LIME) highlights the regions influencing the prediction and ensures both accurate and interpretable results. The EHLGN-BTC framework incorporates a hybrid classifier (HL-GNet) for brain tumor classification, achieving a precision of 90% with 80% of the training data and an accuracy of 94% with 90% of the training data.</t>
  </si>
  <si>
    <t>Guruvammal, S.; Narmada, B.; V Kumar, Agashini</t>
  </si>
  <si>
    <t>Guruvammal, S (corresponding author), Velammal Inst Technol, Dept Comp Sci &amp; Engn, Chennai 601204, Tamilnadu, India.</t>
  </si>
  <si>
    <t>phdnarmada@gmail.com; agashini1998@gmail.com; gururagulraj@gmail.com</t>
  </si>
  <si>
    <t>[Guruvammal, S.] Velammal Inst Technol, Dept Comp Sci &amp; Engn, Chennai 601204, Tamilnadu, India; [Narmada, B.] Jain Univ, Dept Comp Sci &amp; Engn, Kanakapura, Karnataka, India; [V Kumar, Agashini] RV Inst Technol &amp; Management, Dept Comp Sci &amp; Engn, Bengaluru, Karnataka, India</t>
  </si>
  <si>
    <t>Jain University</t>
  </si>
  <si>
    <t>Explainable AI with Hybrid Deep Learning Model for Brain Tumor Classification</t>
  </si>
  <si>
    <t>SENSING AND IMAGING</t>
  </si>
  <si>
    <t>Brain tumor classification; Explainable AI; AD-MF; MBR-CNN; HL-GNet</t>
  </si>
  <si>
    <t>S, Guruvammal/JQW-6068-2023</t>
  </si>
  <si>
    <t>B, NARMADA/0009-0008-5142-9057</t>
  </si>
  <si>
    <t>1557-2064</t>
  </si>
  <si>
    <t>1557-2072</t>
  </si>
  <si>
    <t>SENS IMAGING</t>
  </si>
  <si>
    <t>Sens. Imaging</t>
  </si>
  <si>
    <t>MAY 26 2026</t>
  </si>
  <si>
    <t>10.1007/s11220-026-00803-w</t>
  </si>
  <si>
    <t>http://dx.doi.org/10.1007/s11220-026-00803-w</t>
  </si>
  <si>
    <t>Instruments &amp; Instrumentation</t>
  </si>
  <si>
    <t>IO2GE</t>
  </si>
  <si>
    <t>WOS:001776365300001</t>
  </si>
  <si>
    <t>Aelgani, V; Gupta, SK; Narayana, VA</t>
  </si>
  <si>
    <t>This study introduces a novel 2-level meta-heuristic adaptive watershed approach (AWT) for lung cancer segmentation and classification using an optimised convolutional deep neural network (OCDNN) to enhance early detection and classification accuracy. The preprocessing stage includes image augmentation (IA), image normalization (IN), grey scale conversion (GSC), and contrast-limited adaptive histogram equalization (CLAHE). For accurate segmentation, the Self-Adaptive Atomic Orbital Search (SA-AOS) method and Archimedes Optimization method (AOAO) are utilized. Features are extracted using Speed Up Robust Feature (SURF), Gray-Level Co-occurrence Matrix (GLCM), Discrete Wavelet Transform (DWT), and standard deviations. The OCDNN, optimized with a three-tier classification system, performs classification. Visualization is supported by the LIME technique. The proposed model, implemented in Python, demonstrates high accuracy in segmenting and classifying lung cancer. Experimental findings show a learning rate of 70% produces the best accuracy of 99.76%, while a learning rate of 80% yields 99.08%. The study advances lung cancer treatment methods, aiding medical professionals in making better-informed healthcare decisions. This research presents a cutting-edge approach to lung cancer detection, emphasizing the importance of precise segmentation and classification for improving patient outcomes.</t>
  </si>
  <si>
    <t>Aelgani, Vivekanand; Gupta, Suneet Kumar; Narayana, V. A.</t>
  </si>
  <si>
    <t>Aelgani, V (corresponding author), Bennett Univ, Sch Comp Sci Engn &amp; Technol, Gr Noida, UP, India.</t>
  </si>
  <si>
    <t>aelgani.vivekanand@gmail.com; suneetg24@gmail.com</t>
  </si>
  <si>
    <t>[Aelgani, Vivekanand; Gupta, Suneet Kumar] Bennett Univ, Sch Comp Sci Engn &amp; Technol, Gr Noida, UP, India; [Narayana, V. A.] CMR Coll Engn &amp; Technol, Dept Comp Sci &amp; Engn, Hyderabad, Telangana, India; [Gupta, Suneet Kumar] UPES Dehradun, Sch Comp Sci, Dehra Dun, Uttarakhand, India</t>
  </si>
  <si>
    <t>University of Petroleum &amp; Energy Studies (UPES)</t>
  </si>
  <si>
    <t>A 2-level meta-heuristic aware adaptive watershed technique based optimized convolutional deep neural network for lung cancer segmentation and classification using explainable AI</t>
  </si>
  <si>
    <t>Lung cancer diagnosis; AWT; Visualization; PSNR; Optimized deep neural network; AOAO algorithm</t>
  </si>
  <si>
    <t>Aelgani, Vivekanand/HJA-7383-2022; /AAZ-9576-2021; Gupta, Dr. SUneet/ABG-7279-2022</t>
  </si>
  <si>
    <t>103</t>
  </si>
  <si>
    <t>107395</t>
  </si>
  <si>
    <t>10.1016/j.bspc.2024.107395</t>
  </si>
  <si>
    <t>http://dx.doi.org/10.1016/j.bspc.2024.107395</t>
  </si>
  <si>
    <t>S4B4P</t>
  </si>
  <si>
    <t>WOS:001397695100001</t>
  </si>
  <si>
    <t>Aksoy, S; Demircioglu, P; Bogrekci, I</t>
  </si>
  <si>
    <t>Background/Objectives: Accurate diagnosis of brain tumors is one of the most important challenges in neuro-oncology since tumor classification and volumetric segmentation inform treatment planning. Two-dimensional classification and three-dimensional segmentation deep learning models can augment radiological workflows, particularly if paired with explainable AI techniques to improve model interpretability. The objective of this research was to develop a web-based brain tumor segmentation and classification diagnosis platform. Methods: A diagnosis system was developed combining 2D tumor classification and 3D volumetric segmentation. Classification employed a fine-tuned MobileNetV2 model trained on a glioma, meningioma, pituitary tumor, and normal control dataset. Segmentation employed a SegResNet model trained on BraTS multi-channel MRI with synthetic no-tumor data. A meta-classifier MLP was used for binary tumor detection from volumetric features. Explainability was offered using XRAI maps for 2D predictions and Gaussian overlays for 3D visualizations. The platform was incorporated into a web interface for clinical use. Results: MobileNetV2 2D model recorded 98.09% classification accuracy for tumor classification. 3D SegResNet obtained Dice coefficients around 68-70% for tumor segmentations. The MLP-based tumor detection module recorded 100% detection accuracy. Explainability modules could identify the area of the tumor, and saliency and overlay maps were consistent with real pathological features in both 2D and 3D. Conclusions: Deep learning diagnosis system possesses improved brain tumor classification and segmentation with interpretable outcomes by utilizing XAI techniques. Deployment as a web tool and a user-friendly interface made it suitable for clinical usage in radiology workflows.</t>
  </si>
  <si>
    <t>Aksoy, Serra; Demircioglu, Pinar; Bogrekci, Ismail</t>
  </si>
  <si>
    <t>Demircioglu, P (corresponding author), Aydin Adnan Menderes Univ ADU, Dept Mech Engn, TR-09010 Aydin, Turkiye.</t>
  </si>
  <si>
    <t>serra.aksoy@campus.lmu.de; ibogrekci@adu.edu.tr; pinar.demircioglu@adu.edu.tr</t>
  </si>
  <si>
    <t>[Aksoy, Serra] Ludwig Maximilian Univ Munich LMU, Inst Comp Sci, Oettingenst 67, D-80538 Munich, Germany; [Demircioglu, Pinar; Bogrekci, Ismail] Aydin Adnan Menderes Univ ADU, Dept Mech Engn, TR-09010 Aydin, Turkiye</t>
  </si>
  <si>
    <t>University of Munich</t>
  </si>
  <si>
    <t>A Web-Deployed, Explainable AI System for Comprehensive Brain Tumor Diagnosis</t>
  </si>
  <si>
    <t>NEUROLOGY INTERNATIONAL</t>
  </si>
  <si>
    <t>brain tumor diagnosis; deep learning; volumetric segmentation; explainable AI (XAI); web-based platform</t>
  </si>
  <si>
    <t>Demircioglu, Pinar/AFG-7330-2022; BOGREKCI, Ismail/AFQ-2670-2022; Aksoy, Serra/KVB-0012-2024</t>
  </si>
  <si>
    <t>Demircioglu, Pinar/0000-0003-1375-5616; BOGREKCI, Ismail/0000-0002-9494-5405; Aksoy, Serra/0009-0001-2391-9437</t>
  </si>
  <si>
    <t>2035-8377</t>
  </si>
  <si>
    <t>NEUROL INT</t>
  </si>
  <si>
    <t>Neurol. Int.</t>
  </si>
  <si>
    <t>AUG 4 2025</t>
  </si>
  <si>
    <t>121</t>
  </si>
  <si>
    <t>10.3390/neurolint17080121</t>
  </si>
  <si>
    <t>http://dx.doi.org/10.3390/neurolint17080121</t>
  </si>
  <si>
    <t>Clinical Neurology</t>
  </si>
  <si>
    <t>6OF7M</t>
  </si>
  <si>
    <t>40863990</t>
  </si>
  <si>
    <t>WOS:001558061500001</t>
  </si>
  <si>
    <t>Bai, YA; Zhao, HB; Shi, XY; Chen, L</t>
  </si>
  <si>
    <t>Background and Objective: Cloud-based Deep Learning as a Service (DLaaS) has transformed biomedicine by enabling healthcare systems to harness the power of deep learning for biomedical data analysis. However, privacy concerns emerge when sensitive user data must be transmitted to untrusted cloud servers. Existing privacy-preserving solutions are hindered by significant latency issues, stemming from the computational complexity of inner product operations in convolutional layers and the high communication costs of evaluating nonlinear activation functions. These limitations make current solutions impractical for real-world applications. Methods: In this paper, we address the challenges in mobile cloud-based medical imaging analysis, where users aim to classify private body-related radiological images using a Convolutional Neural Network (CNN) model hosted on a cloud server while ensuring data privacy for both parties. We propose PPCNN, a practical and privacy-preserving framework for CNN Inference. It introduces a novel mixed protocol that combines a low-expansion homomorphic encryption scheme with the noise-based masking method. Our framework is designed based on three key ideas: (1) optimizing computation costs by shifting unnecessary and expensive homomorphic multiplication operations to the offline phase, (2) introducing a coefficient-aware packing method to enable efficient homomorphic operations during the linear layer of the CNN, and (3) employing data masking techniques for nonlinear operations of the CNN to reduce communication costs. Results: We implemented PPCNN and evaluated its performance on three real-world radiological image datasets. Experimental results show that PPCNN outperforms state-of-the-art methods in mobile cloud scenarios, achieving superior response times and lower usage costs. Conclusions: This study introduces an efficient and privacy-preserving framework for cloud-based medical imaging analysis, marking a significant step towards practical, secure, and trustworthy AI-driven healthcare solutions.</t>
  </si>
  <si>
    <t>Bai, Yanan; Zhao, Hongbo; Shi, Xiaoyu; Chen, Lin</t>
  </si>
  <si>
    <t>Shi, XY (corresponding author), Chinese Acad Sci, Chongqing Inst Green &amp; Intelligent Technol, Chongqing 400714, Peoples R China.</t>
  </si>
  <si>
    <t>xiaoyushi@cigit.ac.cn</t>
  </si>
  <si>
    <t>Scientific Research Founda-tion of Chongqing University of Technology [2022ZDZ049]; Science and Technology Re-search Program of Chongqing Municipal Education Commission [KJQN202301124, KJQN202401107]</t>
  </si>
  <si>
    <t>Scientific Research Founda-tion of Chongqing University of Technology; Science and Technology Re-search Program of Chongqing Municipal Education Commission</t>
  </si>
  <si>
    <t>This work was supported in parts by the Scientific Research Founda-tion of Chongqing University of Technology with Grant No. 2022ZDZ049 and also supported by the Science and Technology Re-search Program of Chongqing Municipal Education Commission (No. KJQN202301124, KJQN202401107) .</t>
  </si>
  <si>
    <t>[Bai, Yanan; Zhao, Hongbo] Chongqing Univ Technol, Sch Artificial Intelligence, Chongqing 401135, Peoples R China; [Shi, Xiaoyu; Chen, Lin] Chinese Acad Sci, Chongqing Inst Green &amp; Intelligent Technol, Chongqing 400714, Peoples R China</t>
  </si>
  <si>
    <t>Chongqing University of Technology; Chinese Academy of Sciences; Chongqing Institute of Green &amp; Intelligent Technology, CAS</t>
  </si>
  <si>
    <t>Towards practical and privacy-preserving CNN inference service for cloud-based medical imaging analysis: A homomorphic encryption-based approach</t>
  </si>
  <si>
    <t>Medical imaging analysis; Privacy computing; Machine learning; Homomorphic encryption; Convolutional neural network; Cloud computing</t>
  </si>
  <si>
    <t>PERTURBATION</t>
  </si>
  <si>
    <t>bai, yanan/NCV-6456-2025; Z, HB/KHX-5716-2024</t>
  </si>
  <si>
    <t>108599</t>
  </si>
  <si>
    <t>10.1016/j.cmpb.2025.108599</t>
  </si>
  <si>
    <t>http://dx.doi.org/10.1016/j.cmpb.2025.108599</t>
  </si>
  <si>
    <t>U7S6H</t>
  </si>
  <si>
    <t>39874935</t>
  </si>
  <si>
    <t>WOS:001413748200001</t>
  </si>
  <si>
    <t>Sahoo, S; Bisoy, SK; Panda, P; Sahoo, PK; Dixit, HK</t>
  </si>
  <si>
    <t>Heart disease is one of the major causes of deaths in the world. Although the existing techniques like genetic algorithm-support vector machine (GA-SVM) are very accurate, they are not easy to interpret and can not be used across different datasets. This paper suggests a new GA-explainable artificial intelligence (XAI) Ensemble Framework consisting of the combination of feature selection by GA and a heterogeneous ensemble of SVM, random forest, and extreme gradient boosting. The obtained final decision is obtained by a stacking meta-classifier, in order to minimize variance and bias. XAI algorithms (Shapley additive explanations and local interpretable model-agnostic explanation) were also added to gain quality clinical usability, which gives insight into the role of features. The model was tested on the Kaggle cardiovascular disease dataset which consists of more than 70 000 patient records. The experimental results showed that the proposed GA-XAI Ensemble scored at 99.1% accuracy, 98.7% F1-score, and area under the curve of 0.991, which were better than the existing GA-SVM based approaches. Moreover, type of chest pain as well as thalach and serum cholesterol were the most significant characteristics emphasized in the analysis of interpretability. The method provides a better predictive power and clinically meaningful information, and should be used as it is appropriate to implement the method in practice as a part of a health care decision support system.</t>
  </si>
  <si>
    <t>Sahoo, Soumya; Bisoy, Sukant Kishoro; Panda, Pinakshi; Sahoo, Prabodh Kumar; Dixit, Harsh Kumar</t>
  </si>
  <si>
    <t>Sahoo, PK; Dixit, HK (corresponding author), Parul Univ, Parul Inst Technol, Dept Mechatron Engn, Vadodara 391760, Gujarat, India.</t>
  </si>
  <si>
    <t>prabodh.sahoo29574@paruluniversity.ac.in; harsh.dixit29346@paruluniversity.ac.in</t>
  </si>
  <si>
    <t>[Sahoo, Soumya; Bisoy, Sukant Kishoro] CV Raman Global Univ, Dept Comp Sci &amp; Engn, Bhubaneswar 752054, Odisha, India; [Panda, Pinakshi] Sri Sri Univ, Fac Engn &amp; Technol, Cuttack 754006, Odisha, India; [Sahoo, Prabodh Kumar; Dixit, Harsh Kumar] Parul Univ, Parul Inst Technol, Dept Mechatron Engn, Vadodara 391760, Gujarat, India</t>
  </si>
  <si>
    <t>Parul University</t>
  </si>
  <si>
    <t>Enhancing heart disease prediction using genetic algorithm-based ensemble learning with explainable AI</t>
  </si>
  <si>
    <t>heart disease prediction; genetic algorithm (GA); explainable artificial intelligence (XAI); random forest (RF); extreme gradient boosting (XGBoost); stacking meta-classifier; clinical decision support system</t>
  </si>
  <si>
    <t>/AAT-4466-2020</t>
  </si>
  <si>
    <t>MAY 1 2026</t>
  </si>
  <si>
    <t>105232</t>
  </si>
  <si>
    <t>10.1088/2631-8695/ae6f88</t>
  </si>
  <si>
    <t>http://dx.doi.org/10.1088/2631-8695/ae6f88</t>
  </si>
  <si>
    <t>LM7UG</t>
  </si>
  <si>
    <t>WOS:001828287600001</t>
  </si>
  <si>
    <t>Dwiyanti, L; PKDOC; Nambo, H; Hamid, N</t>
  </si>
  <si>
    <t>Autosomal dominant polycystic kidney disease (ADPKD) is the predominant hereditary factor leading to end-stage renal disease (ESRD) worldwide, affecting individuals across all races with a prevalence of 1 in 400 to 1 in 1000. The disease presents significant challenges in management, particularly with limited options for slowing cyst progression, as well as the use of tolvaptan being restricted to high-risk patients due to potential liver injury. However, determining high-risk status typically requires magnetic resonance imaging (MRI) to calculate total kidney volume (TKV), a time-consuming process demanding specialized expertise. Motivated by these challenges, this study proposes alternative methods for high-risk categorization that do not rely on TKV data. Utilizing historical patient data, we aim to predict rapid kidney enlargement in ADPKD patients to support clinical decision-making. We applied seven machine learning algorithms-Random Forest, Logistic Regression, Support Vector Machine (SVM), Light Gradient Boosting Machine (LightGBM), Gradient Boosting Tree, XGBoost, and Deep Neural Network (DNN)-to data from the Polycystic Kidney Disease Outcomes Consortium (PKDOC) database. The XGBoost model, combined with the Synthetic Minority Oversampling Technique (SMOTE), yielded the best performance. We also leveraged explainable artificial intelligence (XAI) techniques, specifically Local Interpretable Model-Agnostic Explanations (LIME) and Shapley Additive Explanations (SHAP), to visualize and clarify the model's predictions. Furthermore, we generated text summaries to enhance interpretability. To evaluate the effectiveness of our approach, we proposed new metrics to assess explainability and conducted a survey with 27 doctors to compare models with and without XAI techniques. The results indicated that incorporating XAI and textual summaries significantly improved expert explainability and increased confidence in the model's ability to support treatment decisions for ADPKD patients.</t>
  </si>
  <si>
    <t>Dwiyanti, Latifa; PKDOC, Hidetaka; Nambo, Hidetaka; Hamid, Nur</t>
  </si>
  <si>
    <t>Dwiyanti, L; Nambo, H (corresponding author), Kanazawa Univ, Grad Sch Nat Sci &amp; Technol, Kanazawa 9201192, Japan.; Dwiyanti, L (corresponding author), Inst Teknol Bandung, Sch Elect Engn &amp; Informat, Bandung 40132, Jawa Barat, Indonesia.</t>
  </si>
  <si>
    <t>latifa@stu.kanazawa-u.ac.jp; nambo@blitz.ec.t.kanazawa-u.ac.jp; nur.hamid@stu.kanazawa-u.ac.jp</t>
  </si>
  <si>
    <t>Ministry of Education, Culture, Sports, Science and Technology (MEXT) Japan at Kanazawa University, Japan</t>
  </si>
  <si>
    <t>Ministry of Education, Culture, Sports, Science and Technology (MEXT) Japan at Kanazawa University, Japan (Ministry of Education, Culture, Sports, Science and Technology, Japan (MEXT))</t>
  </si>
  <si>
    <t>The first author would like to express the gratitude to Ministry of Education, Culture, Sports, Science and Technology (MEXT) Japan for providing the scholarship during the study at Kanazawa University, Japan.</t>
  </si>
  <si>
    <t>[Dwiyanti, Latifa; Nambo, Hidetaka; Hamid, Nur] Kanazawa Univ, Grad Sch Nat Sci &amp; Technol, Kanazawa 9201192, Japan; [Dwiyanti, Latifa] Inst Teknol Bandung, Sch Elect Engn &amp; Informat, Bandung 40132, Jawa Barat, Indonesia</t>
  </si>
  <si>
    <t>Kanazawa University; Institute Technology of Bandung</t>
  </si>
  <si>
    <t>Leveraging Explainable Artificial Intelligence (XAI) for Expert Interpretability in Predicting Rapid Kidney Enlargement Risks in Autosomal Dominant Polycystic Kidney Disease (ADPKD)</t>
  </si>
  <si>
    <t>autosomal dominant polycystic kidney disease (ADPKD); explainable artificial intelligence (XAI); machine learning classification algorithms; user-centered design</t>
  </si>
  <si>
    <t>TOLVAPTAN; MACHINE</t>
  </si>
  <si>
    <t>Nambo, Hidetaka/KGK-4037-2024</t>
  </si>
  <si>
    <t>Hamid, Nur/0000-0001-8854-1060; Dwiyanti, Latifa/0000-0002-4848-1590; Nambo, Hidetaka/0000-0003-4223-6145</t>
  </si>
  <si>
    <t>2673-2688</t>
  </si>
  <si>
    <t>AI-BASEL</t>
  </si>
  <si>
    <t>2037</t>
  </si>
  <si>
    <t>2065</t>
  </si>
  <si>
    <t>10.3390/ai5040100</t>
  </si>
  <si>
    <t>http://dx.doi.org/10.3390/ai5040100</t>
  </si>
  <si>
    <t>Q3Z6A</t>
  </si>
  <si>
    <t>WOS:001384107000001</t>
  </si>
  <si>
    <t>Apostolopoulos, DJ; Apostolopoulos, ID; Papathanasiou, ND; Spyridonidis, T; Panayiotakis, GS</t>
  </si>
  <si>
    <t>The pre-operative localisation of abnormal parathyroid glands (PG) in parathyroid scintigraphy is essential for suggesting treatment and assisting surgery. Human experts examine the scintigraphic image outputs. An assisting diagnostic framework for localisation reduces the workload of physicians and can serve educational purposes. Former studies from the authors suggested a successful deep learning model, but it produced many false positives. Between 2010 and 2020, 648 participants were enrolled in the Department of Nuclear Medicine of the University Hospital of Patras, Greece. An innovative modification of the well-known VGG19 network (ParaNet+) is proposed to classify scintigraphic images into normal and abnormal classes. The Grad-CAM++ algorithm is applied to localise the abnormal PGs. An external dataset of 100 patients imaged at the same department who underwent parathyroidectomy in 2021 and 2022 was used for evaluation. ParaNet+ agreed with the human readers, showing 0.9861 on a patient-level and 0.8831 on a PG-level basis under a 10-fold cross-validation on the training set of 648 participants. Regarding the external dataset, the experts identified 93 of 100 abnormal patient cases and 99 of 118 surgically excised abnormal PGs. The human-reader false-positive rate (FPR) was 10% on a PG basis. ParaNet+ identified 99/100 abnormal cases and 103/118 PGs, with an 11.2% FPR. The model achieved higher sensitivity on both patient and PG bases than the human reader (99.0% vs. 93% and 87.3% vs. 83.9%, respectively), with comparable FPRs. Deep learning can assist in detecting and localising abnormal PGs in scintigraphic scans of patients with primary hyperparathyroidism and can be adapted to the everyday routine.</t>
  </si>
  <si>
    <t>Apostolopoulos, Dimitris J.; Apostolopoulos, Ioannis D.; Papathanasiou, Nikolaos D.; Spyridonidis, Trifon; Panayiotakis, George S.</t>
  </si>
  <si>
    <t>Apostolopoulos, ID (corresponding author), Univ Patras, Sch Med, Dept Med Phys, Patras 26504, Greece.</t>
  </si>
  <si>
    <t>dimap@med.upatras.gr; tspyr@med.upatras.gr; ece7216@upnet.gr; panayiot@upatras.gr; nikopapath@upatras.gr</t>
  </si>
  <si>
    <t>[Apostolopoulos, Dimitris J.; Papathanasiou, Nikolaos D.; Spyridonidis, Trifon] Univ Patras, Univ Hosp Patras, Dept Nucl Med, Patras 26504, Greece; [Apostolopoulos, Ioannis D.; Panayiotakis, George S.] Univ Patras, Sch Med, Dept Med Phys, Patras 26504, Greece</t>
  </si>
  <si>
    <t>University of Patras; University of Patras</t>
  </si>
  <si>
    <t>Explainable Artificial Intelligence Method (ParaNet+) Localises Abnormal Parathyroid Glands in Scintigraphic Scans of Patients with Primary Hyperparathyroidism</t>
  </si>
  <si>
    <t>deep learning; explainable artificial intelligence; parathyroid glands; hyperparathyroidism</t>
  </si>
  <si>
    <t>Spyridonidis, Trifon/AAR-1271-2021; Papathanasiou, Nick/L-6066-2019; Apostolopoulos, Ioannis/AAK-3000-2020; Papathanasiou, Nikolaos/L-6066-2019</t>
  </si>
  <si>
    <t>Apostolopoulos, Ioannis/0000-0001-6439-9282; Papathanasiou, Nikolaos/0009-0002-1806-1752</t>
  </si>
  <si>
    <t>435</t>
  </si>
  <si>
    <t>10.3390/a16090435</t>
  </si>
  <si>
    <t>http://dx.doi.org/10.3390/a16090435</t>
  </si>
  <si>
    <t>T2TT3</t>
  </si>
  <si>
    <t>WOS:001076566900001</t>
  </si>
  <si>
    <t>Jiang, T; Wei, N; Yan, Q; Ye, WC</t>
  </si>
  <si>
    <t>Objective Public perceptions of medical artificial intelligence (AI) directly influence its implementation and governance. While most existing research focuses on Western contexts, there is limited exploration of public responses in collectivist cultures and state-driven healthcare systems like China, particularly regarding the dynamic interplay of cognition, affect, and behavior. This study aims to fill this gap by examining public discourse on medical AI in China, with a specific focus on topic landscape, sentiment distribution, and the Cognition-Affect-Behavior (CAB) mechanisms driving governance.Methods We collected 12,356 valid Weibo posts on medical AI from January 2022 to December 2024. The Latent Dirichlet Allocation (LDA) topic modeling identified key topics, sentiment analysis assessed emotional tendencies, and grounded theory analysis was applied to 1,000 posts using open, axial, and selective coding to construct a theoretical model.Results The findings revealed that public discussions covered eight key topics, categorized into three dimensions: foundational drivers of medical AI development, application domains of medical AI, and societal benefits and risks challenges. All topics exhibited a coexistence of positive and negative emotions. The CAB model showed that, cognitively, the public emphasized the human core of healthcare, while acknowledging AI's efficacy, leading to a collaborative augmentation model for the physician-AI integration, where decision-making is physician-led, and AI serves as a supportive tool. Emotionally, the public expressed both amazement at AI's capabilities and expectations for physician-AI integration, alongside resistance to AI and anxiety about the physician-AI integration. Behaviorally, three proactive agency governance strategies were observed, which either reinforced or recalibrated existing cognitive frameworks.Conclusion This study provides valuable insights into the public's cognitive and emotional responses, as well as proactive behaviors toward medical AI in China. It also highlights the emergence of bottom-up accountability mechanisms, where civic engagement shapes the development of AI governance frameworks in healthcare.</t>
  </si>
  <si>
    <t>Jiang, Ting; Wei, Na; Yan, Qiang; Ye, Weicheng</t>
  </si>
  <si>
    <t>Yan, Q (corresponding author), Beijing Univ Posts &amp; Telecommun, Sch Econ &amp; Management, Beijing, Peoples R China.</t>
  </si>
  <si>
    <t>yan@bupt.edu.cn</t>
  </si>
  <si>
    <t>National Social Science Fund of China [24BZZ076]; Beijing University of Posts and Telecommunications Talent Introduction Research Start-up Project [510224049, SJ-kj2025002]</t>
  </si>
  <si>
    <t>National Social Science Fund of China (National Social Science Fund of China (NSSFC)); Beijing University of Posts and Telecommunications Talent Introduction Research Start-up Project</t>
  </si>
  <si>
    <t>The author(s) declare that financial support was received for the research and/or publication of this article. This work was supported by National Social Science Fund of China (Project ID: 24BZZ076); Beijing University of Posts and Telecommunications Talent Introduction Research Start-up Project (Project ID: 510224049); National Data Bureau 2025 Major Research Project (Project ID: SJ-kj2025002).</t>
  </si>
  <si>
    <t>[Jiang, Ting; Wei, Na; Yan, Qiang; Ye, Weicheng] Beijing Univ Posts &amp; Telecommun, Sch Econ &amp; Management, Beijing, Peoples R China; [Jiang, Ting] Tsinghua Univ, Sch Econ &amp; Management, Tsinghua, Peoples R China</t>
  </si>
  <si>
    <t>Beijing University of Posts &amp; Telecommunications; Tsinghua University</t>
  </si>
  <si>
    <t>How public discourse on medical AI shapes governance expectations: a Weibo-based mixed-methods study from China</t>
  </si>
  <si>
    <t>medical artificial intelligence; public perception; social media analysis; cognition-affect-behavior model; ethical governance; policy advocacy</t>
  </si>
  <si>
    <t>ARTIFICIAL-INTELLIGENCE</t>
  </si>
  <si>
    <t>NOV 21 2025</t>
  </si>
  <si>
    <t>1693397</t>
  </si>
  <si>
    <t>10.3389/fpubh.2025.1693397</t>
  </si>
  <si>
    <t>http://dx.doi.org/10.3389/fpubh.2025.1693397</t>
  </si>
  <si>
    <t>M8395</t>
  </si>
  <si>
    <t>41358231</t>
  </si>
  <si>
    <t>WOS:001630974300001</t>
  </si>
  <si>
    <t>Kim, N; Lee, NJ</t>
  </si>
  <si>
    <t>Objectives: This study aimed to identify predictors of health literacy (HL), focusing on nonlinear relationships and interaction effects in a nationally representative population. Methods: This cross-sectional study analyzed data from 8,630 Korean adults participating in the Korea Health Panel Survey. HL was assessed using the Korean version of the European Health Literacy Survey Questionnaire 16-item (HLS-EU-Q16) and categorized as sufficient or insufficient. An extreme gradient boosting algorithm (XGBoost) was applied, incorporating survey weights. Model performance was evaluated using standard metrics, including the area under the receiver operating characteristic curve (AUC) and Brier score. Shapley additive explanations (SHAP) values were calculated to quantify individual feature importance and identify interaction effects among 69 features. Results: The XGBoost model achieved good discrimination (AUC = 0.840) and calibration (Brier score = 0.161). Age (24.4%) and education level (19.0%) were the most influential predictors. SHAP interaction analysis identified a meaningful interaction between age and education level (mean |interaction value| = 0.078), with interaction plots indicating positive patterns among adults aged 60-80 with lower educational attainment. The contribution of online health information use varied by age, showing a negative association among younger adults but a positive association among older adults. Conclusions: HL is shaped by nonlinear and interactive effects across sociodemographic and health-related factors. Explainable machine learning approaches can facilitate the identification of high-priority populations and support the development of tailored, patient-centered educational strategies to improve HL and promote engagement with care.</t>
  </si>
  <si>
    <t>Kim, Nani; Lee, Nam-Ju</t>
  </si>
  <si>
    <t>Lee, NJ (corresponding author), Seoul Natl Univ, Coll Nursing, 103 Daehak ro, Seoul 03080, South Korea.; Lee, NJ (corresponding author), Seoul Natl Univ, Res Inst Nursing Sci, 103 Daehak ro, Seoul 03080, South Korea.</t>
  </si>
  <si>
    <t>njlee@snu.ac.kr</t>
  </si>
  <si>
    <t>[Lee, Nam-Ju] Seoul Natl Univ, Coll Nursing, 103 Daehak ro, Seoul 03080, South Korea; [Lee, Nam-Ju] Seoul Natl Univ, Res Inst Nursing Sci, 103 Daehak ro, Seoul 03080, South Korea</t>
  </si>
  <si>
    <t>Seoul National University (SNU); Seoul National University (SNU)</t>
  </si>
  <si>
    <t>Nonlinear Interaction Patterns in Health Literacy Identified through Explainable Artificial Intelligence: A Focus on Age and Education</t>
  </si>
  <si>
    <t>HEALTHCARE INFORMATICS RESEARCH</t>
  </si>
  <si>
    <t>Health Literacy; Patient Education as Topic; Machine Learning; Aged; Educational Status</t>
  </si>
  <si>
    <t>KOREAN SOC MEDICAL INFORMATICS</t>
  </si>
  <si>
    <t>SEOUL</t>
  </si>
  <si>
    <t>1618 KYUNGHEEGUNG ACHIM BLDG 3, 72 NAESOO-DONG CHONGRO-KU, SEOUL, 110-872, SOUTH KOREA</t>
  </si>
  <si>
    <t>2093-3681</t>
  </si>
  <si>
    <t>2093-369X</t>
  </si>
  <si>
    <t>HEALTHC INFORM RES</t>
  </si>
  <si>
    <t>Healthc. Inform. Res.</t>
  </si>
  <si>
    <t>134</t>
  </si>
  <si>
    <t>10.4258/hir.2026.32.2.134</t>
  </si>
  <si>
    <t>http://dx.doi.org/10.4258/hir.2026.32.2.134</t>
  </si>
  <si>
    <t>IC3UL</t>
  </si>
  <si>
    <t>42167736</t>
  </si>
  <si>
    <t>WOS:001768334000004</t>
  </si>
  <si>
    <t>Salmè, M; Siciliano, F; Silvestri, F; Soda, P; Sicilia, R; Guarrasi, V</t>
  </si>
  <si>
    <t>Radiology Report Generation (RRG) through Vision-Language Models (VLMs) promises to reduce documentation burden, improve reporting consistency, and accelerate clinical workflows. However, their clinical adoption remains limited by the lack of interpretability and the tendency to hallucinate findings misaligned with imaging evidence. Existing research typically treats interpretability and accuracy as separate objectives, with concept-based explainability techniques focusing primarily on transparency, while Retrieval-Augmented Generation (RAG) methods targeting factual grounding through external retrieval. We present Concept-Enhanced Multimodal RAG (CEMRAG), a unified framework that decomposes visual representations into interpretable clinical concepts and integrates them with multimodal RAG. This approach exploits enriched contextual prompts for RRG, improving both interpretability and factual accuracy. Experiments on MIMIC-CXR and IU X-Ray across multiple VLM architectures, training regimes, and retrieval configurations demonstrate consistent improvements over both conventional RAG and concept-only baselines on clinical accuracy metrics and standard NLP measures. These results challenge the assumed trade-off between interpretability and performance, showing that transparent visual concepts can enhance rather than compromise diagnostic accuracy in medical VLMs. Our modular design decomposes interpretability into visual transparency and structured language model conditioning, providing a principled pathway toward clinically trustworthy AI-assisted radiology. The project page is available at https://github.com/marcosal30/cemrag-rrg.</t>
  </si>
  <si>
    <t>Salme, Marco; Siciliano, Federico; Silvestri, Fabrizio; Soda, Paolo; Sicilia, Rosa; Guarrasi, Valerio</t>
  </si>
  <si>
    <t>Soda, P (corresponding author), Univ Campus Biomed Roma, Dept Engn, Res Unit Artificial Intelligence &amp; Comp Syst, Rome, Italy.; Soda, P (corresponding author), Umea Univ, Dept Diagnost &amp; Intervent, Radiat Phys, Biomed Engn, Umea, Sweden.</t>
  </si>
  <si>
    <t>fsilvestri@diag.uniroma1.it; marco.salme@unicampus.it; federico.siciliano@ingv.it; valerio.guarrasi@unicampus.it; rosa.sicilia@unicamillus.org; paolo.soda@umu.se</t>
  </si>
  <si>
    <t>Umea University</t>
  </si>
  <si>
    <t>Umea University (Umea University)</t>
  </si>
  <si>
    <t>Open access funding provided by Umea University.</t>
  </si>
  <si>
    <t>[Salme, Marco; Soda, Paolo; Guarrasi, Valerio] Univ Campus Biomed Roma, Dept Engn, Res Unit Artificial Intelligence &amp; Comp Syst, Rome, Italy; [Silvestri, Fabrizio] Sapienza Univ Rome, Dept Comp Control &amp; Management Engn, Rome, Italy; [Soda, Paolo] Umea Univ, Dept Diagnost &amp; Intervent, Radiat Phys, Biomed Engn, Umea, Sweden; [Sicilia, Rosa] UniCamillus St Camillus Int Univ Hlth Sci, Rome, Italy; [Siciliano, Federico] Natl Inst Geophys &amp; Volcanol, Rome, Italy</t>
  </si>
  <si>
    <t>University Campus Bio-Medico - Rome Italy; Sapienza University Rome; Umea University; Istituto Nazionale Geofisica e Vulcanologia (INGV)</t>
  </si>
  <si>
    <t>Concept-Enhanced Multimodal RAG: Towards Interpretable and Accurate Radiology Report Generation</t>
  </si>
  <si>
    <t>INFORMATION SYSTEMS FRONTIERS</t>
  </si>
  <si>
    <t>Radiology report generation; Vision-Language Models; Medical imaging; Interpretability; Retrieval-Augmented Generation; Multimodal AI</t>
  </si>
  <si>
    <t>Siciliano, Federico/JAX-3949-2023; Guarrasi, Valerio/GWU-9478-2022; Sicilia, Rosa/AAC-6012-2022</t>
  </si>
  <si>
    <t>1387-3326</t>
  </si>
  <si>
    <t>1572-9419</t>
  </si>
  <si>
    <t>INFORM SYST FRONT</t>
  </si>
  <si>
    <t>Inf. Syst. Front.</t>
  </si>
  <si>
    <t>10.1007/s10796-026-10741-3</t>
  </si>
  <si>
    <t>http://dx.doi.org/10.1007/s10796-026-10741-3</t>
  </si>
  <si>
    <t>Computer Science, Information Systems; Computer Science, Theory &amp; Methods</t>
  </si>
  <si>
    <t>HT9OT</t>
  </si>
  <si>
    <t>WOS:001762623500001</t>
  </si>
  <si>
    <t>Svensson, AM; Jotterand, F</t>
  </si>
  <si>
    <t>This article examines the potential implications of the implementation of artificial intelligence (AI) in health care for both its delivery and the medical profession. To this end, the first section explores the basic features of AI and the yet theoretical concept of autonomous AI followed by an overview of current and developing AI applications. Against this background, the second section discusses the transforming roles of physicians and changes in the patient-physician relationship that could be a consequence of gradual expansion of AI in health care. Subsequently, an examination of the responsibilities physicians should assume in this process is explored. The third section describes conceivable practical and ethical challenges that implementation of a single all-encompassing AI healthcare system would pose. The fourth section presents arguments for regulation of AI in health care to ensure that these applications do not violate basic ethical principles and that human control of AI will be preserved in the future. In the final section, fundamental components of a moral framework from which such regulation may be derived are brought forward, and some possible strategies for building a moral framework are discussed.</t>
  </si>
  <si>
    <t>Svensson, Annika M.; Jotterand, Fabrice</t>
  </si>
  <si>
    <t>Svensson, AM (corresponding author), Lanssjukhuset &amp; Kalmar, Lasarettsv 8, S-39244 Kalmar, Sweden.</t>
  </si>
  <si>
    <t>Annika.Svensson@ymail.com</t>
  </si>
  <si>
    <t>[Svensson, Annika M.] Lanssjukhuset &amp; Kalmar, Lasarettsv 8, S-39244 Kalmar, Sweden; [Jotterand, Fabrice] Med Coll Wisconsin, Milwaukee, WI 53226 USA; [Jotterand, Fabrice] Univ Basel, Basel, Switzerland</t>
  </si>
  <si>
    <t>Medical College of Wisconsin; University of Basel</t>
  </si>
  <si>
    <t>Doctor Ex Machina: A Critical Assessment of the Use of Artificial Intelligence in Health Care</t>
  </si>
  <si>
    <t>JOURNAL OF MEDICINE AND PHILOSOPHY</t>
  </si>
  <si>
    <t>AI governance; artificial intelligence; confidentiality; deliberative democracy; machine learning; medical practice; privacy; professionalism</t>
  </si>
  <si>
    <t>OXFORD UNIV PRESS INC</t>
  </si>
  <si>
    <t>CARY</t>
  </si>
  <si>
    <t>JOURNALS DEPT, 2001 EVANS RD, CARY, NC 27513 USA</t>
  </si>
  <si>
    <t>0360-5310</t>
  </si>
  <si>
    <t>1744-5019</t>
  </si>
  <si>
    <t>J MED PHILOS</t>
  </si>
  <si>
    <t>J. Med. Philos.</t>
  </si>
  <si>
    <t>FEB 8 2022</t>
  </si>
  <si>
    <t>SI</t>
  </si>
  <si>
    <t>155</t>
  </si>
  <si>
    <t>178</t>
  </si>
  <si>
    <t>10.1093/jmp/jhab036</t>
  </si>
  <si>
    <t>http://dx.doi.org/10.1093/jmp/jhab036</t>
  </si>
  <si>
    <t>Ethics; Social Sciences, Biomedical</t>
  </si>
  <si>
    <t>Social Sciences - Other Topics; Biomedical Social Sciences</t>
  </si>
  <si>
    <t>YW0MH</t>
  </si>
  <si>
    <t>35137175</t>
  </si>
  <si>
    <t>WOS:000753115200009</t>
  </si>
  <si>
    <t>Çelik, S; Köroglu, CZ</t>
  </si>
  <si>
    <t>Objective: This paper analyzes gender equality across countries in the year 2024 by using the GGGI, with the intention of disentangling the unseen structural and non-deterministic patterns. Instead of repeating the process of calculating the index, it is openly recognizing the compositional feature of the GGGI and the unseen similarities between the indices. Methods: This research employs a global cross-sectional study of 146 countries over the four primary GGGI sectors: economic participation, education, health and survival, and empowerment. Where OLS is only employed as a diagnostic test, as its almost perfect fit (R2 similar to 1) is squarely mechanical and lacks relevance for inference. Apart from ensemble models employed for predictions, K-means clustering, SHAP analysis, and GridSearchCV optimization are also used. Findings: The out-of-sample predictions demonstrate high levels of predictive accuracy, with Gradient Boosting models yielding an R2 of approximately 0.90 and an RMSE of approximately 0.045, indicating that there is significant nonlinear information beyond index aggregation. Unsupervised clustering techniques show that there are seven distinct country clusters that go beyond traditional geographic and income divisions, which can be identified with more than 93% accuracy. The SHAP results show that empowerment and economic participation are drivers, while there is insignificant variation in healthcare. Contribution: This study identifies the boundaries of regression analysis in index research, as well as the advantages of machine learning analysis in determining structural patterns related to gender equity.</t>
  </si>
  <si>
    <t>Celik, Sadullah; Koroglu, Cemile Zehra</t>
  </si>
  <si>
    <t>Köroglu, CZ (corresponding author), Usak Univ, Dept Social Work, Usak, Turkiye.</t>
  </si>
  <si>
    <t>cemile.koroglu@usak.edu.tr</t>
  </si>
  <si>
    <t>[Celik, Sadullah] George Washington Univ, Dept Math, Washington, DC USA; [Celik, Sadullah] Aydin Adnan Menderes Univ, Aydin, Turkiye; [Koroglu, Cemile Zehra] Usak Univ, Dept Social Work, Usak, Turkiye</t>
  </si>
  <si>
    <t>George Washington University; Adnan Menderes University; Usak University</t>
  </si>
  <si>
    <t>Global Gender Inequality Through Explainable AI: Machine Learning, Clustering, and SHAP Insights</t>
  </si>
  <si>
    <t>SOCIAL SCIENCE COMPUTER REVIEW</t>
  </si>
  <si>
    <t>global gender gap index; gender equality; machine learning; K-means clustering; explainable AI; SHAP; cross-national analysis; sociological data science</t>
  </si>
  <si>
    <t>ÇELİK, SADULLAH/ACG-6762-2022</t>
  </si>
  <si>
    <t>ÇELİK, SADULLAH/0000-0001-5468-475X</t>
  </si>
  <si>
    <t>0894-4393</t>
  </si>
  <si>
    <t>1552-8286</t>
  </si>
  <si>
    <t>SOC SCI COMPUT REV</t>
  </si>
  <si>
    <t>Soc. Sci. Comput. Rev.</t>
  </si>
  <si>
    <t>10.1177/08944393261419809</t>
  </si>
  <si>
    <t>http://dx.doi.org/10.1177/08944393261419809</t>
  </si>
  <si>
    <t>Computer Science, Interdisciplinary Applications; Information Science &amp; Library Science; Social Sciences, Interdisciplinary</t>
  </si>
  <si>
    <t>Computer Science; Information Science &amp; Library Science; Social Sciences - Other Topics</t>
  </si>
  <si>
    <t>CK3KE</t>
  </si>
  <si>
    <t>WOS:001667834900001</t>
  </si>
  <si>
    <t>Makandar, A; Bhandari, A; Veronica, B; Alashetty, A; P, JA; Tarannum, S; Sharma, S</t>
  </si>
  <si>
    <t>Acute lymphoblastic leukemia (ALL) is a type of blood cancer that rapidly impacts the hematologic system, particularly in children, requiring accurate and prompt diagnosis for better clinical outcomes. Manual inspection of peripheral blood smears remains the standard approach, but it is resource-intensive and subject to observer variability, underscoring the need for automated, consistent, and interpretable diagnostic tools. This work proposes a dual-stage deep learning framework combining transfer learning and a custom CNN model-DAC-Net-for the classification of ALL from microscopic blood smear images. The first stage leverages pretrained CNNs (VGG19, ResNet50, ResNet101) for feature extraction, followed by feature refinement using ANOVA, recursive feature elimination (RFE), and random forest importance scores. These features are classified using multiple traditional machine learning algorithms including SVM, kNN, random forest, and Na &amp; iuml;ve Bayes. The second pipeline features the DAC-Net, an attention-integrated CNN trained end-to-end to automatically learn discriminative patterns directly from image data. Incorporating spatial attention layers and dense connections, the DAC-Net emphasizes morphologically relevant regions associated with leukemia. Extensive experiments on the C-NMC dataset demonstrated that while both pipelines performed well, the DAC-Net achieved higher sensitivity and F1-scores. The integration of Grad-CAM and related explainability tools adds transparency to model decisions, enhancing its practical value as a decision-support tool in ALL diagnosis.</t>
  </si>
  <si>
    <t>Makandar, Aziz; Bhandari, Arfa; Veronica, Benita; Alashetty, Ashvini; A. P., Jyothi; Tarannum, Shaista; Sharma, Sachin</t>
  </si>
  <si>
    <t>Alashetty, A (corresponding author), S VYASA Univ, Dept Comp Sci &amp; Applicat, Jigani, India.</t>
  </si>
  <si>
    <t>ashwinialashetty@gmail.com</t>
  </si>
  <si>
    <t>[Makandar, Aziz; Bhandari, Arfa] Karnataka State Akkamahadevi Womens Univ, Dept Comp Sci, Vijayapura, India; [Veronica, Benita] Curtin Univ Dubai, IT &amp; Cyber Secur, Dubai, U Arab Emirates; [Alashetty, Ashvini; Sharma, Sachin] S VYASA Univ, Dept Comp Sci &amp; Applicat, Jigani, India; [A. P., Jyothi] MS Ramaiah Univ Appl Sci, Fac Engn &amp; Technol, Dept Comp Sci &amp; Engn, Bengaluru, Karnataka, India; [Tarannum, Shaista] MS Ramaiah Univ Appl Sci, Bengaluru 560058, India</t>
  </si>
  <si>
    <t>Karnataka State Akkamahadevi Women's University; M. S. Ramaiah University of Applied Sciences; M. S. Ramaiah University of Applied Sciences</t>
  </si>
  <si>
    <t>Deep Learning-Based Dual-Pipeline Framework for Acute Lymphoblastic Leukemia Classification With Explainable AI Integration</t>
  </si>
  <si>
    <t>acute lymphoblastic leukemia; blood smear images; DAC-Net; deep learning; explainable AI; feature extraction; Grad-CAM; medical image classification; pretrained CNN; transfer learning</t>
  </si>
  <si>
    <t>Alashetty, Ashvini/KVZ-0438-2024; Sharma, Sachin/AAJ-5374-2020; /AAT-6611-2021</t>
  </si>
  <si>
    <t>, Benita/0000-0002-5501-7382; Tarannum, Shaista/0009-0006-0493-2771; Alashetty, Ashvini/0000-0002-4054-3339</t>
  </si>
  <si>
    <t>8886728</t>
  </si>
  <si>
    <t>10.1155/acis/8886728</t>
  </si>
  <si>
    <t>http://dx.doi.org/10.1155/acis/8886728</t>
  </si>
  <si>
    <t>9EC2Y</t>
  </si>
  <si>
    <t>WOS:001604161500001</t>
  </si>
  <si>
    <t>Bhuiyan, MA; Akash, MRS; Islam, R; Polash, SI; Khushbu, SA</t>
  </si>
  <si>
    <t>Dengue fever presents a growing public health challenge in tropical and subtropical regions, where early detection is crucial for effective intervention. This study conducts a comprehensive comparative analysis of 13 machine learning and deep learning models for nonclinical, symptom-based dengue prediction, focusing on the Bangladeshi population. Using a dataset of 500 patient records with 22 symptom-based features, we evaluated a wide spectrum of classifier algorithms, including tree-based (e.g., random forest, extra trees, bagging), linear (logistic regression, SGDClassifier), and an instance-based classifier. Our comparative evaluation revealed that a custom-built, hyperparameter-tuned artificial neural network (ANN) achieved the highest accuracy of 97.5%, significantly outperforming all other models. While tree-based models like random forest also demonstrated strong performance (93.2%), other classifiers showed considerably lower efficacy. To ensure transparency in our top-performing model, SHapley Additive exPlanations (SHAP) was employed, identifying critical predictors such as retro-ocular pain, swollen eyelids, and age. This study not only establishes the superiority of a well-tuned ANN for this task but also demonstrates the value of broad model comparison and explainability in building reliable diagnostic tools for public health.</t>
  </si>
  <si>
    <t>Bhuiyan, Md Atik; Akash, Md Rashik Shahriar; Islam, Radiful; Polash, Shohidul Islam; Khushbu, Sharun Akter</t>
  </si>
  <si>
    <t>Islam, R (corresponding author), Daffodil Int Univ, Dept Comp Sci &amp; Engn, Dhaka, Bangladesh.</t>
  </si>
  <si>
    <t>radiful15-3837@diu.edu.bd</t>
  </si>
  <si>
    <t>[Bhuiyan, Md Atik; Akash, Md Rashik Shahriar; Islam, Radiful; Polash, Shohidul Islam; Khushbu, Sharun Akter] Daffodil Int Univ, Dept Comp Sci &amp; Engn, Dhaka, Bangladesh</t>
  </si>
  <si>
    <t>Daffodil International University</t>
  </si>
  <si>
    <t>Early Dengue Prediction in Bangladesh: A Comparative Study With Feature Analysis, Explainable Artificial Intelligence, and Model Optimization</t>
  </si>
  <si>
    <t>JOURNAL OF TROPICAL MEDICINE</t>
  </si>
  <si>
    <t>artificial neural network; Bangladesh; deep learning; dengue fever; early detection; explainable artificial intelligence; feature analysis; hyperparameter tuning; predictive modeling</t>
  </si>
  <si>
    <t>TRANSMISSION</t>
  </si>
  <si>
    <t>Khushbu, Sharun Akter/KIE-1861-2024; Akash, Rashik Shahriar/MVX-9550-2025</t>
  </si>
  <si>
    <t>Islam, Radiful/0009-0005-9414-4519; Khushbu, Sharun Akter/0000-0002-8900-8580; Bhuiyan, Atik/0009-0001-5867-2040; Akash, Rashik Shahriar/0009-0005-7836-2022; Polash, Shohidul Islam/0000-0002-0535-9704</t>
  </si>
  <si>
    <t>1687-9686</t>
  </si>
  <si>
    <t>1687-9694</t>
  </si>
  <si>
    <t>J TROP MED-US</t>
  </si>
  <si>
    <t>J. Trop. Med.</t>
  </si>
  <si>
    <t>1709439</t>
  </si>
  <si>
    <t>10.1155/jotm/1709439</t>
  </si>
  <si>
    <t>http://dx.doi.org/10.1155/jotm/1709439</t>
  </si>
  <si>
    <t>Public, Environmental &amp; Occupational Health; Tropical Medicine</t>
  </si>
  <si>
    <t>T4100</t>
  </si>
  <si>
    <t>41399677</t>
  </si>
  <si>
    <t>WOS:001637566600001</t>
  </si>
  <si>
    <t>Yagin, FH; Alkhateeb, A; Raza, A; Samee, NA; Mahmoud, NF; Colak, C; Yagin, B</t>
  </si>
  <si>
    <t>Background: Myalgic encephalomyelitis/chronic fatigue syndrome (ME/CFS) is a complex and debilitating illness with a significant global prevalence, affecting over 65 million individuals. It affects various systems, including the immune, neurological, gastrointestinal, and circulatory systems. Studies have shown abnormalities in immune cell types, increased inflammatory cytokines, and brain abnormalities. Further research is needed to identify consistent biomarkers and develop targeted therapies. This study uses explainable artificial intelligence and machine learning techniques to identify discriminative metabolites for ME/CFS. Material and Methods: The model investigates a metabolomics dataset of CFS patients and healthy controls, including 26 healthy controls and 26 ME/CFS patients aged 22-72. The dataset encapsulated 768 metabolites into nine metabolic super-pathways: amino acids, carbohydrates, cofactors, vitamins, energy, lipids, nucleotides, peptides, and xenobiotics. Random forest methods together with other classifiers were applied to the data to classify individuals as ME/CFS patients and healthy individuals. The classification learning algorithms' performance in the validation step was evaluated using a variety of methods, including the traditional hold-out validation method, as well as the more modern cross-validation and bootstrap methods. Explainable artificial intelligence approaches were applied to clinically explain the optimum model's prediction decisions. Results: The metabolomics of C-glycosyltryptophan, oleoylcholine, cortisone, and 3-hydroxydecanoate were determined to be crucial for ME/CFS diagnosis. The random forest model outperformed the other classifiers in ME/CFS prediction using the 1000-iteration bootstrapping method, achieving 98% accuracy, precision, recall, F1 score, 0.01 Brier score, and 99% AUC. According to the obtained results, the bootstrap validation approach demonstrated the highest classification outcomes. Conclusion: The proposed model accurately classifies ME/CFS patients based on the selected biomarker candidate metabolites. It offers a clear interpretation of risk estimation for ME/CFS, aiding physicians in comprehending the significance of key metabolomic features within the model.</t>
  </si>
  <si>
    <t>Yagin, Fatma Hilal; Alkhateeb, Abedalrhman; Raza, Ali; Samee, Nagwan Abdel; Mahmoud, Noha F.; Colak, Cemil; Yagin, Burak</t>
  </si>
  <si>
    <t>Yagin, FH; Yagin, B (corresponding author), Inonu Univ, Fac Med, Dept Biostat &amp; Med Informat, TR-44280 Malatya, Turkiye.</t>
  </si>
  <si>
    <t>hilal.yagin@inonu.edu.tr; aalkhate@lakeheadu.ca; cemil.colak@inonu.edu.tr; burak.yagin@inonu.edu.tr; nfmahmoud@pnu.edu.sa; nmabdelsamee@pnu.edu.sa; ali.raza.scholarly@gmail.com</t>
  </si>
  <si>
    <t>Princess Nourah bint Abdulrahman University, Riyadh, Saudi Arabia</t>
  </si>
  <si>
    <t>Princess Nourah bint Abdulrahman University, Riyadh, Saudi Arabia (Princess Nourah bint Abdulrahman University)</t>
  </si>
  <si>
    <t>The authors express their gratitude to Princess Nourah bint Abdulrahman University Researchers Supporting Project Number (PNURSP2023R206), Princess Nourah bint Abdulrahman University, Riyadh, Saudi Arabia.</t>
  </si>
  <si>
    <t>[Yagin, Fatma Hilal; Colak, Cemil; Yagin, Burak] Inonu Univ, Fac Med, Dept Biostat &amp; Med Informat, TR-44280 Malatya, Turkiye; [Alkhateeb, Abedalrhman] Lakehead Univ, Comp Sci Dept, Thunder Bay, ON P7B 5E1, Canada; [Raza, Ali] Khwaja Fareed Univ Engn &amp; Informat Technol, Inst Comp Sci, Rahim Yar Khan 64200, Pakistan; [Samee, Nagwan Abdel] Princess Nourah bint Abdulrahman Univ, Coll Comp &amp; Informat Sci, Dept Informat Technol, POB 84428, Riyadh 11671, Saudi Arabia; [Mahmoud, Noha F.] Princess Nourah bint Abdulrahman Univ, Hlth &amp; Rehabil Sci Coll, Rehabil Sci Dept, POB 84428, Riyadh 11671, Saudi Arabia</t>
  </si>
  <si>
    <t>Inonu University; Lakehead University; Khwaja Fareed University of Engineering &amp; Information Technology, Pakistan; Princess Nourah bint Abdulrahman University; Princess Nourah bint Abdulrahman University</t>
  </si>
  <si>
    <t>An Explainable Artificial Intelligence Model Proposed for the Prediction of Myalgic Encephalomyelitis/Chronic Fatigue Syndrome and the Identification of Distinctive Metabolites</t>
  </si>
  <si>
    <t>explainable artificial intelligence; myalgic encephalomyelitis/chronic fatigue syndrome; metabolomics data; clinical classification</t>
  </si>
  <si>
    <t>CROSS-VALIDATION; CLASSIFICATION; OPTIMIZATION; ME/CFS</t>
  </si>
  <si>
    <t>Alkhateeb, Abedalrhman/HNP-4502-2023; YAĞIN, Fatma Hilal/ABI-8066-2020; Raza, Ali/GNP-1289-2022; Mahmoud, Noha/GPT-3706-2022; Abdel Samee, Nagwan/AEE-5694-2022; ÇOLAK, Cemil/ABI-3261-2020; Yağın, Burak/AIC-0705-2022</t>
  </si>
  <si>
    <t>Alkhateeb, Abedalrhman/0000-0002-1751-7570; YAĞIN, Fatma Hilal/0000-0002-9848-7958; Raza, Ali/0000-0001-5429-9835; Mahmoud, Noha/0000-0003-0608-6661; Abdel Samee, Nagwan/0000-0001-5957-1383; ÇOLAK, Cemil/0000-0001-5406-098X; Yağın, Burak/0000-0001-6687-979X</t>
  </si>
  <si>
    <t>DEC 2023</t>
  </si>
  <si>
    <t>3495</t>
  </si>
  <si>
    <t>10.3390/diagnostics13233495</t>
  </si>
  <si>
    <t>http://dx.doi.org/10.3390/diagnostics13233495</t>
  </si>
  <si>
    <t>AB6J7</t>
  </si>
  <si>
    <t>38066735</t>
  </si>
  <si>
    <t>WOS:001116032800001</t>
  </si>
  <si>
    <t>Champendal, M; Ribeiro, RT; Müller, H; Prior, JO; dos Reis, CS</t>
  </si>
  <si>
    <t>Introduction: The clinical adoption of AI-based denoising in PET/CT relies on the development of transparent and trustworthy tools that align with the radiographers'needs and support integration into routine practice. This study aims to determine the key characteristics of an eXplainable Artificial Intelligence (XAI)/tool aligning the radiographers' needs to facilitate the clinical adoption of AI-based denoising algorithm in PET/CT. Methods: Two focus groups were organised, involving ten voluntary participants recruited from nuclear medicine departments from Western-Switzerland, forming a convenience sample of radiographers. Two different scenarios, matching or mismatching the ground truth were used to identify their needs and the questions they would like to ask to understand the AI-denoising algorithm. Additionally, the characteristics that an XAI tool should possess to best meet their needs were investigated. Content analysis was performed following the three steps outlined by Wanlin. Ethics cleared the study. Results: Ten radiographers (aged 31-60y) identified two levels of explanation: (1) simple, global explanations with numerical confidence levels for rapid understanding in routine settings; (2) detailed, case-specific explanations using mixed formats where necessary, depending on the clinical situation and users to build confidence and support decision-making. Key questions include the functions of the algorithm ('what'), the clinical context ('when') and the dependency of the results ('how'). An effective XAI tool should be easy, adaptable, user-friendly and not disruptive to workflows. Conclusion: Radiographers need two levels of explanation from XAI tools: global summaries that preserve workflow efficiency and detailed, case-specific insights when needed. Meeting these needs is key to fostering trust, understanding, and integration of AI-based denoising in PET/CT. Implications for practice: Implementing adaptive XAI tools tailored to radiographers' needs can support clinical workflows and accelerate the adoption of AI in PET/CT imaging. (c) 2025 The Author(s). Published by Elsevier Ltd on behalf of The College of Radiographers. This is an open access article under the CC BY license (http://creativecommons.org/licenses/by/4.0/).</t>
  </si>
  <si>
    <t>Champendal, M.; Ribeiro, R. T.; Muller, H.; Prior, J. O.; dos Reis, C. Sa</t>
  </si>
  <si>
    <t>Champendal, M (corresponding author), Ave Beaumont 21, CH-1011 Lausanne, Switzerland.</t>
  </si>
  <si>
    <t>ricardo.ribeiro@hesav.ch; melanie.champendal@hesav.ch; claudia.sadosreis@hesav.ch; henning.mueller@hevs.ch; john.prior@unil.ch</t>
  </si>
  <si>
    <t>[Champendal, M.; Ribeiro, R. T.; dos Reis, C. Sa] HES SO Univ Appl Sci &amp; Arts Western Switzerland, HESAV Sch Hlth Sci Vaud, Ave Beaumont 21, CH-1011 Lausanne, Switzerland; [Champendal, M.; Prior, J. O.] Univ Lausanne, Fac Biol &amp; Med, Unictr, CH-1015 Lausanne, Switzerland; [Muller, H.] Univ Appl Sci Western Switzerland HES SO Valais Si, Informat Inst, Rue Ind 23, CH-1950 Sion, Switzerland; [Muller, H.] Univ Geneva, Med Fac, Rue Michel Servet, CH-1121 Geneva 4, Switzerland; [Prior, J. O.] Lausanne Univ Hosp CHUV Lausanne, Nucl Med &amp; Mol Imaging Dept, Rue Bugnon 46, CH-1011 Lausanne, Switzerland</t>
  </si>
  <si>
    <t>University of Applied Sciences &amp; Arts Western Switzerland; University of Lausanne; University of Geneva</t>
  </si>
  <si>
    <t>User-centric eXplainable AI criteria for implementing AI-based denoising in PET/CT</t>
  </si>
  <si>
    <t>RADIOGRAPHY</t>
  </si>
  <si>
    <t>Artificial intelligence; Positron emission tomography/computed; tomography; Comprehension; Trust; Knowledge; Users</t>
  </si>
  <si>
    <t>ARTIFICIAL-INTELLIGENCE; BLACK-BOX; MEDICINE; HEALTH; DESIGN</t>
  </si>
  <si>
    <t>Prior, John O/I-5364-2017</t>
  </si>
  <si>
    <t>Teresa Ribeiro, Ricardo/0000-0003-2769-9934; Prior, John O/0000-0003-1429-1374; Müller, Henning/0000-0001-6800-9878; Sá dos Reis, Cláudia/0000-0003-2376-4460; Champendal, Mélanie/0000-0002-1465-4334</t>
  </si>
  <si>
    <t>1078-8174</t>
  </si>
  <si>
    <t>1532-2831</t>
  </si>
  <si>
    <t>Radiography</t>
  </si>
  <si>
    <t>103194</t>
  </si>
  <si>
    <t>10.1016/j.radi.2025.103194</t>
  </si>
  <si>
    <t>http://dx.doi.org/10.1016/j.radi.2025.103194</t>
  </si>
  <si>
    <t>8UU1T</t>
  </si>
  <si>
    <t>41075588</t>
  </si>
  <si>
    <t>WOS:001597839400001</t>
  </si>
  <si>
    <t>Cao, LP; Ma, XM; Huang, WD; Xu, GM; Wang, YM; Liu, M; Sheng, SY; Mao, KS</t>
  </si>
  <si>
    <t>Introduction: Malignant cerebral edema (MCE) is a serious complication and the main cause of poor prognosis in patients with large-hemisphere infarction (LHI). Therefore, the rapid and accurate identification of potential patients with MCE is essential for timely therapy. This study utilized an artificial intelligence-based machine learning approach to establish an interpretable model for predicting MCE in patients with LHI. Methods: This study included 314 patients with LHI not undergoing recanalization therapy. The patients were divided into MCE and non-MCE groups, and the eXtreme Gradient Boosting (XGBoost) model was developed. A confusion matrix was used to measure the prediction performance of the XGBoost model. We also utilized the SHapley Additive exPlanations (SHAP) method to explain the XGBoost model. Decision curve and receiver operating characteristic curve analyses were performed to evaluate the net benefits of the model. Results: MCE was observed in 121 (38.5%) of the 314 patients with LHI. The model showed excellent predictive performance, with an area under the curve of 0.916. The SHAP method revealed the top 10 predictive variables of the MCE such as ASPECTS score, NIHSS score, CS score, APACHE II score, HbA1c, AF, NLR, PLT, GCS, and age based on their importance ranking. Conclusion: An interpretable predictive model can increase transparency and help doctors accurately predict the occurrence of MCE in LHI patients not undergoing recanalization therapy within 48 h of onset, providing patients with better treatment strategies and enabling optimal resource allocation.</t>
  </si>
  <si>
    <t>Cao, Liping; Ma, Xiaoming; Huang, Wendie; Xu, Geman; Wang, Yumei; Liu, Meng; Sheng, Shiying; Mao, Keshi</t>
  </si>
  <si>
    <t>Liu, M; Sheng, SY; Mao, KS (corresponding author), Soochow Univ, Affiliated Hosp 3, Dept Neurol, Changzhou, Peoples R China.</t>
  </si>
  <si>
    <t>dr-shengshiying@163.com; hollymao1@163.com; lm145@163.com</t>
  </si>
  <si>
    <t>Changzhou Science Tech Program [CJ20220201]</t>
  </si>
  <si>
    <t>Changzhou Science Tech Program</t>
  </si>
  <si>
    <t>This study was supported by the Changzhou Science &amp;Tech Program (Grant No. CJ20220201).</t>
  </si>
  <si>
    <t>[Cao, Liping; Huang, Wendie; Xu, Geman; Wang, Yumei; Liu, Meng; Sheng, Shiying; Mao, Keshi] Soochow Univ, Affiliated Hosp 3, Dept Neurol, Changzhou, Peoples R China; [Ma, Xiaoming] North China Univ Sci &amp; Technol, Sch Clin Med, Tangshan, Peoples R China</t>
  </si>
  <si>
    <t>Soochow University - China; North China University of Science &amp; Technology</t>
  </si>
  <si>
    <t>An Explainable Artificial Intelligence Model to Predict Malignant Cerebral Edema after Acute Anterior Circulating Large-Hemisphere Infarction</t>
  </si>
  <si>
    <t>EUROPEAN NEUROLOGY</t>
  </si>
  <si>
    <t>Ischemic stroke; Malignant cerebral edema; Large-hemisphere infarction; XGBoost; SHAP</t>
  </si>
  <si>
    <t>TO-LYMPHOCYTE RATIO; BRAIN EDEMA; ISCHEMIC-STROKE; ARTERY INFARCTION; ENDOVASCULAR THROMBECTOMY; SCORE; RISK; NEUTROPHIL; MANAGEMENT; BURDEN</t>
  </si>
  <si>
    <t>Ma, Xiaoming/JHU-8185-2023</t>
  </si>
  <si>
    <t>Ma, Xiaoming/0000-0002-7587-4795</t>
  </si>
  <si>
    <t>KARGER</t>
  </si>
  <si>
    <t>ALLSCHWILERSTRASSE 10, CH-4009 BASEL, SWITZERLAND</t>
  </si>
  <si>
    <t>0014-3022</t>
  </si>
  <si>
    <t>1421-9913</t>
  </si>
  <si>
    <t>EUR NEUROL</t>
  </si>
  <si>
    <t>Eur. Neurol.</t>
  </si>
  <si>
    <t>APR 2 2024</t>
  </si>
  <si>
    <t>66</t>
  </si>
  <si>
    <t>10.1159/000538424</t>
  </si>
  <si>
    <t>http://dx.doi.org/10.1159/000538424</t>
  </si>
  <si>
    <t>TO1Q7</t>
  </si>
  <si>
    <t>38565087</t>
  </si>
  <si>
    <t>WOS:001242116800001</t>
  </si>
  <si>
    <t>Ahmed, NAM; Alpkoçak, A</t>
  </si>
  <si>
    <t>It is necessary to develop an explainable model to clarify how and why a medical model makes a particular decision. Local posthoc explainable AI (XAI) techniques, such as SHAP and LIME, interpret classification system predictions by displaying the most important features and rules underlying any prediction locally. Therefore, in order to compare two or more XAI methods, they must first be evaluated qualitatively or quantitatively. This paper proposes quantitative XAI evaluation metrics that are not based on biased and subjective human judgment. On the other hand, it is dependent on the depth of the decision tree (DT) to automatically and effectively measure the complexity of XAI methods. Our study introduces a novel XAI strategy that measures the complexity of any XAI method by using a characteristic of another model as a proxy. The output of XAI methods, specifically feature importance scores from SHAP and LIME, is fed into the DT in our proposal. The DT will then draw a full tree based on the feature importance score decisions. As a result, we developed two main metrics that can be used to assess the DT's complexity and thus the associated XAI method: the total depth of the tree (TDT) and the average of the weighted class depth (ACD). The results show that SHAP outperforms LIME and is thus less complex. Furthermore, in terms of the number of documents and features, SHAP is more scalable. These results can indicate whether a specific XAI method is suitable for dealing with different document scales. Furthermore, they can demonstrate which features can be used to improve the performance of the black-box model, in this case, a feedforward neural network (FNN).</t>
  </si>
  <si>
    <t>Ahmed, Nizar Abdulaziz Mahyoub; Alpkocak, Adil</t>
  </si>
  <si>
    <t>Ahmed, NAM (corresponding author), Dokuz Eylul Univ, Dept Comp Engn, Izmir, Turkey.</t>
  </si>
  <si>
    <t>nizar.ahmed@ceng.deu.edu.tr</t>
  </si>
  <si>
    <t>[Ahmed, Nizar Abdulaziz Mahyoub] Dokuz Eylul Univ, Dept Comp Engn, Izmir, Turkey; [Alpkocak, Adil] Izmir Bakircay Univ, Dept Comp Engn, Izmir, Turkey</t>
  </si>
  <si>
    <t>Dokuz Eylul University; Izmir University of Bakircay</t>
  </si>
  <si>
    <t>A quantitative evaluation of explainable AI methods using the depth of decision tree</t>
  </si>
  <si>
    <t>TURKISH JOURNAL OF ELECTRICAL ENGINEERING AND COMPUTER SCIENCES</t>
  </si>
  <si>
    <t>Explainable AI; medical multiclass classification; SHAP; LIME; decision tree; quantitative explainability evaluation</t>
  </si>
  <si>
    <t>/F-3388-2013</t>
  </si>
  <si>
    <t>Tubitak Scientific &amp; Technological Research Council Turkey</t>
  </si>
  <si>
    <t>ANKARA</t>
  </si>
  <si>
    <t>ATATURK BULVARI NO 221, KAVAKLIDERE, TR-06100 ANKARA, TURKIYE</t>
  </si>
  <si>
    <t>1300-0632</t>
  </si>
  <si>
    <t>1303-6203</t>
  </si>
  <si>
    <t>TURK J ELECTR ENG CO</t>
  </si>
  <si>
    <t>Turk. J. Electr. Eng. Comput. Sci.</t>
  </si>
  <si>
    <t>2054</t>
  </si>
  <si>
    <t>2072</t>
  </si>
  <si>
    <t>10.55730/1300-0632.3924</t>
  </si>
  <si>
    <t>http://dx.doi.org/10.55730/1300-0632.3924</t>
  </si>
  <si>
    <t>6F9VC</t>
  </si>
  <si>
    <t>WOS:000884407400004</t>
  </si>
  <si>
    <t>Radhakrishnan, M; Sampathila, N; Muralikrishna, H; Swathi, KS</t>
  </si>
  <si>
    <t>Ovarian cancer is a dangerous gynaecological malignancy, and the presence of many subtypes causes significant diagnostic difficulties. In general, the high accuracy of classification results in adequate prognosis and effectiveness of treatment. This work aims at the development of a Deep Learning (DL) approach for subtypes of ovarian cancer multiclassification, which tries to solve the problem of the creation of precise and reliable diagnostic methods. In the work, we have used and explored various DL models such as MobileNetV2, VGG19, ResNet18, ResNeXt, Xception, EfficientNet, and InceptionV3 to perform the classification task. Further, we used the state-of-the-art eXplainable Artificial Intelligence methods, including integrated gradient, saliency map, Grad-CAM, and DeepLift, to improve model interpretability. From our experiments, we inferred that the highest accuracy was achieved by InceptionV3, with a value of 97.96%. XAI techniques incorporated provide transparent insights into the model's operations during the decision-making process, thus increasing the level of trust and clinical usability. The proposed DL approach, by leveraging InceptionV3 as its top performer, has convincingly demonstrated the potential of AI to revolutionize the diagnosis of ovarian cancer through a high level of accuracy in subtype classification. XAI techniques integrated allow transparency support for the model and further enable its clinical adoption. All of these developments have significant potential for improved patient outcomes within the scope of personalized medicine in ovarian cancer treatment.</t>
  </si>
  <si>
    <t>Radhakrishnan, Meera; Sampathila, Niranjana; Muralikrishna, H.; Swathi, K. S.</t>
  </si>
  <si>
    <t>Sampathila, N (corresponding author), Manipal Acad Higher Educ, Manipal Inst Technol, Dept Biomed Engn, Manipal 576104, India.; Muralikrishna, H (corresponding author), Manipal Acad Higher Educ, Manipal Inst Technol, Dept Elect &amp; Commun Engn, Manipal 576104, India.</t>
  </si>
  <si>
    <t>murali.h@manipal.edu; niranjana.s@manipal.edu</t>
  </si>
  <si>
    <t>Manipal Academy of Higher Education</t>
  </si>
  <si>
    <t>The authors would like to thank Manipal Academy of Higher Education for the research support.</t>
  </si>
  <si>
    <t>[Radhakrishnan, Meera; Sampathila, Niranjana] Manipal Acad Higher Educ, Manipal Inst Technol, Dept Biomed Engn, Manipal 576104, India; [Muralikrishna, H.] Manipal Acad Higher Educ, Manipal Inst Technol, Dept Elect &amp; Commun Engn, Manipal 576104, India; [Swathi, K. S.] Manipal Acad Higher Educ, Prasanna Sch Publ Hlth, Dept Social &amp; Hlth Innovat, Manipal 576104, India</t>
  </si>
  <si>
    <t>Manipal Academy of Higher Education (MAHE); Manipal Academy of Higher Education (MAHE); Manipal Academy of Higher Education (MAHE)</t>
  </si>
  <si>
    <t>Advancing Ovarian Cancer Diagnosis Through Deep Learning and eXplainable AI: A Multiclassification Approach</t>
  </si>
  <si>
    <t>Ovarian cancer; Cancer; Accuracy; Computational modeling; Computer architecture; Task analysis; Explainable AI; Deep learning; Pathology; digital pathology; multiclassification; ovarian cancer; XAI</t>
  </si>
  <si>
    <t>CLASSIFICATION; IMAGES</t>
  </si>
  <si>
    <t>Sampathila, Niranjana/AAQ-8318-2020; K S, Swathi/ACW-3330-2022; H, Muralikrishna/KEI-9434-2024</t>
  </si>
  <si>
    <t>Sampathila, Niranjana/0000-0002-3345-360X; K S, Swathi/0000-0002-9468-548X; H, Muralikrishna/0000-0002-6340-4227</t>
  </si>
  <si>
    <t>116968</t>
  </si>
  <si>
    <t>116986</t>
  </si>
  <si>
    <t>10.1109/ACCESS.2024.3448219</t>
  </si>
  <si>
    <t>http://dx.doi.org/10.1109/ACCESS.2024.3448219</t>
  </si>
  <si>
    <t>E5H5M</t>
  </si>
  <si>
    <t>WOS:001303311700001</t>
  </si>
  <si>
    <t>Ali, MB; Smiti, A</t>
  </si>
  <si>
    <t>Accurate, early-stage staging of Alzheimer's disease (AD) is critical for therapeutic intervention but is hampered by data privacy regulations, multimodal data heterogeneity, and the "black-box" nature of complex Artificial Intelligence (AI) models. To address these interconnected challenges, we introduce a novel, privacy-preserving federated learning framework for robust and interpretable AD staging. Our method integrates four clinically relevant modalities, 3D structural Magnetic Resonance Imaging (MRI), Image Biomarker Standardization Initiative (IBSI)-compliant radiomics, cognitive assessments, and U.S. Food and Drug Administration (FDA) cleared plasma biomarkers, within a parameter-efficient Swin-UNet transformer architecture. Key innovations include: (1) Low-Rank Adaptation (LoRA) and dynamic token gating, reducing communication overhead by 99% (to 140 KB/round) compared to standard federated averaging; (2) A hierarchical attention fusion mechanism that dynamically weights modalities based on predictive uncertainty; and (3) A fuzzy-rough hybrid explainability pipeline that synthesizes client-specific saliency maps into a consensus-driven, clinically coherent interpretation without sharing raw data. Evaluated on a stratified four-client federation derived from the Alzheimer's Disease Neuroimaging Initiative (ADNI) cohort, our framework achieved a state-of-the-art balanced accuracy of 80.7%, closely approaching the centralized upper bound (82.1%) while demonstrating superior robustness to simulated domain shifts and consistent cross-site interpretability (Dice similarity: 0.84). This work establishes a foundational blueprint for the next generation of healthcare AI systems that are simultaneously accurate, efficient, privacy-preserving, and trustworthy, enabling scalable collaboration across distributed clinical networks.</t>
  </si>
  <si>
    <t>Ali, Marwa Ben Gara; Smiti, Abir</t>
  </si>
  <si>
    <t>Ali, MB (corresponding author), Univ Tunis, Higher Inst Management Tunis, LARODEC, 41 Ave Liberte, Tunis 2000, Tunisia.</t>
  </si>
  <si>
    <t>bengaralimarwa@gmail.com</t>
  </si>
  <si>
    <t>Alzheimer's Disease Neuroimaging Initiative (ADNI) - National Institutes of Health NIH [U01 AG024904]; Department of Defense DOD [W81XWH-12-2-0012]</t>
  </si>
  <si>
    <t>Alzheimer's Disease Neuroimaging Initiative (ADNI) - National Institutes of Health NIH (United States Department of Health &amp; Human Services, National Institutes of Health (NIH) - USA, Office of the Administrator (NIH)); Department of Defense DOD (United States Department of Defense)</t>
  </si>
  <si>
    <t>This research did not receive any specific grant from Funding agencies in the public, commercial, or not-for-profit sectors. Data Funding: Data used in this study were obtained from the Alzheimer's Disease Neuroimaging Initiative (ADNI) , funded by National Institutes of Health NIH Grant U01 AG024904 and Department of Defense DOD award W81XWH-12-2-0012.</t>
  </si>
  <si>
    <t>[Ali, Marwa Ben Gara; Smiti, Abir] Univ Tunis, Higher Inst Management Tunis, LARODEC, 41 Ave Liberte, Tunis 2000, Tunisia</t>
  </si>
  <si>
    <t>Universite de Tunis</t>
  </si>
  <si>
    <t>Privacy-preserving multimodal fusion for Alzheimer's staging: A federated vision transformer framework with explainable AI☆</t>
  </si>
  <si>
    <t>COMPUTERIZED MEDICAL IMAGING AND GRAPHICS</t>
  </si>
  <si>
    <t>Alzheimer's disease (AD) staging; Federated learning (FL); Multimodal fusion; Explainable AI (XAI); Swin transformer; Low-rank adaptation (LoRA); Privacy-preserving machine learning; Fuzzy-rough sets</t>
  </si>
  <si>
    <t>NEUROIMAGING INITIATIVE ADNI; DISEASE; BIOMARKERS; ROBUST</t>
  </si>
  <si>
    <t>129</t>
  </si>
  <si>
    <t>0895-6111</t>
  </si>
  <si>
    <t>1879-0771</t>
  </si>
  <si>
    <t>COMPUT MED IMAG GRAP</t>
  </si>
  <si>
    <t>Comput. Med. Imaging Graph.</t>
  </si>
  <si>
    <t>102730</t>
  </si>
  <si>
    <t>10.1016/j.compmedimag.2026.102730</t>
  </si>
  <si>
    <t>http://dx.doi.org/10.1016/j.compmedimag.2026.102730</t>
  </si>
  <si>
    <t>Engineering, Biomedical; Radiology, Nuclear Medicine &amp; Medical Imaging</t>
  </si>
  <si>
    <t>Engineering; Radiology, Nuclear Medicine &amp; Medical Imaging</t>
  </si>
  <si>
    <t>EJ9BN</t>
  </si>
  <si>
    <t>41723900</t>
  </si>
  <si>
    <t>WOS:001702833500001</t>
  </si>
  <si>
    <t>Liu, ZM; Liu, LJ; Heidel, RE; Zhao, XP</t>
  </si>
  <si>
    <t>This pioneering study introduces the use of transformer-based machine learning models and explainable AI approaches to explore the impact of nutrition on Alzheimer's disease (AD) mortality. Using data from the Third National Health and Nutrition Examination Survey (Nhanes iii 1988 to 1994) and the NHANES III Mortality-Linked File (2019) databases, we investigate the intricate relationship between various nutritional factors and AD mortality. Our approach features a novel application of transformer models, which are then benchmarked against established methods like random forests and support vector machines. This comparison not only underscores the strengths of transformer models in handling complex medical datasets but also highlights their potential for providing deeper insights into disease progression. Key findings, such as the significant roles of Platelet distribution width in AD mortality in transformer and Serum Vitamin B12 in random forest, are enhanced by the use of Explainable Artificial Intelligence (XAI), particularly the Shapley Additive Explanations (SHAP) and the integrated gradient methods. This study serves as a vital step forward in applying advanced AI techniques to medical research, offering new perspectives in understanding and combating Alzheimer's Disease.</t>
  </si>
  <si>
    <t>Liu, Ziming; Liu, Longjian; Heidel, Robert E.; Zhao, Xiaopeng</t>
  </si>
  <si>
    <t>Liu, ZM (corresponding author), Univ Tennessee, Dept Mech Aerosp &amp; Biomed Engn, 1512 Middle Dr, Knoxville, TN 37916 USA.</t>
  </si>
  <si>
    <t>zliu68@vols.utk.edu</t>
  </si>
  <si>
    <t>National Institue on Aging, United States [R21AG082210, R01AG077003]</t>
  </si>
  <si>
    <t>National Institue on Aging, United States</t>
  </si>
  <si>
    <t>This project is supported in part by National Institue on Aging, United States under the grant numbers R21AG082210 and R01AG077003.</t>
  </si>
  <si>
    <t>[Liu, Ziming; Zhao, Xiaopeng] Univ Tennessee, Dept Mech Aerosp &amp; Biomed Engn, 1512 Middle Dr, Knoxville, TN 37916 USA; [Liu, Longjian] Drexel Univ, Dornsife Sch Publ Hlth, Dept Epidemiol &amp; Biostat, 3215 Market St, Philadelphia, PA 19104 USA; [Heidel, Robert E.] Univ Tennessee, Grad Sch Med, Dept Surg, 1924 Alcoa Hwy, Knoxville, TN 37920 USA; [Zhao, Xiaopeng] Univ Tennessee, Coll Emerging &amp; Collaborat Studies, 527 Andy Holt Tower, Knoxville, TN 37996 USA</t>
  </si>
  <si>
    <t>University of Tennessee Knoxville; University of Tennessee System; University of Tennessee Knoxville; Drexel University; University of Tennessee System; University of Tennessee Health Science Center; University of Tennessee System; University of Tennessee Knoxville</t>
  </si>
  <si>
    <t>Explainable AI and transformer models: Unraveling the nutritional influences on Alzheimer's disease mortality</t>
  </si>
  <si>
    <t>SMART HEALTH</t>
  </si>
  <si>
    <t>Alzheimer's disease; Transformer models; Explainable AI; Nutritional impact on mortality</t>
  </si>
  <si>
    <t>PLATELET DISTRIBUTION WIDTH; COGNITIVE DECLINE; CARDIOVASCULAR-DISEASE; PHYSICAL-ACTIVITY; HEART-DISEASE; RISK-FACTORS; WEIGHT-LOSS; DEMENTIA; CHOLESTEROL; IMPAIRMENT</t>
  </si>
  <si>
    <t>Zhao, Xiaopeng/A-4419-2008; Heidel, Robert/GSE-4942-2022; Liu, Longjian/Q-4774-2018</t>
  </si>
  <si>
    <t>2352-6483</t>
  </si>
  <si>
    <t>2352-6491</t>
  </si>
  <si>
    <t>Smart Health</t>
  </si>
  <si>
    <t>100478</t>
  </si>
  <si>
    <t>10.1016/j.smhl.2024.100478</t>
  </si>
  <si>
    <t>http://dx.doi.org/10.1016/j.smhl.2024.100478</t>
  </si>
  <si>
    <t>MAR 2024</t>
  </si>
  <si>
    <t>9PU6U</t>
  </si>
  <si>
    <t>39087069</t>
  </si>
  <si>
    <t>WOS:001612143600023</t>
  </si>
  <si>
    <t>Zhou, Q; Liu, FD; Li, JX; Zhou, QY; Xiang, XR; Dai, C; Hen, L; Dao, S; Zhang, MJ; Gao, BW; Li, YX; Xu, L; Chang, YH; Wang, DH</t>
  </si>
  <si>
    <t>To address the clinical challenge of postoperative lower extremity deep vein thrombosis (LEDVT) in endometrial cancer care, this study establishes an explainable machine learning framework for personalized risk prediction. Utilizing perioperative data from 841 patients across multiple centers, we evaluated 26 machine learning algorithms combined with diverse data augmentation techniques. The Support Vector Machine (SVM) model emerged as the most robust architecture, refined through recursive feature elimination to a concise four-variable set comprising postoperative D-dimer, age, fibrinogen, and clinical stage. The model demonstrated superior discriminative performance, achieving an area under the curve (AUC) of 0.828 in internal validation and 0.819 in an independent external cohort. To bridge the gap between "black-box" AI and clinical trust, we integrated SHapley Additive exPlanations (SHAP) to quantify individual feature contributions, revealing non-linear associations such as the critical risk threshold for D-dimer levels. Finally, a web-based decision support interface was implemented to provide real-time, interpretable risk assessments. By combining high predictive accuracy with transparent decision logic, this approach offers a precise tool for identifying high-risk patients and optimizing postoperative management in endometrial cancer care.</t>
  </si>
  <si>
    <t>Zhou, Qing; Liu, Fudan; Li, Jiaxiu; Zhou, Qiyin; Xiang, Xiaorong; Dai, Cheng; Hen, Lianli; Dao, ShouLi; Zhang, Mingjie; Gao, Bowen; Li, Yuxi; Xu, Lin; Chang, Yonghu; Wang, Donghong</t>
  </si>
  <si>
    <t>Wang, DH (corresponding author), Zunyi Med Univ, Affiliated Hosp, Dept Obstet &amp; Gynecol, Zunyi, Guizhou, Peoples R China.; Xu, L (corresponding author), Key Lab Canc Prevent &amp; Treatment Guizhou Prov, Zunyi, Guizhou, Peoples R China.; Chang, YH (corresponding author), Zunyi Med Univ, Sch Med Informat Engn, Zunyi, Guizhou, Peoples R China.</t>
  </si>
  <si>
    <t>xulinzhouya@163.com; wangdonghong1970@126.com; 407114469@qq.com</t>
  </si>
  <si>
    <t>Guizhou Provincial Technology Plan Project [Qiankehe Foundation [2019] 1353]; Project of Guizhou Provincial Health Commission [D-605]; Guizhou Provincial 2022 College Students' Innovation and Entrepreneurship Training Program Project [202210661272]; Graduate Research Fund Project of Zunyi Medical University [ZYK59]</t>
  </si>
  <si>
    <t>Guizhou Provincial Technology Plan Project; Project of Guizhou Provincial Health Commission; Guizhou Provincial 2022 College Students' Innovation and Entrepreneurship Training Program Project; Graduate Research Fund Project of Zunyi Medical University</t>
  </si>
  <si>
    <t>This work was supported in part by the Technology Plan Project (Qiankehe Foundation [2019] 1353), Guizhou Provincial 2022 College Students' Innovation and Entrepreneurship Training Program Project (202210661272), Graduate Research Fund Project of Zunyi Medical University (ZYK59), and Project of Guizhou Provincial Health Commission (D-605). We thank the participating hospitals for their support in data collection. The funders had no role in study design, data collection and analysis, decision to publish, or preparation of the manuscript.</t>
  </si>
  <si>
    <t>[Zhou, Qing; Liu, Fudan; Li, Jiaxiu; Zhang, Mingjie; Gao, Bowen; Li, Yuxi; Wang, Donghong] Zunyi Med Univ, Affiliated Hosp, Dept Obstet &amp; Gynecol, Zunyi, Guizhou, Peoples R China; [Zhou, Qing] Zunyi Med Univ, Sch Management, Zunyi, Guizhou, Peoples R China; [Zhou, Qiyin] Yanhe Tujia Autonomous Cty Peoples Hosp, Dept Obstet &amp; Gynecol, Yanhe, Guizhou, Peoples R China; [Xiang, Xiaorong] Naval Med Univ, Shanghai Changzheng Hosp, Dept Resp &amp; Crit Care Med, Shanghai, Peoples R China; [Dai, Cheng] Guizhou Prov Peoples Hosp, Dept Obstet &amp; Gynecol, Guiyang, Guizhou, Peoples R China; [Hen, Lianli] Zunyi Med Univ, Affiliated Hosp 3, Dept Obstet &amp; Gynecol, Zunyi, Guizhou, Peoples R China; [Dao, ShouLi] Liupanshui Maternal &amp; Child Hlth Hosp, Dept Obstet &amp; Gynecol, Liupanshui, Guizhou, Peoples R China; [Xu, Lin] Key Lab Canc Prevent &amp; Treatment Guizhou Prov, Zunyi, Guizhou, Peoples R China; [Chang, Yonghu] Zunyi Med Univ, Sch Med Informat Engn, Zunyi, Guizhou, Peoples R China</t>
  </si>
  <si>
    <t>Zunyi Medical University; Zunyi Medical University; Naval Medical University; Zunyi Medical University</t>
  </si>
  <si>
    <t>Personalised thrombo-embolic risk prediction after endometrial cancer surgery: an explainable AI approach using SHAP</t>
  </si>
  <si>
    <t>NPJ DIGITAL MEDICINE</t>
  </si>
  <si>
    <t>VENOUS THROMBOEMBOLISM; THROMBOSIS; PROGNOSIS; MODELS</t>
  </si>
  <si>
    <t>2398-6352</t>
  </si>
  <si>
    <t>NPJ DIGIT MED</t>
  </si>
  <si>
    <t>npj Digit. Med.</t>
  </si>
  <si>
    <t>MAY 27 2026</t>
  </si>
  <si>
    <t>641</t>
  </si>
  <si>
    <t>10.1038/s41746-026-02782-4</t>
  </si>
  <si>
    <t>http://dx.doi.org/10.1038/s41746-026-02782-4</t>
  </si>
  <si>
    <t>MY7HE</t>
  </si>
  <si>
    <t>42204240</t>
  </si>
  <si>
    <t>WOS:001854058100001</t>
  </si>
  <si>
    <t>Refaee, T; Aloofy, O; Alduraibi, K; Ageeli, W; Alyami, A; Mohtasib, R; Majrashi, N; Lambin, P</t>
  </si>
  <si>
    <t>Objectives: Accurate differentiation between usual interstitial pneumonia (UIP) and nonspecific interstitial pneumonia (NSIP) is crucial for guiding treatment in interstitial lung diseases (ILDs). This study evaluates the efficacy of clinical, radiomic, and combined models in classifying UIP and NSIP using high-resolution computed tomography (HRCT) scans. Materials and Methods: A retrospective analysis was performed on 105 HRCT scans (UIP = 60, NSIP = 45) from Faisal Hospital and Research Center. Demographic and pulmonary function data formed the clinical model. Radiomic features, extracted using the pyRadiomics package, were refined using recursive feature elimination. A combined model was developed by integrating clinical and radiomic features to assess their complementary diagnostic value. Model performance was assessed via the area under the receiver operating characteristic curve (AUC). SHapley Additive exPlanations (SHAP) analysis, including both global feature importance and individual-level explanations, was used to interpret the model predictions. Results: The clinical model achieved an AUC of 0.62 with a sensitivity of 54% and a specificity of 78%. The radiomic model outperformed it with an AUC of 0.90 with a sensitivity and specificity above 85%. The combined model showed an AUC of 0.86 with a sensitivity of 88% and a specificity of 78%. SHAP analysis identified texture-based features, such as GLCM_Idmn and NGTDM_Contrast, as influential for classification. Conclusions: Radiomic features enhance classification accuracy for UIP and NSIP compared to clinical models. Integrating HCR into clinical workflows may reduce variability and improve diagnostic accuracy in ILD. Future studies should validate findings using larger, multicenter datasets.</t>
  </si>
  <si>
    <t>Refaee, Turkey; Aloofy, Ouf; Alduraibi, Khalid; Ageeli, Wael; Alyami, Ali; Mohtasib, Rafat; Majrashi, Naif; Lambin, Philippe</t>
  </si>
  <si>
    <t>Refaee, T (corresponding author), Jazan Univ, Fac Nursing &amp; Hlth Sci, Dept Diagnost Radiog Technol, Jazan 85145, Saudi Arabia.</t>
  </si>
  <si>
    <t>wageeli@jazanu.edu.sa; khalid.alduraibi@gmail.com; rafatmohtasib@gmail.com; trefaee@jazanu.edu.sa; oufaloofy@gmail.com; nmajrashi@jazanu.edu.sa; philippe.lambin@maastrichtuniversity.nl; aalmansour@jazanu.edu.sa</t>
  </si>
  <si>
    <t>Deanship of Graduate Studies and Scientific Research, Jazan University, Saudi Arabia</t>
  </si>
  <si>
    <t>This research was funded by the Deanship of Graduate Studies and Scientific Research, Jazan University, Saudi Arabia, through project number RG24-S0115.</t>
  </si>
  <si>
    <t>[Refaee, Turkey; Ageeli, Wael; Alyami, Ali; Majrashi, Naif] Jazan Univ, Fac Nursing &amp; Hlth Sci, Dept Diagnost Radiog Technol, Jazan 85145, Saudi Arabia; [Aloofy, Ouf; Alduraibi, Khalid] King Faisal Specialist Hosp &amp; Res Ctr, Dept Radiol, Riyadh 11211, Saudi Arabia; [Mohtasib, Rafat] King Faisal Specialist Hosp &amp; Res Ctr, Biomed Phys Dept, Riyadh 11211, Saudi Arabia; [Mohtasib, Rafat] Alfaisal Univ, Dept Med Sch, Riyadh 11533, Saudi Arabia; [Lambin, Philippe] Maastricht Univ, GROW Sch Oncol &amp; Reprod, Dept Precis Med, D Lab, NL-6200 MD Maastricht, Netherlands; [Lambin, Philippe] Maastricht Univ, Dept Radiol &amp; Nucl Med, Med Ctr, NL-6200 MD Maastricht, Netherlands</t>
  </si>
  <si>
    <t>Jazan University; King Faisal Specialist Hospital &amp; Research Center; King Faisal Specialist Hospital &amp; Research Center; Maastricht University; Maastricht University Medical Centre (MUMC); Maastricht University</t>
  </si>
  <si>
    <t>Harnessing Radiomics and Explainable AI for the Classification of Usual and Nonspecific Interstitial Pneumonia</t>
  </si>
  <si>
    <t>JOURNAL OF CLINICAL MEDICINE</t>
  </si>
  <si>
    <t>usual interstitial pneumonia; nonspecific interstitial pneumonia; high-resolution computed tomography; radiomics; SHAP analysis</t>
  </si>
  <si>
    <t>IDIOPATHIC PULMONARY-FIBROSIS; DIAGNOSIS; IMAGES</t>
  </si>
  <si>
    <t>Refaee, Turkey/HKP-1219-2023; MOHTASIB, RAFAT/MIT-7608-2025; Lambin, Philippe/OYF-3183-2025; Majrashi, Naif Ali Ahmed/HKP-1234-2023</t>
  </si>
  <si>
    <t>Refaee, Turkey/0000-0001-6605-1845; MOHTASIB, RAFAT/0000-0002-9041-2177; Lambin, Philippe/0000-0001-7961-0191; Ageeli, Wael/0000-0001-9716-0438; Majrashi, Naif Ali Ahmed/0000-0002-5630-5765</t>
  </si>
  <si>
    <t>2077-0383</t>
  </si>
  <si>
    <t>J CLIN MED</t>
  </si>
  <si>
    <t>J. Clin. Med.</t>
  </si>
  <si>
    <t>JUL 11 2025</t>
  </si>
  <si>
    <t>4934</t>
  </si>
  <si>
    <t>10.3390/jcm14144934</t>
  </si>
  <si>
    <t>http://dx.doi.org/10.3390/jcm14144934</t>
  </si>
  <si>
    <t>5HK6U</t>
  </si>
  <si>
    <t>40725627</t>
  </si>
  <si>
    <t>WOS:001535757400001</t>
  </si>
  <si>
    <t>gold; Green Published; Green Submitted</t>
  </si>
  <si>
    <t>Islam, MN; Alam, MGR; Apon, TS; Uddin, MZ; Allheeib, N; Menshawi, A; Hassan, MM</t>
  </si>
  <si>
    <t>The coronavirus epidemic has spread to virtually every country on the globe, inflicting enormous health, financial, and emotional devastation, as well as the collapse of healthcare systems in some countries. Any automated COVID detection system that allows for fast detection of the COVID-19 infection might be highly beneficial to the healthcare service and people around the world. Molecular or antigen testing along with radiology X-ray imaging is now utilized in clinics to diagnose COVID-19. Nonetheless, due to a spike in coronavirus and hospital doctors' overwhelming workload, developing an AI-based auto-COVID detection system with high accuracy has become imperative. On X-ray images, the diagnosis of COVID-19, non-COVID-19 non-COVID viral pneumonia, and other lung opacity can be challenging. This research utilized artificial intelligence (AI) to deliver high-accuracy automated COVID-19 detection from normal chest X-ray images. Further, this study extended to differentiate COVID-19 from normal, lung opacity and non-COVID viral pneumonia images. We have employed three distinct pre-trained models that are Xception, VGG19, and ResNet50 on a benchmark dataset of 21,165 X-ray images. Initially, we formulated the COVID-19 detection problem as a binary classification problem to classify COVID-19 from normal X-ray images and gained 97.5%, 97.5%, and 93.3% accuracy for Xception, VGG19, and ResNet50 respectively. Later we focused on developing an efficient model for multi-class classification and gained an accuracy of 75% for ResNet50, 92% for VGG19, and finally 93% for Xception. Although Xception and VGG19's performances were identical, Xception proved to be more efficient with its higher precision, recall, and f-1 scores. Finally, we have employed Explainable AI on each of our utilized model which adds interpretability to our study. Furthermore, we have conducted a comprehensive comparison of the model's explanations and the study revealed that Xception is more precise in indicating the actual features that are responsible for a model's predictions.This addition of explainable AI will benefit the medical professionals greatly as they will get to visualize how a model makes its prediction and won't have to trust our developed machine-learning models blindly.</t>
  </si>
  <si>
    <t>Islam, Md. Nazmul; Alam, Md. Golam Rabiul; Apon, Tasnim Sakib; Uddin, Md. Zia; Allheeib, Nasser; Menshawi, Alaa; Hassan, Mohammad Mehedi</t>
  </si>
  <si>
    <t>Hassan, MM (corresponding author), King Saud Univ, Coll Comp &amp; Informat Sci, Informat Syst Dept, Riyadh 11543, Saudi Arabia.</t>
  </si>
  <si>
    <t>mmhassan@ksu.edu.sa</t>
  </si>
  <si>
    <t>King Saud University, Riyadh, Saudi Arabia [RSP2023R18]</t>
  </si>
  <si>
    <t>The authors are grateful to King Saud University, Riyadh, Saudi Arabia for funding this work through Researchers Supporting Project Number (RSP2023R18).</t>
  </si>
  <si>
    <t>[Islam, Md. Nazmul; Alam, Md. Golam Rabiul; Apon, Tasnim Sakib] BRAC Univ, Dept Comp Sci &amp; Engn, Dhaka 1212, Bangladesh; [Uddin, Md. Zia] SINTEF Digital, Software &amp; Serv Innovat, N-0373 Oslo, Norway; [Allheeib, Nasser; Menshawi, Alaa; Hassan, Mohammad Mehedi] King Saud Univ, Coll Comp &amp; Informat Sci, Informat Syst Dept, Riyadh 11543, Saudi Arabia</t>
  </si>
  <si>
    <t>Bangladesh Rural Advancement Committee BRAC; BRAC University; SINTEF; King Saud University</t>
  </si>
  <si>
    <t>Interpretable Differential Diagnosis of Non-COVID Viral Pneumonia, Lung Opacity and COVID-19 Using Tuned Transfer Learning and Explainable AI</t>
  </si>
  <si>
    <t>HEALTHCARE</t>
  </si>
  <si>
    <t>COVID-19; transfer learning; explainable AI; X-ray imaging; lung opacity; non-COVID viral pneumonia</t>
  </si>
  <si>
    <t>Hassan, Mohammad Mehedi/D-4946-2016; ALAM, GOLAM RABIUL/L-4373-2013; Allheeib, Nasser/GZM-2646-2022; Uddin, Zia/AAC-1309-2020; Menshawi, Alaa/MSW-4068-2025; Islam, Nazmul/MBH-1642-2025</t>
  </si>
  <si>
    <t>Hassan, Mohammad Mehedi/0000-0002-3479-3606; ALAM, GOLAM RABIUL/0000-0002-9054-7557; Allheeib, Nasser/0000-0001-7191-2099; Apon, Sakib/0000-0002-5238-8276; Uddin, Zia/0000-0002-5215-1834; Menshawi, Alaa/0000-0003-4582-1606; Islam, Nazmul/0000-0002-2654-7464</t>
  </si>
  <si>
    <t>2227-9032</t>
  </si>
  <si>
    <t>HEALTHCARE-BASEL</t>
  </si>
  <si>
    <t>Healthcare</t>
  </si>
  <si>
    <t>10.3390/healthcare11030410</t>
  </si>
  <si>
    <t>http://dx.doi.org/10.3390/healthcare11030410</t>
  </si>
  <si>
    <t>Health Care Sciences &amp; Services; Health Policy &amp; Services</t>
  </si>
  <si>
    <t>Health Care Sciences &amp; Services</t>
  </si>
  <si>
    <t>8U9HE</t>
  </si>
  <si>
    <t>36766986</t>
  </si>
  <si>
    <t>WOS:000930253100001</t>
  </si>
  <si>
    <t>Fernandes, JB; Vareta, D; Fernandes, S; Castro, C; Hall, S; Baixinho, C; Costa, A; Godinho, C; Brederode, C; Mateus, J; McCormack, B</t>
  </si>
  <si>
    <t>Background: The integration of Artificial Intelligence in healthcare is transforming care delivery. While Artificial Intelligence offers efficiency and precision, it also raises ethical concerns about the potential for dehumanization. Maintaining person-centred care, with its emphasis on human dignity, empathy, and relationships, becomes essential in this evolving context. This study aims to identify practical strategies that can help ensure the humanization of care is not compromised amid the ongoing technological transformation. Methods: A qualitative study will be conducted with healthcare professionals, managers, and Artificial Intelligence experts. Participants will be recruited through purposive sampling and invited via digital platforms and academic networks. Semi-structured interviews will be held online, guided by five dimensions of a Person-Centred Practice Framework. Interviews will be audio-recorded, transcribed, and thematically analysed using Braun and Clarke's method, supported by QDA Miner Lite. Conclusion: By examining diverse perspectives, this study aims to identify strategies for upholding person-centred care in Artificial Intelligence -driven contexts. The findings can support the implementation of ethically responsible Artificial Intelligence that reinforces, rather than diminishes the human aspects of care.</t>
  </si>
  <si>
    <t>Fernandes, Julio Belo; Vareta, Diana; Fernandes, Sonia; Castro, Cidalia; Hall, Steven; Baixinho, Cristina; Costa, Andreia; Godinho, Catarina; Brederode, Constanca; Mateus, Jessica; McCormack, Brendan</t>
  </si>
  <si>
    <t>Fernandes, JB (corresponding author), Campus Univ, P-2829511 Almada, Portugal.</t>
  </si>
  <si>
    <t>juliobelo01@gmail.com</t>
  </si>
  <si>
    <t>[Fernandes, Julio Belo; Vareta, Diana; Fernandes, Sonia; Castro, Cidalia; Hall, Steven; Godinho, Catarina; Brederode, Constanca; Mateus, Jessica] Egas Moniz Sch Hlth &amp; Sci, Egas Moniz Ctr Interdisciplinary Res CiiEM, Almada, Portugal; [Fernandes, Julio Belo; Vareta, Diana; Fernandes, Sonia; Castro, Cidalia; Godinho, Catarina; Brederode, Constanca; Mateus, Jessica] Nurs Lab, Almada, Portugal; [Hall, Steven] Univ Alberta, Fac Nursing, Edmonton, AB, Canada; [Baixinho, Cristina; Costa, Andreia] Nursing Sch Lisbon, Lisbon, Portugal; [Baixinho, Cristina; Costa, Andreia] Nursing Res Innovat &amp; Dev Ctr Lisbon CIDNUR, Lisbon, Portugal; [McCormack, Brendan] Univ Sydney, Ringgold Stand Inst, Susan Wakil Sch Nursing &amp; Midwifery, Sydney, NSW, Australia; [McCormack, Brendan] Univ Sydney, SydneyPolicy Lab Ringgold Stand Inst, Sydney, NSW, Australia; [McCormack, Brendan] Kristianstad Univ, Lararutbildning Ringgold Stand Inst, Kristianstad, Sweden; [McCormack, Brendan] Ulster Univ, Ringgold Stand Inst, Coleraine, North Ireland; [McCormack, Brendan] Zealand Sjallands Erhvervsakad Campus, Roskilde Ringgold StandardInst, Roskilde, Denmark</t>
  </si>
  <si>
    <t>University of Alberta; University of Sydney; University of Sydney; Kristianstad University; Ulster University</t>
  </si>
  <si>
    <t>Strategies for Person-Centred AI Integration: A Study Protocol</t>
  </si>
  <si>
    <t>INTERNATIONAL JOURNAL OF QUALITATIVE METHODS</t>
  </si>
  <si>
    <t>person-centred care; person-centred practice framework; artificial intelligence; humanization of healthcare</t>
  </si>
  <si>
    <t>Lavareda Baixinho, Cristina/H-7607-2019; Castro, Cidália/GSJ-0965-2022; Belo Fernandes, Júlio/AAQ-3458-2021; Vareta, Diana/JEF-8502-2023; Godinho, Catarina/ABF-6650-2020; Hall, Steven/LLM-4424-2024</t>
  </si>
  <si>
    <t>Lavareda Baixinho, Cristina/0000-0001-7417-1732; Costa, Andreia/0000-0002-2727-4402; Castro, Cidália/0000-0002-7402-9442; Belo Fernandes, Júlio/0000-0003-4613-7339; Godinho, Catarina/0000-0003-2304-3129</t>
  </si>
  <si>
    <t>1609-4069</t>
  </si>
  <si>
    <t>INT J QUAL METH</t>
  </si>
  <si>
    <t>Int. J. Qual. Meth.</t>
  </si>
  <si>
    <t>16094069251404344</t>
  </si>
  <si>
    <t>10.1177/16094069251404344</t>
  </si>
  <si>
    <t>http://dx.doi.org/10.1177/16094069251404344</t>
  </si>
  <si>
    <t>AV6FA</t>
  </si>
  <si>
    <t>WOS:001657825900001</t>
  </si>
  <si>
    <t>Cobianchi, L; Verde, JM; Loftus, TJ; Piccolo, D; Dal Mas, F; Mascagni, P; Vazquez, AG; Ansaloni, L; Marseglia, GR; Massaro, M; Gallix, B; Padoy, N; Peter, A; Kaafarani, HM</t>
  </si>
  <si>
    <t>BACKGROUND: Artificial intelligence (AI) applications aiming to support surgical decision-making processes are generating novel threats to ethical surgical care. To understand and address these threats, we summarize the main ethical issues that may arise from applying AI to surgery, starting from the Ethics Guidelines for Trustworthy Artificial Intelligence framework recently promoted by the European Commission.STUDY DESIGN: A modified Delphi process has been employed to achieve expert consensus.RESULTS: The main ethical issues that arise from applying AI to surgery, described in detail here, relate to human agency, accountability for errors, technical robustness, privacy and data governance, transparency, diversity, non-discrimination, and fairness. It may be possible to address many of these ethical issues by expanding the breadth of surgical AI research to focus on implementation science. The potential for AI to disrupt surgical practice suggests that formal digital health education is becoming increasingly important for surgeons and surgical trainees.CONCLUSIONS: A multidisciplinary focus on implementation science and digital health education is desirable to balance opportunities offered by emerging AI technologies and respect for the ethical principles of a patient-centric philosophy. (C) 2022 by the American College of Surgeons. Published by Wolters Kluwer Health, Inc. All rights reserved.</t>
  </si>
  <si>
    <t>Cobianchi, Lorenzo; Verde, Juan Manuel; Loftus, Tyler J.; Piccolo, Daniele; Dal Mas, Francesca; Mascagni, Pietro; Vazquez, Alain Garcia; Ansaloni, Luca; Marseglia, Giuseppe Roberto; Massaro, Maurizio; Gallix, Benoit; Padoy, Nicolas; Peter, Angelos; Kaafarani, Haytham M.</t>
  </si>
  <si>
    <t>Kaafarani, HM (corresponding author), Harvard Med Sch, Div Trauma Emergency Surg &amp; Surg Crit Care, 165 Cambridge St,Ste 810, Boston, MA 02114 USA.</t>
  </si>
  <si>
    <t>hkaafarani@mgh.harvard.edu</t>
  </si>
  <si>
    <t>[Cobianchi, Lorenzo; Ansaloni, Luca] Univ Pavia, Dept Clin Sci, Pavia, Italy; [Cobianchi, Lorenzo; Ansaloni, Luca] Univ Pavia, Dept Diagnost Sci, Pavia, Italy; [Cobianchi, Lorenzo; Ansaloni, Luca] Univ Pavia, Dept Pediat Sci, Pavia, Italy; [Marseglia, Giuseppe Roberto] Univ Pavia, Dept Civil Engn &amp; Architecture, Pavia, Italy; [Cobianchi, Lorenzo; Ansaloni, Luca] IRCCS Policlin San Matteo Fdn, Gen Surg, Pavia, Italy; [Verde, Juan Manuel; Mascagni, Pietro; Vazquez, Alain Garcia; Gallix, Benoit; Padoy, Nicolas] Univ Strasbourg, Inst Hosp Univ IHU, Strasbourg, France; [Loftus, Tyler J.] Univ Florida Hlth, Dept Surg, Gainesville, FL USA; [Piccolo, Daniele] ASUFC Santa Maria della Misericordia, Dept Neurosurg, Udine, Italy; [Piccolo, Daniele] Nucleode Srl, Gorizia, Italy; [Dal Mas, Francesca; Massaro, Maurizio] Ca Foscari Univ Venice, Dept Management, Venice, Italy; [Mascagni, Pietro] Fdn Policlin Univ A Gemelli IRCCS, Gastrointestinal Endoscop Surg, Rome, Italy; [Gallix, Benoit] McGill Univ &amp; Hlth Ctr, Dept Radiol, Quebec City, PQ, Canada; [Peter, Angelos] Univ Chicago, Dept Surg, 5841 S Maryland Ave, Chicago, IL 60637 USA; [Peter, Angelos] Univ Chicago, MacLean Ctr Clin Med Eth, Chicago, IL 60637 USA; [Kaafarani, Haytham M.] Massachusetts Gen Hosp, Div Trauma Emergency Surg &amp; Surg Crit Care, Boston, MA 02114 USA; [Kaafarani, Haytham M.] Harvard Med Sch, Boston, MA 02115 USA</t>
  </si>
  <si>
    <t>University of Pavia; University of Pavia; University of Pavia; University of Pavia; IRCCS Fondazione San Matteo; Universites de Strasbourg Etablissements Associes; Universite de Strasbourg; State University System of Florida; University of Florida; Universita Ca Foscari Venezia; Catholic University of the Sacred Heart; IRCCS Policlinico Gemelli; McGill University; University of Chicago; University of Chicago; Harvard University; Harvard University Medical Affiliates; Massachusetts General Hospital; Harvard University; Harvard Medical School</t>
  </si>
  <si>
    <t>Artificial Intelligence and Surgery: Ethical Dilemmas and Open Issues</t>
  </si>
  <si>
    <t>JOURNAL OF THE AMERICAN COLLEGE OF SURGEONS</t>
  </si>
  <si>
    <t>MEDICAL DEVICES; SCIENCE</t>
  </si>
  <si>
    <t>Verde, Juan/AAD-2552-2021; Piccolo, Daniele/AAB-1448-2022; Marseglia, Roberto/FDP-7687-2022; Cobianchi, Lorenzo/AAC-2282-2022; Garcia, Alain/AAY-7159-2020; Ansaloni, Luca/AAP-9134-2020; Loftus, Tyler/J-7761-2016; Massaro, Maurizio/O-9948-2014; Dal Mas, Francesca/AAE-9623-2021; Mascagni, Pietro/AAD-3699-2019; Padoy, Nicolas/KDP-3202-2024</t>
  </si>
  <si>
    <t>Piccolo, Daniele/0000-0001-9525-078X; Ansaloni, Luca/0000-0001-6427-0307; Loftus, Tyler/0000-0001-5354-443X; Dal Mas, Francesca/0000-0001-6477-4177</t>
  </si>
  <si>
    <t>86</t>
  </si>
  <si>
    <t>1072-7515</t>
  </si>
  <si>
    <t>1879-1190</t>
  </si>
  <si>
    <t>J AM COLL SURGEONS</t>
  </si>
  <si>
    <t>J. Am. Coll. Surg.</t>
  </si>
  <si>
    <t>AUG 2022</t>
  </si>
  <si>
    <t>235</t>
  </si>
  <si>
    <t>268</t>
  </si>
  <si>
    <t>275</t>
  </si>
  <si>
    <t>10.1097/XCS.0000000000000242</t>
  </si>
  <si>
    <t>http://dx.doi.org/10.1097/XCS.0000000000000242</t>
  </si>
  <si>
    <t>Surgery</t>
  </si>
  <si>
    <t>2Y3JC</t>
  </si>
  <si>
    <t>35839401</t>
  </si>
  <si>
    <t>WOS:000825796900017</t>
  </si>
  <si>
    <t>Jridi, A; Belwafi, K; Djemal, R; Sakuyama, CV; Mejri, SB</t>
  </si>
  <si>
    <t>Epilepsy is a complex neurological disorder characterized by recurrent seizures, requiring accurate and timely diagnosis to ensure effective clinical management. This is particularly important in Brain-Computer Interfaces (BCIs), where neurological monitoring plays a key role in assistive and diagnostic applications. In this context, Electroencephalography (EEG) is the primary diagnostic modality; however, traditional manual analysis is labor-intensive, subjective, and prone to inter-expert variability. Automated machine learning techniques offer a promising alternative to manual EEG analysis. The opaque, "black-box" nature of many Machine Learning (ML) models often raise concerns about their reliability in clinical settings, which can hinder their practical implementation. To tackle this issue, Explainable Artificial Intelligence (XAI) has emerged as a transformative solution, providing greater transparency and shedding light on the critical features driving model predictions. In this study, we introduce Explainable LIMEbased Selection of EEG Electrodes (XLISEE), a novel approach that not only enhances EEG channel selection but also strengthens interpretability by leveraging XAI methodologies. The suggested approach is evaluated using the dataset provided by Guinea-Bissau Hospital. The most important EEG channels are identified by XLISEE to differentiate between epileptics and healthy subjects, reducing data complexity without sacrificing the precision of the diagnosis. With accuracy rates of 99.76% for both the Support Vector Machine (SVM) and k-Nearest Neighbor (kNN) classifiers, our experimental results show that the suggested method delivers remarkable classification performance. It also attains 100% accuracy, specificity, sensitivity, and F1-score, as well as a Matthews Correlation Coefficient (MCC) of 1.0. Moreover, lower computational demands improve efficiency, making real-time epilepsy detection more practical and feasible for clinical use. Beyond performance gains, integrating XAI enhances clinician confidence by offering interpretable, evidence-based insights, promoting wider adoption of AI-driven diagnostics.</t>
  </si>
  <si>
    <t>Jridi, Afifa; Belwafi, Kais; Djemal, Ridha; Valderrama Sakuyama, Carlos; Bachir Mejri, Sami</t>
  </si>
  <si>
    <t>Jridi, A (corresponding author), Univ Sfax, Natl Sch Engn, Lab Adv Tech Med &amp; Syst ATMS, Sfax 3038, Tunisia.; Jridi, A (corresponding author), Univ Sfax, Natl Sch Engn, Elect Engn Dept, Sfax 3038, Tunisia.; Jridi, A (corresponding author), Univ Mons, Dept Elect &amp; Microelect SEMi, B-7000 Mons, Belgium.</t>
  </si>
  <si>
    <t>afifa.jridi@enis.tn</t>
  </si>
  <si>
    <t>[Jridi, Afifa; Djemal, Ridha] Univ Sfax, Natl Sch Engn, Lab Adv Tech Med &amp; Syst ATMS, Sfax 3038, Tunisia; [Jridi, Afifa; Djemal, Ridha] Univ Sfax, Natl Sch Engn, Elect Engn Dept, Sfax 3038, Tunisia; [Belwafi, Kais] Univ Sharjah, Coll Comp &amp; Informat, Comp Engn Dept, Sharjah, U Arab Emirates; [Bachir Mejri, Sami] Khalifa Univ Sci &amp; Technol, Pedag Enhancement CTL, Abu Dhabi, U Arab Emirates</t>
  </si>
  <si>
    <t>Universite de Sfax; Ecole Nationale dIngenieurs de Sfax (ENIS); Universite de Sfax; Ecole Nationale dIngenieurs de Sfax (ENIS); University of Sharjah; Khalifa University of Science &amp; Technology</t>
  </si>
  <si>
    <t>Explainable AI-Driven EEG Channel Selection for Accurate and Interpretable Epilepsy Diagnosis</t>
  </si>
  <si>
    <t>Electroencephalography (EEG); epilepsy; epilepsy; adaptive channel selection; adaptive channel selection; explainable artificial intelligence (XAI); explainable artificial intelligence (XAI); local interpretable model-agnostic explanations (LIME); local interpretable model-agnostic explanations (LIME); empirical mode decomposition (EMD); empirical mode decomposition (EMD); independent component analysis (ICA); independent component analysis (ICA); machine learning; machine learning; machine learning</t>
  </si>
  <si>
    <t>CLASSIFICATION; CONNECTIVITY; DISTANCE</t>
  </si>
  <si>
    <t>Belwafi, Kais/AAG-9618-2019</t>
  </si>
  <si>
    <t>Jridi, Afifa/0009-0003-0623-6778; Belwafi, Kais/0000-0003-1455-439X</t>
  </si>
  <si>
    <t>158108</t>
  </si>
  <si>
    <t>158122</t>
  </si>
  <si>
    <t>10.1109/ACCESS.2025.3608083</t>
  </si>
  <si>
    <t>http://dx.doi.org/10.1109/ACCESS.2025.3608083</t>
  </si>
  <si>
    <t>7LZ3R</t>
  </si>
  <si>
    <t>WOS:001574191400001</t>
  </si>
  <si>
    <t>Susnjak, T; Griffin, E</t>
  </si>
  <si>
    <t>Background and Objective: Scalable, flexible and highly interpretable tools for predicting mortality in residential aged care facilities for the purpose of informing and optimizing palliative care decisions, do not exist. This study is the first and most comprehensive work applying machine learning to address this need while seeking to offer a transformative approach to integrating AI into palliative care decision-making. The objective is to predict survival in elderly individuals six months post-admission to residential aged care facilities with patient-level interpretability for transparency and support for clinical decision-making for palliative care options. Methods: Data from 11,944 residents across 40 facilities, with a novel combination of 18 features was used to develop predictive models, comparing standard approaches like Cox Proportional Hazards, Ridge and Lasso Regression with machine learning algorithms, Gradient Boosting (GB) and Random Survival Forest. Model calibration was performed together with ROC and a suite of evaluation metrics to analyze results. Explainable AI (XAI) tools were used to demonstrate both the cohort-level and patient-level model interpretability to enable transparency in the clinical usage of the models. TRIPOD reporting guidelines were followed, with model parameters and code provided publicly. Results: GB was the top performer with a Dynamic AUROC of 0.746 and a Concordance Index of 0.716 for six-month survival prediction. Explainable AI tools provided insights into key features such as comorbidities, cognitive impairment, and nutritional status, revealing their impact on survival outcomes and interactions that inform clinical decision-making. The calibrated model showed near-optimal performance with adjustable clinically relevant thresholds. The integration of XAI tools proved effective in enhancing the transparency and trustworthiness of predictions, offering actionable insights that support informed and ethically responsible end-of-life (EoL) care decisions in aged care settings. Conclusion: This study successfully applied machine learning to create viable survival models for aged care residents, demonstrating their usability for clinical settings via a suite of interpretable tools. The findings support the introduction into clinical trials of machine learning with explainable AI tools in geriatric medicine for mortality prediction to enhance the quality of EoL care and informed discussions regarding palliative care.</t>
  </si>
  <si>
    <t>Susnjak, Teo; Griffin, Elise</t>
  </si>
  <si>
    <t>Susnjak, T (corresponding author), Massey Univ, Sch Math &amp; Computat Sci, Albany 0632, Auckland, New Zealand.</t>
  </si>
  <si>
    <t>t.susnjak@massey.ac.nz</t>
  </si>
  <si>
    <t>[Susnjak, Teo; Griffin, Elise] Massey Univ, Sch Math &amp; Computat Sci, Albany 0632, Auckland, New Zealand</t>
  </si>
  <si>
    <t>Massey University</t>
  </si>
  <si>
    <t>Towards clinical prediction with transparency: An explainable AI approach to survival modelling in residential aged care</t>
  </si>
  <si>
    <t>Explainable AI (XAI) in geriatric palliative care; Survival analysis machine learning aged care; mortality prediction; Explainable clinical decision support systems; for end-of-life care; Time-to-event analysis</t>
  </si>
  <si>
    <t>MORTALITY-RELATED FACTORS; NURSING-HOME RESIDENTS; PROGNOSIS; DIAGNOSIS; DISCUSSIONS; VALIDATION; VALIDITY; HEALTH; DEATH; END</t>
  </si>
  <si>
    <t>Susnjak, Teo/0000-0001-9416-1435</t>
  </si>
  <si>
    <t>108653</t>
  </si>
  <si>
    <t>10.1016/j.cmpb.2025.108653</t>
  </si>
  <si>
    <t>http://dx.doi.org/10.1016/j.cmpb.2025.108653</t>
  </si>
  <si>
    <t>X9X5P</t>
  </si>
  <si>
    <t>39970690</t>
  </si>
  <si>
    <t>WOS:001428785600001</t>
  </si>
  <si>
    <t>Hasan, U; Shahriar, S; Hossain, F; Hossain, MA; Martuza, MA; Momen, S</t>
  </si>
  <si>
    <t>Background: Intelligent decision support systems for colonoscopy can fail when encountering out-of-distribution surgical instruments such as snares or biopsy forceps, producing false-positive polyp masks that may contribute to automation bias and reduce workflow reliability. This study aimed to develop and evaluate a parameter-efficient framework for open-set-aware polyp segmentation that can reject such anomalous inputs while preserving in-distribution segmentation performance. Methods: We propose PolypSAM-Open, which integrates a prototype-based Open-Set Learning (OSL) module with Low-Rank Adaptation (LoRA) in the MedSAM image encoder. The model was trained on Kvasir-SEG using an 85/15 split of authentic polyp images and synthetic high-frequency Gaussian noise to learn a rejection margin. Zero-shot out-of-distribution detection was evaluated on 590 unseen authentic surgical instruments from Kvasir-Instrument. Segmentation and detection performance were compared against a standard MedSAM-LoRA baseline. Results: Standard parameter-efficient fine-tuning yielded an OOD AUROC of 0.4263 on authentic surgical instruments. PolypSAM-Open improved zero-shot OOD AUROC to 0.9535 ( p&lt;0.001 ). Despite allocating 15% of training capacity to the synthetic-noise rejection margin, PolypSAM-Open maintained segmentation performance comparable to the standard fine-tuned baseline (Dice 0.9728 versus 0.9723). On ETIS-LaribPolypDB and CVC-ClinicDB, Dice scores were 0.9301 and 0.9386, respectively. The approach remained parameter-efficient, updating 4.48% of total parameters while adding negligible inference latency relative to the underlying MedSAM forward. Conclusions: Prototype-based open-set adaptation can substantially improve rejection of unseen surgical artifacts in AI-assisted colonoscopy while preserving high segmentation accuracy. These findings position PolypSAM-Open as a promising strategy for potentially safer decision-support segmentation in endoscopic workflows; prospective clinical validation remains necessary.</t>
  </si>
  <si>
    <t>Hasan, Umar; Shahriar, Shadman; Hossain, Faiyad; Hossain, Md Alamgir; Martuza, Muhammad Ali; Momen, Sifat</t>
  </si>
  <si>
    <t>Martuza, MA (corresponding author), Qassim Univ, Coll Comp, Dept Comp Engn, Buraydah 51452, Saudi Arabia.</t>
  </si>
  <si>
    <t>shadman.shahriar1@northsouth.edu; hossain.md@northsouth.edu; umar.hasan@northsouth.edu; m.martuza@qu.edu.sa; sifat.momen@northsouth.edu; faiyad.hossain@northsouth.edu</t>
  </si>
  <si>
    <t>The APC was funded by the Deanship of Graduate Studies and Scientific Research at Qassim University (https://www.qu.edu.sa) for financial support (QU-APC-2026).</t>
  </si>
  <si>
    <t>[Hasan, Umar; Shahriar, Shadman; Hossain, Faiyad; Hossain, Md Alamgir; Momen, Sifat] North South Univ, Sch Engn &amp; Phys Sci, Dept Elect &amp; Comp Engn, Dhaka 1229, Bangladesh; [Martuza, Muhammad Ali] Qassim Univ, Coll Comp, Dept Comp Engn, Buraydah 51452, Saudi Arabia</t>
  </si>
  <si>
    <t>North South University (NSU); Qassim University</t>
  </si>
  <si>
    <t>PolypSAM-Open: Mitigating Automation Bias in AI-Assisted Colonoscopy via Open-Set Surgical Artifact Rejection</t>
  </si>
  <si>
    <t>artificial intelligence; intelligent decision support; medical foundation models; open-set recognition; out-of-distribution detection; colorectal polyp segmentation; automation bias; human-AI interaction; clinical safety; computer-aided detection; workflow reliability</t>
  </si>
  <si>
    <t>VALIDATION</t>
  </si>
  <si>
    <t>Martuza, Muhammad Ali/L-4141-2018; Hasan, Umar/OOK-1658-2025</t>
  </si>
  <si>
    <t>Martuza, Muhammad Ali/0000-0003-3420-3597</t>
  </si>
  <si>
    <t>72</t>
  </si>
  <si>
    <t>JUL 16 2026</t>
  </si>
  <si>
    <t>2226</t>
  </si>
  <si>
    <t>10.3390/diagnostics16142226</t>
  </si>
  <si>
    <t>http://dx.doi.org/10.3390/diagnostics16142226</t>
  </si>
  <si>
    <t>LU1GG</t>
  </si>
  <si>
    <t>42510092</t>
  </si>
  <si>
    <t>WOS:001833274300001</t>
  </si>
  <si>
    <t>Rojas-Carabali, W; Guérand, T; Cifuentes-González, C; Abisheganaden, J; Palvannan, R; Wei, YC; Mejía-Salgado, G; de-la-Torre, A; Smith, JR; Kempen, JH; Nguyen, QD; Pavesio, C; Lee, B; Gupta, V; Peyrin, T; Agrawal, R</t>
  </si>
  <si>
    <t>Purpose: Ocular tuberculosis (OTB) poses significant challenges in treatment because of its complex diagnostic and therapeutic landscapes. Predicting treatment failure effectively is crucial for timely intervention and improving patient outcomes. We report the application of machine learning (ML) approaches to (i) allow predictions using baseline data and (ii) dynamically update predictions based on patient history and new observations. Methods: The Collaborative Ocular Tuberculosis Study (COTS) was a multinational retrospective study encompassing data from 836 patients with tubercular uveitis across 27 international eye care centers. This study evaluated the performance of nine ML models to predict treatment failure at six, 12, and 24 months using baseline and longitudinal data. Metrics such as area under the curve (AUC), precision, accuracy, F1-score, and model complexity were reported. Top features and their importance were identified using XGBoost, with weight of evidence and information value calculated to enhance interpretability. Results: Data were collected from 836, 769, and 418 patients at six, 12, and 24 months, respectively. XGBoost and Random Forest (RF) models consistently showed superior performance across all timepoints. At 6 months, XGBoost achieved an AUC of 0.915 +/- 0.019 and accuracy of 0.879 +/- 0.027. At 12 months, RF outperformed with an AUC of 0.921 +/- 0.011 and accuracy of 0.944 +/- 0.022. At 24 months, RF maintained high accuracy (0.960 +/- 0.029) despite a slight drop in AUC (0.888 +/- 0.099). Deep Neural Networks and TT-net models were underfitted. Conclusions: ML models like XGBoost and RF demonstrate promise for early and accurate prediction of treatment failure in OTB, with explainability tools enhancing clinical interpretability. Translational Relevance: This study bridges basic ML research and clinical care by offering explainable, performance-driven models that support real-time, data-informed treatment decisions in managing OTB, potentially improving long-term outcomes.</t>
  </si>
  <si>
    <t>Rojas-Carabali, William; Guerand, Tristan; Cifuentes-Gonzalez, Carlos; Abisheganaden, John; Palvannan, Rk; Wei, Yap Chun; Mejia-Salgado, German; de-la-Torre, Alejandra; Smith, Justine R.; Kempen, John H.; Nguyen, Quan Dong; Pavesio, Carlos; Lee, Bernett; Gupta, Vishali; Peyrin, Thomas; Agrawal, Rupesh</t>
  </si>
  <si>
    <t>Agrawal, R (corresponding author), Tan Tock Seng Hosp, Dept Ophthalmol, Natl Healthcare Grp, Singapore, Singapore.; Agrawal, R (corresponding author), Natl Healthcare Grp, Programme Ocular Inflammat &amp; Infect Translat Res, Singapore, Singapore.; Agrawal, R (corresponding author), Nanyang Technol Univ, Lee Kong Chian Sch Med, Singapore, Singapore.; Agrawal, R (corresponding author), Singapore Eye Res Inst, Singapore, Singapore.; Agrawal, R (corresponding author), Duke NUS Med Sch, Singapore, Singapore.; Agrawal, R (corresponding author), NHUS Fdn Trust, Moorfields Eye Hosp, London, England.; Agrawal, R (corresponding author), Tan Tock Seng Hosp, Natl Healthcare Grp Eye Inst, Singapore 308433, Singapore.</t>
  </si>
  <si>
    <t>rupeshttsh@gmail.com</t>
  </si>
  <si>
    <t>National Medical Research Council (NMRC), Ministry of Health, Republic of Singapore [NRMC/CSAINV22jul-0004, NMRC/CSAINV19nov-0007, NMRC/CIRG21nov-0023]</t>
  </si>
  <si>
    <t>National Medical Research Council (NMRC), Ministry of Health, Republic of Singapore (Ministry of Health - Singapore, National Medical Research Council, Singapore)</t>
  </si>
  <si>
    <t>Supported by grants awarded by the National Medical Research Council (NMRC) , Ministry of Health, Republic of Singapore grant number NRMC/CSAINV22jul-0004, NMRC/CSAINV19nov-0007, and NMRC/CIRG21nov-0023. The funders had no role in study design, data collection and analysis, publication decisions, or manuscript preparation.</t>
  </si>
  <si>
    <t>[Rojas-Carabali, William; Lee, Bernett] Nanyang Technol Univ, Ctr Biomed Informat, Lee Kong Chian Sch Med, Singapore, Singapore; [Rojas-Carabali, William; Cifuentes-Gonzalez, Carlos; Agrawal, Rupesh] Tan Tock Seng Hosp, Dept Ophthalmol, Natl Healthcare Grp, Singapore, Singapore; [Rojas-Carabali, William; Cifuentes-Gonzalez, Carlos; Agrawal, Rupesh] Natl Healthcare Grp, Programme Ocular Inflammat &amp; Infect Translat Res, Singapore, Singapore; [Guerand, Tristan; Peyrin, Thomas] Nanyang Technol Univ, Singapore, Singapore; [Abisheganaden, John; Palvannan, Rk; Wei, Yap Chun] Natl Healthcare Grp, Hlth Serv &amp; Outcomes Res, Singapore, Singapore; [Mejia-Salgado, German; de-la-Torre, Alejandra] Univ Rosario, Escuela Med &amp; Ciencias Salud, Inst Translat Med IMT, Neurovitae Ctr Neurosci,Neurosci Res Grp NEUROS, Bogota, Colombia; [Smith, Justine R.] Flinders Univ S Australia, Coll Med &amp; Publ Hlth, Adelaide, Australia; [Smith, Justine R.] Queensland Eye Inst, Brisbane, Australia; [Kempen, John H.] Harvard Med Sch, Massachusetts Eye &amp; Ear, Dept Ophthalmol, Boston, MA USA; Schepens Eye Res Inst, Boston, MA USA; [Kempen, John H.] Sight Souls, Bellevue, WA USA; [Kempen, John H.] Addis Ababa Univ, Dept Ophthalmol, Addis Ababa, Ethiopia; [Kempen, John H.] MCM Comprehens Specialized Hosp, MyungSung Christian Med Ctr MCM, Eye Unit, Addis Ababa, Ethiopia; [Kempen, John H.] MyungSung Med Sch, Addis Ababa, Ethiopia; [Nguyen, Quan Dong] Stanford Univ, Byers Eye Inst, Palo Alto, CA USA; [Pavesio, Carlos] Moorfields Eye Hosp, Natl Inst Hlth Res Biomed Res Ctr, London, England; [Lee, Bernett] ASTAR, Singapore Immunol Network SIgN, Singapore, Singapore; [Lee, Bernett] ASTAR, Infect Dis Labs ID Labs, Singapore, Singapore; [Lee, Bernett] Khoo Teck Puat Hosp, Singapore, Singapore; [Gupta, Vishali] Post Grad Inst Med Educ &amp; Res PGIMER, Adv Eye Ctr, Chandigarh, India; [Agrawal, Rupesh] Nanyang Technol Univ, Lee Kong Chian Sch Med, Singapore, Singapore; [Agrawal, Rupesh] Singapore Eye Res Inst, Singapore, Singapore; [Agrawal, Rupesh] Duke NUS Med Sch, Singapore, Singapore; [Agrawal, Rupesh] NHUS Fdn Trust, Moorfields Eye Hosp, London, England</t>
  </si>
  <si>
    <t>Nanyang Technological University; Tan Tock Seng Hospital; Nanyang Technological University; Universidad del Rosario; Flinders University; Queensland Eye Institute; Harvard University; Harvard Medical School; Harvard University Medical Affiliates; Massachusetts Eye &amp; Ear Infirmary; Harvard University; Harvard University Medical Affiliates; Schepens Eye Research Institute; Addis Ababa University; Stanford University; University of London; University College London; Moorfields Eye Hospital NHS Foundation Trust; Agency for Science Technology &amp; Research (A*STAR); A*STAR - Singapore Immunology Network (SIgN); Agency for Science Technology &amp; Research (A*STAR); A*STAR Infectious Diseases Labs (A*STAR IDL); Post Graduate Institute of Medical Education &amp; Research (PGIMER), Chandigarh; Nanyang Technological University; National University of Singapore; Singapore National Eye Center; National University of Singapore; University of London; University College London; Moorfields Eye Hospital NHS Foundation Trust</t>
  </si>
  <si>
    <t>Collaborative Ocular TB Study COTS Grp</t>
  </si>
  <si>
    <t>Dynamic Prediction of Treatment Failure in Ocular Tuberculosis Using Machine Learning and Explainable AI</t>
  </si>
  <si>
    <t>TRANSLATIONAL VISION SCIENCE &amp; TECHNOLOGY</t>
  </si>
  <si>
    <t>ocular tuberculosis; explainable AI; COTS calculator; clinical decision support</t>
  </si>
  <si>
    <t>Rojas-Carabali, William/IWE-3168-2023; Cifuentes González, Carlos Humberto/ACQ-8931-2022; Cifuentes-González, Carlos/ACQ-8931-2022; Yap, Chun/B-2587-2010; de-la-Torre, Alejandra/G-6436-2016</t>
  </si>
  <si>
    <t>Rojas-Carabali, William/0000-0002-9976-8989; Irsan, Zhafira/0009-0007-6962-5067; Cifuentes González, Carlos Humberto/0000-0002-2703-0977</t>
  </si>
  <si>
    <t>ASSOC RESEARCH VISION OPHTHALMOLOGY INC</t>
  </si>
  <si>
    <t>ROCKVILLE</t>
  </si>
  <si>
    <t>12300 TWINBROOK PARKWAY, ROCKVILLE, MD 20852-1606 USA</t>
  </si>
  <si>
    <t>2164-2591</t>
  </si>
  <si>
    <t>TRANSL VIS SCI TECHN</t>
  </si>
  <si>
    <t>Transl. Vis. Sci. Technol.</t>
  </si>
  <si>
    <t>10.1167/tvst.14.10.31</t>
  </si>
  <si>
    <t>http://dx.doi.org/10.1167/tvst.14.10.31</t>
  </si>
  <si>
    <t>N7200</t>
  </si>
  <si>
    <t>41134278</t>
  </si>
  <si>
    <t>WOS:001631855600001</t>
  </si>
  <si>
    <t>Abu Sufian, M; Alsadder, L; Hamzi, W; Zaman, S; Sagar, ASMS; Hamzi, B</t>
  </si>
  <si>
    <t>Background/Objectives: The research addresses algorithmic bias in deep learning models for cardiovascular risk prediction, focusing on fairness across demographic and socioeconomic groups to mitigate health disparities. It integrates fairness-aware algorithms, susceptible carrier-infected-recovered (SCIR) models, and interpretability frameworks to combine fairness with actionable AI insights supported by robust segmentation and classification metrics. Methods: The research utilised quantitative 3D/4D heart magnetic resonance imaging and tabular datasets from the Cardiac Atlas Project's (CAP) open challenges to explore AI-driven methodologies for mitigating algorithmic bias in cardiac imaging. The SCIR model, known for its robustness, was adapted with the Capuchin algorithm, adversarial debiasing, Fairlearn, and post-processing with equalised odds. The robustness of the SCIR model was further demonstrated in the fairness evaluation metrics, which included demographic parity, equal opportunity difference (0.037), equalised odds difference (0.026), disparate impact (1.081), and Theil Index (0.249). For interpretability, YOLOv5, Mask R-CNN, and ResNet18 were implemented with LIME and SHAP. Bias mitigation improved disparate impact (0.80 to 0.95), reduced equal opportunity difference (0.20 to 0.05), and decreased false favourable rates for males (0.0059 to 0.0033) and females (0.0096 to 0.0064) through balanced probability adjustment. Results: The SCIR model outperformed the SIR model (recovery rate: 1.38 vs 0.83) with a -10% transmission bias impact. Parameters (beta=0.5, delta=0.2, gamma=0.15) reduced susceptible counts to 2.53x10-12 and increased recovered counts to 9.98 by t=50. YOLOv5 achieved high Intersection over Union (IoU) scores (94.8%, 93.7%, 80.6% for normal, severe, and abnormal cases). Mask R-CNN showed 82.5% peak confidence, while ResNet demonstrated a 10.4% accuracy drop under noise. Performance metrics (IoU: 0.91-0.96, Dice: 0.941-0.980, Kappa: 0.95) highlighted strong predictive accuracy and reliability. Conclusions: The findings validate the effectiveness of fairness-aware algorithms in addressing cardiovascular predictive model biases. The integration of fairness and explainable AI not only promotes equitable diagnostic precision but also significantly reduces diagnostic disparities across vulnerable populations. This reduction in disparities is a key outcome of the research, enhancing clinical trust in AI-driven systems. The promising results of this study pave the way for future work that will explore scalability in real-world clinical settings and address limitations such as computational complexity in large-scale data processing.</t>
  </si>
  <si>
    <t>Abu Sufian, Md; Alsadder, Lujain; Hamzi, Wahiba; Zaman, Sadia; Sagar, A. S. M. Sharifuzzaman; Hamzi, Boumediene</t>
  </si>
  <si>
    <t>Hamzi, B (corresponding author), CALTECH, Dept Comp &amp; Math Sci, Pasadena, CA 91125 USA.; Hamzi, B (corresponding author), Alan Turing Inst, London NW1 2DB, England.; Hamzi, B (corresponding author), Gulf Univ Sci &amp; Technol, Dept Math, Mubarak Al Abdullah 7207, Kuwait.; Hamzi, B (corresponding author), Imperial Coll London, Dept Math, London SW7 2AZ, England.</t>
  </si>
  <si>
    <t>b.hamzi@imperial.ac.uk; md.sufian@mail.bcu.ac.uk</t>
  </si>
  <si>
    <t>IVR Low Carbon Research Institute</t>
  </si>
  <si>
    <t>This research project was funded by the IVR Low Carbon Research Institute.</t>
  </si>
  <si>
    <t>[Abu Sufian, Md] Changan Univ, IVR Low Carbon Res Inst, Xian 710018, Peoples R China; [Abu Sufian, Md] Univ Leicester, Sch Comp &amp; Math Sci, Leicester LE1 7RH, England; [Alsadder, Lujain; Zaman, Sadia] Queen Mary Univ, Inst Life Sci Educ, London E1 4NS, England; [Hamzi, Wahiba] Univ Blida, Dept Biol, Lab Biotechnol Sante &amp; Environm, Blida 09000, Algeria; [Sagar, A. S. M. Sharifuzzaman] Sejong Univ, Dept AI &amp; Robot, Seoul 05006, South Korea; [Hamzi, Boumediene] CALTECH, Dept Comp &amp; Math Sci, Pasadena, CA 91125 USA; [Hamzi, Boumediene] Alan Turing Inst, London NW1 2DB, England; [Hamzi, Boumediene] Gulf Univ Sci &amp; Technol, Dept Math, Mubarak Al Abdullah 7207, Kuwait; [Hamzi, Boumediene] Imperial Coll London, Dept Math, London SW7 2AZ, England</t>
  </si>
  <si>
    <t>Chang'an University; University of Leicester; University of London; Queen Mary University London; Universite Saad Dahlab de Blida; Sejong University; California Institute of Technology; Alan Turing Institute; Imperial College London</t>
  </si>
  <si>
    <t>Mitigating Algorithmic Bias in AI-Driven Cardiovascular Imaging for Fairer Diagnostics</t>
  </si>
  <si>
    <t>cardiovascular risk prediction; algorithmic bias; fairness-aware AI; demographic fairness; adversarial debiasing; SCIR model; YOLOv5; Mask R-CNN; ResNet-18; LIME; SHAP; predictive analytics</t>
  </si>
  <si>
    <t>MYOCARDIAL-INFARCTION; OUTCOMES</t>
  </si>
  <si>
    <t>Hamzi, Boumediene/C-6469-2015; Sufian, Abu/IAN-7408-2023</t>
  </si>
  <si>
    <t>SAGAR, A S M SHARIFUZZAMAN/0000-0003-4891-0233; Hamzi, Boumediene/0000-0002-9446-2614; Alsadder, Lujain/0000-0003-3019-9754; Zaman, Sadia/0009-0004-8746-3645; Sufian, Abu/0009-0007-3503-6942</t>
  </si>
  <si>
    <t>2675</t>
  </si>
  <si>
    <t>10.3390/diagnostics14232675</t>
  </si>
  <si>
    <t>http://dx.doi.org/10.3390/diagnostics14232675</t>
  </si>
  <si>
    <t>P3L6T</t>
  </si>
  <si>
    <t>39682584</t>
  </si>
  <si>
    <t>WOS:001376970800001</t>
  </si>
  <si>
    <t>Yousefzadeh, N; Tran, C; Ramirez-Zamora, A; Chen, JH; Fang, RG; Thai, MT</t>
  </si>
  <si>
    <t>Alzheimer's Disease (AD) is a progressive neurodegenerative disease and the leading cause of dementia. Early diagnosis is critical for patients to benefit from potential intervention and treatment. The retina has emerged as a plausible diagnostic site for AD detection owing to its anatomical connection with the brain. However, existing AI models for this purpose have yet to provide a rational explanation behind their decisions and have not been able to infer the stage of the disease's progression. Along this direction, we propose a novel model-agnostic explainable-AI framework, called Granular Neuron-level Explainer (LAVA), an interpretation prototype that probes into intermediate layers of the Convolutional Neural Network (CNN) models to directly assess the continuum of AD from the retinal imaging without the need for longitudinal or clinical evaluations. This innovative approach aims to validate retinal vasculature as a biomarker and diagnostic modality for evaluating Alzheimer's Disease. Leveraged UK Biobank cognitive tests and vascular morphological features demonstrate significant promise and effectiveness of LAVA in identifying AD stages across the progression continuum.</t>
  </si>
  <si>
    <t>Yousefzadeh, Nooshin; Tran, Charlie; Ramirez-Zamora, Adolfo; Chen, Jinghua; Fang, Ruogu; Thai, My T.</t>
  </si>
  <si>
    <t>Thai, MT (corresponding author), Univ Florida, Dept Comp &amp; Informat Sci &amp; Engn, Gainesville, FL 32611 USA.; Fang, RG (corresponding author), Univ Florida, Dept Elect &amp; Comp Engn, Gainesville, FL 32611 USA.; Fang, RG (corresponding author), Univ Florida, J Crayton Pruitt Family Dept Biomed Engn, Gainesville, FL 32611 USA.; Fang, RG (corresponding author), Univ Florida, Ctr Cognit Aging &amp; Memory, Gainesville, FL 32611 USA.</t>
  </si>
  <si>
    <t>ruogu.fang@bme.ufl.edu; mythai@cise.ufl.edu</t>
  </si>
  <si>
    <t>National Science Foundation [NSF 2123809]; National Science Foundation</t>
  </si>
  <si>
    <t>National Science Foundation (National Science Foundation (NSF)); National Science Foundation (National Science Foundation (NSF))</t>
  </si>
  <si>
    <t>This material is based upon work supported by the National Science Foundation under Grant No. (NSF 2123809).</t>
  </si>
  <si>
    <t>[Yousefzadeh, Nooshin; Thai, My T.] Univ Florida, Dept Comp &amp; Informat Sci &amp; Engn, Gainesville, FL 32611 USA; [Tran, Charlie; Fang, Ruogu] Univ Florida, Dept Elect &amp; Comp Engn, Gainesville, FL 32611 USA; [Ramirez-Zamora, Adolfo] Univ Florida, Dept Neurol, Gainesville, FL USA; [Chen, Jinghua] Univ Florida, Dept Ophthalmol, Gainesville, FL USA; [Fang, Ruogu] Univ Florida, J Crayton Pruitt Family Dept Biomed Engn, Gainesville, FL 32611 USA; [Fang, Ruogu] Univ Florida, Ctr Cognit Aging &amp; Memory, Gainesville, FL 32611 USA</t>
  </si>
  <si>
    <t>State University System of Florida; University of Florida; State University System of Florida; University of Florida; State University System of Florida; University of Florida; State University System of Florida; University of Florida; State University System of Florida; University of Florida; State University System of Florida; University of Florida</t>
  </si>
  <si>
    <t>Neuron-level explainable AI for Alzheimer's Disease assessment from fundus images</t>
  </si>
  <si>
    <t>Alzheimer's Disease; Deep learning; Explainable-AI; Continuum; UK Biobank</t>
  </si>
  <si>
    <t>SELECTION</t>
  </si>
  <si>
    <t>Fang, Ruogu/AAY-8923-2020; Ramirez-Zamora, Adolfo/J-2126-2019</t>
  </si>
  <si>
    <t>Fang, Ruogu/0000-0003-3980-3532; Yousefzadeh, Nooshin/0000-0003-1232-5972; Ramirez-Zamora, Adolfo/0000-0001-9253-3899</t>
  </si>
  <si>
    <t>7710</t>
  </si>
  <si>
    <t>10.1038/s41598-024-58121-8</t>
  </si>
  <si>
    <t>http://dx.doi.org/10.1038/s41598-024-58121-8</t>
  </si>
  <si>
    <t>ZC4U7</t>
  </si>
  <si>
    <t>38565579</t>
  </si>
  <si>
    <t>WOS:001273086800060</t>
  </si>
  <si>
    <t>Dwivedi, K; Rajpal, A; Rajpal, S; Kumar, V; Agarwal, M; Kumar, N</t>
  </si>
  <si>
    <t>Background and Objective: Non-small cell lung cancer (NSCLC) exhibits intrinsic molecular heterogeneity, primarily driven by the mutation of specific biomarkers. Identification of these biomarkers would assist not only in distinguishing NSCLC into its major subtypes - Adenocarcinoma and Squamous Cell Carcinoma, but also in developing targeted therapy. Medical practitioners use one or more types of omic data to identify these biomarkers, copy number variation (CNV) being one such type. CNV provides a measure of genomic instability, which is considered a hallmark of carcinoma. However, the CNV data has not received much attention for biomarker identification. This paper aims to identify biomarkers for NSCLC using CNV data.Methods: An eXplainable AI (XAI)-driven LI-regularized deep learning architecture, XL1R-Net, is proposed that introduces a novel modification of the standard LI-regularized gradient descent algorithm to arrive at an improved deep neural classifier for NSCLC subtyping. Further, XAI-based feature identification has been used to leverage the trained classifier to uncover a set of twenty NCSLC-relevant biomarkers. Results: The identified biomarkers are evaluated based on their classification performance and clinical relevance. Using Multilayer Perceptron (MLP)-based model, a classification accuracy of 84.95% using 10-fold cross-validation is achieved. Moreover, the statistical significance test on the classification performance also revealed the superiority of the MLP model over the competitive machine learning models. Further, the publicly available Drug-Gene Interaction Database reveals twelve of the identified biomarkers as potentially druggable. The K-M Plotter tool was used to verify eighteen of the identified biomarkers with a high probability of predicting NSCLC patients' likelihood of survival. While nine of the identified biomarkers confirm the recent literature, five find mention in the OncoKB Gene List.Conclusion: A set of seven novel biomarkers that have not been reported in the literature could be investigated for their potential contribution towards NSCLC therapy. Given NSCLC's genetic diversity, using only one omics data type may not adequately capture the tumor's complexity. Multiomics data and its integration with other sources will be examined in the future to better understand NSCLC heterogeneity.</t>
  </si>
  <si>
    <t>Dwivedi, Kountay; Rajpal, Ankit; Rajpal, Sheetal; Kumar, Virendra; Agarwal, Manoj; Kumar, Naveen</t>
  </si>
  <si>
    <t>Rajpal, A; Kumar, N (corresponding author), Univ Delhi, Dept Comp Sci, Delhi, India.</t>
  </si>
  <si>
    <t>virendrakumar@aiims.edu; kountaydwivedi@gmail.com; agar.manoj@gmail.com; arajpal@cs.du.ac.in</t>
  </si>
  <si>
    <t>University Grants Commission, New Delhi, India [190510173202]; Institution of Eminence (IoE), University of Delhi, India [/IoE/2021/12/FRP]</t>
  </si>
  <si>
    <t>University Grants Commission, New Delhi, India (University Grants Commission, India); Institution of Eminence (IoE), University of Delhi, India</t>
  </si>
  <si>
    <t>Kountay Dwivedi would like to thank University Grants Commission, New Delhi, India, for providing Junior Research Fellowship (Reference ID: 190510173202) . Naveen Kumar and Sheetal Rajpal would like to thank the Institution of Eminence (IoE) , University of Delhi, India for providing equipment support under Faculty Research Programme (Ref. No./IoE/2021/12/FRP) . All authors read and approved the final draft of the manuscript. All authors are accountable for all aspects of the work.</t>
  </si>
  <si>
    <t>[Dwivedi, Kountay; Rajpal, Ankit; Kumar, Naveen] Univ Delhi, Dept Comp Sci, Delhi, India; [Rajpal, Sheetal] Dyal Singh Coll, Dept Comp Sci, Delhi, India; [Kumar, Virendra] All India Inst Med Sci, Dept Nucl Magnet Resonance, New Delhi, India; [Agarwal, Manoj] Univ Delhi, Hans Raj Coll, Dept Comp Sci, Delhi, India</t>
  </si>
  <si>
    <t>University of Delhi; All India Institute of Medical Sciences (AIIMS) New Delhi; University of Delhi</t>
  </si>
  <si>
    <t>XL1R-Net: Explainable AI-driven improved LI-regularized deep neural architecture for NSCLC biomarker identification</t>
  </si>
  <si>
    <t>COMPUTATIONAL BIOLOGY AND CHEMISTRY</t>
  </si>
  <si>
    <t>Explainable AI; Non-small cell lung cancer; Biomarker; Classification; Neural network; L1-regularization</t>
  </si>
  <si>
    <t>CELL LUNG-CANCER; COPY NUMBER VARIATION; FEATURE-SELECTION; GENE-EXPRESSION; MICROARRAY DATA; CLASSIFICATION; EPIDEMIOLOGY; CHEMOTHERAPY; MECHANISMS; MUTATIONS</t>
  </si>
  <si>
    <t>Kumar, Naveen/N-9993-2018; Agarwal, Manoj/AAU-8614-2021; Rajpal, Ankit/T-2536-2019</t>
  </si>
  <si>
    <t>Kumar, Naveen/0000-0001-9869-460X; Dwivedi, Kountay/0000-0001-5439-0567; Rajpal, Ankit/0000-0002-0033-4380</t>
  </si>
  <si>
    <t>1476-9271</t>
  </si>
  <si>
    <t>1476-928X</t>
  </si>
  <si>
    <t>COMPUT BIOL CHEM</t>
  </si>
  <si>
    <t>Comput. Biol. Chem.</t>
  </si>
  <si>
    <t>107990</t>
  </si>
  <si>
    <t>10.1016/j.compbiolchem.2023.107990</t>
  </si>
  <si>
    <t>http://dx.doi.org/10.1016/j.compbiolchem.2023.107990</t>
  </si>
  <si>
    <t>Biology; Computer Science, Interdisciplinary Applications</t>
  </si>
  <si>
    <t>Life Sciences &amp; Biomedicine - Other Topics; Computer Science</t>
  </si>
  <si>
    <t>CL1S0</t>
  </si>
  <si>
    <t>38000327</t>
  </si>
  <si>
    <t>WOS:001125321300001</t>
  </si>
  <si>
    <t>Materne, S; Canali, S; Chiffi, D</t>
  </si>
  <si>
    <t>Over the past few years, mobile health applications (mHealth apps) have gained popularity regarding the management of chronic conditions, such as diabetes, as they are considered to enhance follow-up and treatment. Indeed, these applications are powerful tools that support individualised pharmaceutical and non-pharmaceutical care by remotely monitoring the patient's health status in real-time. Nevertheless, concerns have been raised regarding trust and trustworthiness towards their use, in particular, when they are powered by Artificial Intelligence (AI). Trust in AI is a multifaceted notion that encompasses aspects such as reliance, risk, as well as ethical principles (e.g., respect for human autonomy and prevention of harm). In this paper, we provide an analysis of trust and trustworthiness in AI-powered mHealth apps for diabetes through the lens of philosophy and risk analysis to promote the patient's well-being.</t>
  </si>
  <si>
    <t>Materne, Sophie; Canali, Stefano; Chiffi, Daniele</t>
  </si>
  <si>
    <t>Canali, S (corresponding author), Politecn Milan, Dept Elect Informat &amp; Bioengn, Milan, Italy.</t>
  </si>
  <si>
    <t>stefano.canali@polimi.it</t>
  </si>
  <si>
    <t>Ministero dell'Istruzione, dell'Universita e della Ricerca</t>
  </si>
  <si>
    <t>Ministero dell'Istruzione, dell'Universita e della Ricerca (Ministry of Education, Universities and Research (MIUR))</t>
  </si>
  <si>
    <t>[Materne, Sophie; Canali, Stefano] Politecn Milan, Dept Elect Informat &amp; Bioengn, Milan, Italy; [Chiffi, Daniele] Politecn Milan, DAStU, Milan, Italy</t>
  </si>
  <si>
    <t>Polytechnic University of Milan; Polytechnic University of Milan</t>
  </si>
  <si>
    <t>Trust in Medical AI: The Case of mHealth Diabetes Apps</t>
  </si>
  <si>
    <t>JOURNAL OF EVALUATION IN CLINICAL PRACTICE</t>
  </si>
  <si>
    <t>diabetes; ethics of AI; medical AI; mHealth; risk; trust; trustworthy AI</t>
  </si>
  <si>
    <t>ETHICS</t>
  </si>
  <si>
    <t>Canali, Stefano/AAL-4780-2020</t>
  </si>
  <si>
    <t>Materne, Sophie/0009-0000-3481-4027; Chiffi, Daniele/0009-0000-5222-7301; Canali, Stefano/0000-0002-5948-3874</t>
  </si>
  <si>
    <t>1356-1294</t>
  </si>
  <si>
    <t>1365-2753</t>
  </si>
  <si>
    <t>J EVAL CLIN PRACT</t>
  </si>
  <si>
    <t>J. Eval. Clin. Pract.</t>
  </si>
  <si>
    <t>e70216</t>
  </si>
  <si>
    <t>10.1111/jep.70216</t>
  </si>
  <si>
    <t>http://dx.doi.org/10.1111/jep.70216</t>
  </si>
  <si>
    <t>Health Care Sciences &amp; Services; Medical Informatics; Medicine, General &amp; Internal</t>
  </si>
  <si>
    <t>Health Care Sciences &amp; Services; Medical Informatics; General &amp; Internal Medicine</t>
  </si>
  <si>
    <t>6TA1O</t>
  </si>
  <si>
    <t>40801339</t>
  </si>
  <si>
    <t>WOS:001561313900042</t>
  </si>
  <si>
    <t>Chen, JS; Pang, ML; Qian, WR; Zhang, WF; Xu, CM; He, P</t>
  </si>
  <si>
    <t>Background: As AI increasingly reshapes healthcare delivery and innovation, global health systems face urgent imperatives to govern its development, deployment. Objective: Drawing on 43 regulatory and strategic documents in five jurisdictions, the study systematically assessed convergences and divergences in national AI strategies, risk classification schemes, software-as-amedical-device (SaMD) frameworks, ethical oversight, and cross-border data policies. Methods: Policy and regulatory documents on AI in health (2017-2025) were collected from health authorities, regulatory agencies, and multilateral platforms. A structured 20-item framework covering six domains was applied to enable systematic cross-jurisdictional comparison of strategic vision, regulatory rigor, ethics, implementation support, global alignment, and medical device governance. Results: Increasing convergence around core principles such as transparency, accountability, and human-centric AI, particularly through the influence of international norms. However, significant divergence remained in regulatory maturity, enforcement mechanisms, reimbursement pathways and implementation capabilities. While jurisdictions like Singapore and China exhibited centralized, state-led coordination, others like the US reflected pluralistic, agency-driven models. Economic incentives, workforce readiness programs, and post-market surveillance systems also varied widely. Conclusion: The study concluded with five recommendations for advancing AI governance: strengthening interagency coordination, harmonizing regulatory frameworks, embedding equity and transparency in data infrastructure, supporting institutional readiness and fostering international collaboration.</t>
  </si>
  <si>
    <t>Chen, Jinsong; Pang, Mingli; Qian, Wenrong; Zhang, Weifang; Xu, Caiming; He, Ping</t>
  </si>
  <si>
    <t>Xu, CM (corresponding author), 51 Huzhou St, Hangzhou, Peoples R China.; He, P (corresponding author), 2 Kangding Rd, Shanghai, Peoples R China.</t>
  </si>
  <si>
    <t>heping166@shdc.org.cn; xucm@hzcu.edu.cn</t>
  </si>
  <si>
    <t>National Key R&amp;D Program of China [SQ2022AAA010591]; Comprehensive Evaluation Study and Service on the Clinical Research, Management, and Intervention Applications of AI-Based Respiratory Diseases [YLZX2024005]; China Postdoctoral Science Foundation [2024M752842]</t>
  </si>
  <si>
    <t>National Key R&amp;D Program of China (National Key Research &amp; Development Program of China); Comprehensive Evaluation Study and Service on the Clinical Research, Management, and Intervention Applications of AI-Based Respiratory Diseases; China Postdoctoral Science Foundation (China Postdoctoral Science Foundation)</t>
  </si>
  <si>
    <t>The study was founded by (1) the National Key R&amp;D Program of China (SQ2022AAA010591) . (2) The Comprehensive Evaluation Study and Service on the Clinical Research, Management, and Intervention Applications of AI-Based Respiratory Diseases (YLZX2024005) . (3) China Postdoctoral Science Foundation (2024M752842) .</t>
  </si>
  <si>
    <t>[Chen, Jinsong; Xu, Caiming] Hangzhou City Univ, Hangzhou, Peoples R China; [Chen, Jinsong; Pang, Mingli] Univ Auckland, Sch Populat Hlth, Auckland, New Zealand; [Chen, Jinsong; Qian, Wenrong] Zhejiang Univ, Sch Publ Affairs, Hangzhou, Peoples R China; [Zhang, Weifang] Zhejiang Univ, Sch Med, Childrens Hosp, Natl Clin Res Ctr Child Hlth, Hangzhou, Peoples R China; [He, Ping] Shanghai Hosp Dev Ctr, Link Healthcare Project &amp; Artificial Intelligence, Shanghai, Peoples R China; [He, Ping] Shanghai Jiao Tong Univ, Sch Publ Hlth, Sch Med, Shanghai, Peoples R China; [Xu, Caiming] 51 Huzhou St, Hangzhou, Peoples R China; [He, Ping] 2 Kangding Rd, Shanghai, Peoples R China</t>
  </si>
  <si>
    <t>Hangzhou City University; University of Auckland; Zhejiang University; Zhejiang University; Shanghai Jiao Tong University</t>
  </si>
  <si>
    <t>Governing the rise of AI in healthcare: A comparative governance document and implementation implications across five jurisdictions</t>
  </si>
  <si>
    <t>SOCIAL SCIENCE &amp; MEDICINE</t>
  </si>
  <si>
    <t>Health systems; Health policy; AI; Healthcare</t>
  </si>
  <si>
    <t>0277-9536</t>
  </si>
  <si>
    <t>1873-5347</t>
  </si>
  <si>
    <t>SOC SCI MED</t>
  </si>
  <si>
    <t>Soc. Sci. Med.</t>
  </si>
  <si>
    <t>400</t>
  </si>
  <si>
    <t>119270</t>
  </si>
  <si>
    <t>10.1016/j.socscimed.2026.119270</t>
  </si>
  <si>
    <t>http://dx.doi.org/10.1016/j.socscimed.2026.119270</t>
  </si>
  <si>
    <t>Public, Environmental &amp; Occupational Health; Social Sciences, Biomedical</t>
  </si>
  <si>
    <t>Public, Environmental &amp; Occupational Health; Biomedical Social Sciences</t>
  </si>
  <si>
    <t>GU1QH</t>
  </si>
  <si>
    <t>41967377</t>
  </si>
  <si>
    <t>WOS:001745121300001</t>
  </si>
  <si>
    <t>Hanani, AA; Donmez, TB; Kutlu, M; Mansour, M</t>
  </si>
  <si>
    <t>Recurrence prediction in well-differentiated thyroid cancer remains a clinical challenge, necessitating more accurate and interpretable predictive models. This study investigates the use of a supervised CatBoost classifier to predict recurrence in well-differentiated thyroid cancer patients, comparing its performance against other ensemble models and employing Shapley Additive Explanations (SHAP) to enhance interpretability. A dataset comprising 383 patients with diverse demographic, clinical, and pathological variables was utilized. Data preprocessing steps included handling values and encoding categorical features. The dataset was split into training and testing sets using a 70:30 ratio. Model performance was evaluated using accuracy and area under the receiver operating characteristic curve. A comparative analysis was conducted with other ensemble methods, such as Extra Trees, LightGBM, and XGBoost. SHAP analysis was employed to determine feature importance and assess model interpretability at both the global and local levels. The supervised CatBoost classifier demonstrated superior performance, achieving an accuracy of 97% and an area under the receiver operating characteristic curve of 0.99, outperforming competing models. SHAP analysis revealed that treatment response (SHAP value: 2.077), risk stratification (SHAP value: 0.859), and lymph node involvement (N) (SHAP value: 0.596) were the most influential predictors of recurrence. Local SHAP analyses provided insight into individual predictions, highlighting that misclassification often resulted from overemphasizing a single factor while overlooking other clinically relevant indicators. The supervised CatBoost classifier demonstrated high predictive performance and enhanced interpretability through SHAP analysis. These findings underscore the importance of incorporating multiple predictive factors to improve recurrence risk assessment. While the model shows promise in personalizing thyroid cancer management, further validation on larger, more diverse datasets is warranted to ensure robustness.</t>
  </si>
  <si>
    <t>Hanani, Ahmad A.; Donmez, Turker Berk; Kutlu, Mustafa; Mansour, Mohammed</t>
  </si>
  <si>
    <t>Hanani, AA (corresponding author), An Najah Natl Univ, Fac Med &amp; Hlth Sci, Biomed &amp; Clin Basic Skills Dept, Nablus 44839, Palestine.</t>
  </si>
  <si>
    <t>d215003101@subu.edu.tr; a.hanani@najah.edu; mkutlu@subu.edu.tr; mohammedmansour@subu.edu.tr</t>
  </si>
  <si>
    <t>[Hanani, Ahmad A.] An Najah Natl Univ, Fac Med &amp; Hlth Sci, Biomed &amp; Clin Basic Skills Dept, Nablus 44839, Palestine; [Donmez, Turker Berk; Kutlu, Mustafa; Mansour, Mohammed] Sakarya Univ Appl Sci, Biomed Engn Dept, Sakarya, Turkiye</t>
  </si>
  <si>
    <t>An Najah National University; Sakarya University of Applied Science</t>
  </si>
  <si>
    <t>Predicting thyroid cancer recurrence using supervised CatBoost: A SHAP-based explainable AI approach</t>
  </si>
  <si>
    <t>MEDICINE</t>
  </si>
  <si>
    <t>CatBoost; explainable AI; glioblastoma multiforme; lower-grade gliomas</t>
  </si>
  <si>
    <t>Hanani, Ahmad/ACZ-8368-2022; Mansour, Mohammed/ACL-5254-2022; Kutlu, Mustafa/IUQ-1861-2023; Dönmez, Türker Berk/HNP-0344-2023</t>
  </si>
  <si>
    <t>Hanani, Ahmad/0000-0003-3713-5016; Mansour, Mohammed/0000-0001-9672-0106</t>
  </si>
  <si>
    <t>0025-7974</t>
  </si>
  <si>
    <t>1536-5964</t>
  </si>
  <si>
    <t>Medicine (Baltimore)</t>
  </si>
  <si>
    <t>MAY 30 2025</t>
  </si>
  <si>
    <t>104</t>
  </si>
  <si>
    <t>e42667</t>
  </si>
  <si>
    <t>10.1097/MD.0000000000042667</t>
  </si>
  <si>
    <t>http://dx.doi.org/10.1097/MD.0000000000042667</t>
  </si>
  <si>
    <t>3FF4X</t>
  </si>
  <si>
    <t>40441185</t>
  </si>
  <si>
    <t>WOS:001498916000013</t>
  </si>
  <si>
    <t>Chen, BJ; Li, YK; Sun, Y; Sun, HJ; Wang, YM; Lyu, J; Guo, JJ; Bao, SX; Cheng, YS; Niu, X; Yang, L; Xu, JH; Yang, JM; Huang, YB; Chi, FL; Liang, B; Ren, DD</t>
  </si>
  <si>
    <t>Background: Temporal bone computed tomography (CT) helps diagnose chronic otitis media (COM). However, its interpretation requires training and expertise. Artificial intelligence (AI) can help clinicians evaluate COM through CT scans, but existing models lack transparency and may not fully leverage multidimensional diagnostic information. Objective: We aimed to develop an explainable AI system based on 3D convolutional neural networks (CNNs) for automatic CT-based evaluation of COM. Methods: Temporal bone CT scans were retrospectively obtained from patients operated for COM between December 2015and July 2021 at 2 independent institutes. A region of interest encompassing the middle ear was automatically segmented, and3D CNNs were subsequently trained to identify pathological ears and cholesteatoma. An ablation study was performed to refine model architecture. Benchmark tests were conducted against a baseline 2D model and 7 clinical experts. Model performance was measured through cross-validation and external validation. Heat maps, generated using Gradient-Weighted Class Activation Mapping, were used to highlight critical decision-making regions. Finally, the AI system was assessed with a prospective cohortto aid clinicians in preoperative COM assessment. Results: Internal and external data sets contained 1661 and 108 patients (3153 and 211 eligible ears), respectively. The 3Dmodel exhibited decent performance with mean areas under the receiver operating characteristic curves of 0.96 (SD 0.01) and0.93 (SD 0.01), and mean accuracies of 0.878 (SD 0.017) and 0.843 (SD 0.015), respectively, for detecting pathological ears on the 2 data sets. Similar outcomes were observed for cholesteatoma identification (mean area under the receiver operating characteristic curve 0.85, SD 0.03 and 0.83, SD 0.05; mean accuracies 0.783, SD 0.04 and 0.813, SD 0.033, respectively). The proposed 3D model achieved a commendable balance between performance and network size relative to alternative models. It significantly outperformed the 2D approach in detecting COM (P &lt;=.05) and exhibited a substantial gain in identifying cholesteatoma(P&lt;.001). The model also demonstrated superior diagnostic capabilities over resident fellows and the attending otologist (P&lt;.05),rivaling all senior clinicians in both tasks. The generated heat maps properly highlighted the middle ear and mastoid regions, aligning with human knowledge in interpreting temporal bone CT. The resulting AI system achieved an accuracy of 81.8% ingenerating preoperative diagnoses for 121 patients and contributed to clinical decision-making in 90.1% cases. Conclusions: We present a 3D CNN model trained to detect pathological changes and identify cholesteatoma via temporal bone CT scans. In both tasks, this model significantly outperforms the baseline 2D approach, achieving levels comparable with orsur passing those of human experts. The model also exhibits decent generalizability and enhanced comprehensibility. This AI system facilitates automatic COM assessment and shows promising viability in real-world clinical settings. These findings underscore AI's potential as a valuable aid for clinicians in COM evaluation.</t>
  </si>
  <si>
    <t>Chen, Binjun; Li, Yike; Sun, Yu; Sun, Haojie; Wang, Yanmei; Lyu, Jihan; Guo, Jiajie; Bao, Shunxing; Cheng, Yushu; Niu, Xun; Yang, Lian; Xu, Jianghong; Yang, Juanmei; Huang, Yibo; Chi, Fanglu; Liang, Bo; Ren, Dongdong</t>
  </si>
  <si>
    <t>Li, YK (corresponding author), Vanderbilt Univ Sch Med, Dept Otolaryngol Head &amp; Neck Surg, 1215 Med Ctr Dr, Nashville, TN 37232 USA.</t>
  </si>
  <si>
    <t>yike.li.1@vumc.org</t>
  </si>
  <si>
    <t>This study is supported by the National Natural Science Foundation of China (grants 81970889 to Fanglu Chi and 82271166,81970880, and 81771017 to Dongdong Ren, U22A20249, 52188102, 52027806 to Jiajie Guo) ; Natural Science Foundation of Shanghai (grant 22ZR1410100 to Dongdong Ren) ; the "Zhuo-Xue Plan" of Fudan University (Dongdong Ren) ; Heng-Jie special technical support plan (Dongdong Ren) ; and the Shanghai Outstanding Young Medical Talent Program (Dongdong Ren) . The funders had no role in study design, data collection and analysis, decision to publish, or preparation of the manuscript.</t>
  </si>
  <si>
    <t>[Chen, Binjun; Sun, Haojie; Wang, Yanmei; Lyu, Jihan; Xu, Jianghong; Yang, Juanmei; Huang, Yibo; Chi, Fanglu; Ren, Dongdong] Fudan Univ, ENT Inst &amp; Dept Otorhinolaryngol, Eye &amp; ENT Hosp, Shanghai, Peoples R China; [Chen, Binjun; Sun, Haojie; Wang, Yanmei; Lyu, Jihan; Xu, Jianghong; Yang, Juanmei; Huang, Yibo; Chi, Fanglu; Ren, Dongdong] Fudan Univ, Eye &amp; ENT Hosp, NHC Key Lab Hearing Med Res, Shanghai, Peoples R China; [Li, Yike] Vanderbilt Univ Sch Med, Dept Otolaryngol Head &amp; Neck Surg, 1215 Med Ctr Dr, Nashville, TN 37232 USA; [Sun, Yu; Niu, Xun] Huazhong Univ Sci &amp; Technol, Union Hosp, Tongji Med Coll, Dept Otorhinolargnol, Wuhan, Peoples R China; [Guo, Jiajie] Huazhong Univ Sci &amp; Technol, Sch Mech Sci &amp; Engn, State Key Lab Digital Mfg Equipment &amp; Technol, Wuhan, Peoples R China; [Bao, Shunxing] Vanderbilt Univ, Dept Elect &amp; Comp Engn, Nashville, TN USA; [Cheng, Yushu] Fudan Univ, Eye &amp; ENT Hosp, Dept Radiol, Shanghai, Peoples R China; [Yang, Lian; Liang, Bo] Huazhong Univ Sci &amp; Technol, Union Hosp, Tongji Med Coll, Dept Radiol, Wuhan, Peoples R China</t>
  </si>
  <si>
    <t>Fudan University; Fudan University; Vanderbilt University; Huazhong University of Science &amp; Technology; Huazhong University of Science &amp; Technology; Vanderbilt University; Fudan University; Huazhong University of Science &amp; Technology</t>
  </si>
  <si>
    <t>A 3D and Explainable Artificial Intelligence Model for Evaluation of Chronic Otitis Media Based on Temporal Bone Computed Tomography: Model Development, Validation, and Clinical Application</t>
  </si>
  <si>
    <t>artificial intelligence; cholesteatoma; deep learning; otitis media; tomography, x-ray computed; machine learning; mastoidectomy; convolutional neural networks; temporal bone</t>
  </si>
  <si>
    <t>MIDDLE-EAR CHOLESTEATOMA; GRAD-CAM; MANAGEMENT; NETWORKS; OUTCOMES; CANCER; HRCT; MRI</t>
  </si>
  <si>
    <t>yang, lian/AEE-1767-2022; Xu, Jianghong/AAY-8709-2021; Li, Yike/C-8563-2009; Sun, Yu/AAX-9942-2021; Guo, Jiajie/B-7207-2013; sun, haojie/GSM-9348-2022</t>
  </si>
  <si>
    <t>Li, Yike/0000-0001-8465-130X; Sun, Yu/0000-0002-1771-3715; Bao, Shunxing/0000-0001-6376-4292; chen, binjun/0000-0001-6563-9276; Niu, Xun/0000-0002-1225-1187; Guo, Jiajie/0000-0002-7740-6792</t>
  </si>
  <si>
    <t>AUG 8 2024</t>
  </si>
  <si>
    <t>e51706</t>
  </si>
  <si>
    <t>10.2196/51706</t>
  </si>
  <si>
    <t>http://dx.doi.org/10.2196/51706</t>
  </si>
  <si>
    <t>E9F9F</t>
  </si>
  <si>
    <t>39116439</t>
  </si>
  <si>
    <t>WOS:001305996500003</t>
  </si>
  <si>
    <t>Nedbal, C; Gauhar, V; Frascheri, MF; Gite, S; Sevalia, H; Maurya, R; Jaiswal, P; Kashyap, K; Castellani, D; Gregori, A; Panthier, F; Tanidir, Y; Shrestha, A; Sridharan, V; Singh, A; Soebhali, B; Lakmichi, MA; Hamri, SB; Naik, N; Somani, BK</t>
  </si>
  <si>
    <t>Aim of the Study: This study aimed to evaluate the performance of machine learning (ML) algorithms integrated with explainable artificial intelligence (XAI) techniques in predicting outcomes following flexible ureteroscopy (fURSL) in children. By identifying significant preoperative predictors, the goal was to improve individualized surgical risk assessment and planning. Materials and Methods: A retrospective analysis was conducted on 391 pediatric patients treated with fURSL for urolithiasis across 8 high-volume centers (2017-2021). Preoperative, intraoperative, and postoperative data were collected. 15 ML models were trained to predict five postoperative outcomes: fever, hematuria, sepsis, residual fragments (RF), and reintervention. A multitask artificial neural network (ANN) was also developed. Performance was evaluated using validation accuracy, confusion matrices, and classification reports. SHapley Additive exPlanations values and decision trees were used for model interpretability. Results: Ensemble models outperformed others, with Gradient Boosting achieving 92.4% validation accuracy in predicting postoperative fever, Extra Trees achieving 91.1% for hematuria, and XGBoost reaching 96.0% for sepsis. Predictors included preoperative infections, stone burden, operative duration, and anatomical anomalies. For RF, Gradient Boost and Random Forest yielded strong results with up to 93.7% accuracy. Reintervention was best predicted by Random Forest, with RF as the strongest predictor. XAI techniques provided transparent, clinically interpretable models that aligned with medical reasoning. Conclusion: ML models demonstrated high accuracy in predicting adverse postoperative outcomes in pediatric ureteroscopy, with ensemble methods showing the best performance. Integration with XAI enhanced interpretability, supporting clinical decision-making. These findings underscore the potential of ML and XAI to inform personalized treatment strategies, though further prospective validation is needed to develop robust, generalizable predictive tools.</t>
  </si>
  <si>
    <t>Nedbal, Carlotta; Gauhar, Vineet; Frascheri, Maria Florencia; Gite, Shilpa; Sevalia, Het; Maurya, Ratan; Jaiswal, Prisha; Kashyap, Khushi; Castellani, Daniele; Gregori, Andrea; Panthier, Frederic; Tanidir, Yiloren; Shrestha, Anil; Sridharan, Vikram; Singh, Abhishek; Soebhali, Boyke; Lakmichi, Mohamed Amine; Hamri, Saeed Biin; Naik, Nithesh; Somani, Bhaskar Kumar</t>
  </si>
  <si>
    <t>Nedbal, C (corresponding author), Polytech Univ Le Marche, Via Pergolesi 33, I-20900 Monza, MB, Italy.</t>
  </si>
  <si>
    <t>carlottanedbal@gmail.com</t>
  </si>
  <si>
    <t>Polytech Univ Le Marche, Ancona, Italy; [Nedbal, Carlotta] IRCCS San Gerardo Tintori, Monza, Italy; [Nedbal, Carlotta; Gauhar, Vineet; Panthier, Frederic; Somani, Bhaskar Kumar] European Assoc Urol, Endourol Sect, Arnhem, Netherlands; [Gauhar, Vineet] Ng Teng Fong Gen Hosp, Dept Urol, Singapore, Singapore; [Frascheri, Maria Florencia; Somani, Bhaskar Kumar] Univ Hosp Southampton NHS Fdn Trust, Southampton, England; [Gite, Shilpa; Sevalia, Het; Maurya, Ratan; Jaiswal, Prisha; Kashyap, Khushi] Symbiosis Inst Technol, Dept Engn, Pune, India; [Castellani, Daniele] LUM Univ, Dept Med &amp; Surg, Bari, Italy; [Castellani, Daniele] Ecclesiast Ent Reg Gen Hosp F Miulli, Urol Unit, Bari, Italy; [Gregori, Andrea] IRCSS San Gerardo, Monza, Italy; [Panthier, Frederic] Sorbonne Univ, Tenon Hosp, GRC Urolithiasis 20, Paris, France; [Panthier, Frederic] CNRS, UMR 8006, PIMM, Arts &amp; Metiers ParisTech, Paris, France; [Tanidir, Yiloren] Marmara Univ, Sch Med, Dept Urol, Istanbul, Turkiye; [Shrestha, Anil] Bir Hosp, Natl Acad Med Sci, Dept Urol, Kathmandu, Nepal; [Sridharan, Vikram] Sree Paduka Special Hosp, Dept Urol, Thillai Nagar, India; [Singh, Abhishek] Muljibhai Patel Urol Hosp, Nadiad, India; [Soebhali, Boyke] Muliawarman Univ, Abdul Wahab Sjahranie Hosp, Med Fac, Dept Urol, Samarinda, Indonesia; [Lakmichi, Mohamed Amine] Univ Hosp Mohammed VIth Marrakesh, Dept Urol, Marrakech, Morocco; [Hamri, Saeed Biin] King Abdullah Int Med Res Ctr, Dept Surg, Riyadh, Saudi Arabia; [Naik, Nithesh] Manipal Acad Higher Educ, Dept Engn, Manipal, India</t>
  </si>
  <si>
    <t>Fondazione IRCCS San Gerardo dei Tintori; University of Southampton; University Hospital Southampton NHS Foundation Trust; Symbiosis International University; Symbiosis Institute of Technology (SIT); Lum Jean Monnet University; San Gerardo Hospital; Assistance Publique Hopitaux Paris (APHP); Sorbonne Universite; Hopital Universitaire Tenon - APHP; Centre National de la Recherche Scientifique (CNRS); heSam Universite; CNRS - Institute for Engineering &amp; Systems Sciences (INSIS); Conservatoire National Arts &amp; Metiers (CNAM); Marmara University; King Saud Bin Abdulaziz University for Health Sciences; King Abdullah International Medical Research Center (KAIMRC); Manipal Academy of Higher Education (MAHE)</t>
  </si>
  <si>
    <t>Predicting Postoperative Outcomes in Pediatric Ureteroscopy Using Machine Learning and Explainable AI-EAU Endourology Vision-AI Study</t>
  </si>
  <si>
    <t>JOURNAL OF ENDOUROLOGY</t>
  </si>
  <si>
    <t>stone-free rate; machine learning; prediction; artificial intelligence</t>
  </si>
  <si>
    <t>LITHOTRIPSY</t>
  </si>
  <si>
    <t>Castellani, Daniele/B-1501-2019; nedbal, carlotta/MIP-9298-2025; Naik, Nithesh/W-5086-2019; Gauhar, Vineet/ABC-9201-2021; Panthier, Frederic/HLH-8436-2023; Gite, Shilpa/AAR-2331-2020; Tanidir, Yiloren/S-8213-2016</t>
  </si>
  <si>
    <t>Castellani, Daniele/0000-0001-7354-9190</t>
  </si>
  <si>
    <t>0892-7790</t>
  </si>
  <si>
    <t>1557-900X</t>
  </si>
  <si>
    <t>J ENDOUROL</t>
  </si>
  <si>
    <t>J. Endourol.</t>
  </si>
  <si>
    <t>JUL 1 2026</t>
  </si>
  <si>
    <t>823</t>
  </si>
  <si>
    <t>830</t>
  </si>
  <si>
    <t>10.1177/08927790261441731</t>
  </si>
  <si>
    <t>http://dx.doi.org/10.1177/08927790261441731</t>
  </si>
  <si>
    <t>JG0VN</t>
  </si>
  <si>
    <t>41981823</t>
  </si>
  <si>
    <t>WOS:001740678800001</t>
  </si>
  <si>
    <t>Li, BH; Li, C; Uchida, W; Tanaka, T; Zhao, QB; Aoki, S; Sun, Z</t>
  </si>
  <si>
    <t>Purpose: Interpretability and robustness are both critical for developing trustworthy artificial intelligence, especially in high-stakes domains such as medical diagnosis. However, few studies have explored how to enhance robustness within interpretable model frameworks. This work aims to improve the robustness of interpretable multimodal medical imaging diagnostic models, particularly under missing modality conditions. Methods: We propose the Modality-Robust and Explainable Network (MoRE-Net), a robust and interpretable model for brain tumor grading. Built on a variant of the interpretable prototypical part network, absence of inter-modality interactions, we introduce 2 key designs: (1) Mamba-based per-modality encoders for efficient global-context modeling; and (2) an online multimodal teacher that guides the per-modality encoders via an alignment loss during early training, which is gradually annealed and removed. We evaluate MoRE-Net on 369 subjects with multimodal MRI from the BraTS2020 dataset, using balanced accuracy (BAC) for grading performance and activation precision (AP) for interpretability. We further validate the model on the real-world ReMIND dataset. Results: MoRE-Net achieves an average BAC of 73.5% and AP of 61.2% across all missing modality scenarios on BraTS2020 dataset, surpassing baseline methods by about 15% and 21%, respectively. Results on ReMIND dataset and ablation studies confirm its effectiveness of each proposed strategy and the overall robustness. Conclusion: We introduce MoRE-Net, a novel interpretable and modality-robust model for brain tumor grading. Experimental results demonstrate its strong performance in both diagnostic accuracy and interpretability under missing modality conditions, indicating its potential for clinical deployment.</t>
  </si>
  <si>
    <t>Li, Binghua; Li, Chao; Uchida, Wataru; Tanaka, Toshihisa; Zhao, Qibin; Aoki, Shigeki; Sun, Zhe</t>
  </si>
  <si>
    <t>Sun, Z (corresponding author), Juntendo Univ, Fac Hlth Data Sci, Room 2501,6-8-1 Hinode, Urayasu, Chiba 2790013, Japan.</t>
  </si>
  <si>
    <t>z.sun.kc@juntendo.ac.jp</t>
  </si>
  <si>
    <t>Brain/MINDS Beyond program of the Japan Agency for Medical Research and Development [25KJ1215, 22K17921, 24K03005]</t>
  </si>
  <si>
    <t>Brain/MINDS Beyond program of the Japan Agency for Medical Research and Development</t>
  </si>
  <si>
    <t>Funding The work is supported by the Grant in Aid for JSPS Fellows (25KJ1215) , the Grant in Aid for Early Career Scientists (22K17921) , the Grant in Aid for Scientific Research (B) (24K03005) and the Brain/MINDS Beyond program of the Japan Agency for Medical Research and Development</t>
  </si>
  <si>
    <t>[Li, Binghua; Tanaka, Toshihisa; Zhao, Qibin] Tokyo Univ Agr &amp; Technol, Tokyo, Japan; [Li, Binghua; Li, Chao; Uchida, Wataru; Aoki, Shigeki; Sun, Zhe] Juntendo Univ, Fac Hlth Data Sci, Urayasu, Chiba, Japan; [Li, Binghua; Li, Chao; Tanaka, Toshihisa; Zhao, Qibin] RIKEN Ctr Adv Intelligence Project, Tokyo, Japan; [Uchida, Wataru; Aoki, Shigeki; Sun, Zhe] Juntendo Univ, Grad Sch Med, Tokyo, Japan</t>
  </si>
  <si>
    <t>Tokyo University of Agriculture &amp; Technology; Juntendo University; RIKEN; Juntendo University</t>
  </si>
  <si>
    <t>MoRE-Net: An Interpretable and Modality-robust Model for Brain Tumor Grading</t>
  </si>
  <si>
    <t>MAGNETIC RESONANCE IN MEDICAL SCIENCES</t>
  </si>
  <si>
    <t>brain tumor grading; interpretable model; magnetic resonance imaging; modality missing; robust model</t>
  </si>
  <si>
    <t>Tanaka, Toshihisa/C-8740-2013</t>
  </si>
  <si>
    <t>JPN SOC MAGNETIC RESONANCE MEDICINE</t>
  </si>
  <si>
    <t>TOKYO</t>
  </si>
  <si>
    <t>GOTANDA PARK SIDE BLDG 4F, 5 24 9 HIGASHI-GOTANDA, SHINAGAWA-KU, TOKYO, 141-0022, JAPAN</t>
  </si>
  <si>
    <t>1347-3182</t>
  </si>
  <si>
    <t>1880-2206</t>
  </si>
  <si>
    <t>MAGN RESON MED SCI</t>
  </si>
  <si>
    <t>Magn. Reson. Med. Sci.</t>
  </si>
  <si>
    <t>10.2463/mrms.mp.2025-0107</t>
  </si>
  <si>
    <t>http://dx.doi.org/10.2463/mrms.mp.2025-0107</t>
  </si>
  <si>
    <t>FZ2MW</t>
  </si>
  <si>
    <t>41672496</t>
  </si>
  <si>
    <t>WOS:001687016400001</t>
  </si>
  <si>
    <t>Anzum, H; Sammo, NS; Akhter, S</t>
  </si>
  <si>
    <t>Alzheimer's disease (AD) is a progressive brain ailment that causes memory loss, cognitive decline, and behavioral changes. It is quite concerning that one in nine adults over the age of 65 have AD. Currently there is almost no cure for AD except very few experimental treatments. However, early detection offers chances to take part in clinical trials or other investigations looking at potential new and effective Alzheimer's treatments. To detect Alzheimer's disease, brain scans such as computed tomography (CT), magnetic resonance imaging (MRI), or positron emission tomography (PET) can be performed. Many researches have been undertaken to use computer vision on MRI images, and their accuracy ranges from 80-90%, new computer vision algorithms and cutting-edge transformers have the potential to improve this performance.We utilize advanced transformers and computer vision algorithms to enhance diagnostic accuracy, achieving an impressive 99% accuracy in categorizing Alzheimer's disease stages through translating RNA text data and brain MRI images in near-real-time. We integrate the Local Interpretable Model-agnostic Explanations (LIME) explainable AI (XAI) technique to ensure the transformers' acceptance, reliability, and human interpretability. LIME helps identify crucial features in RNA sequences or specific areas in MRI images essential for diagnosing AD.</t>
  </si>
  <si>
    <t>Anzum, Humaira; Sammo, Nabil Sadd; Akhter, Shamim</t>
  </si>
  <si>
    <t>Sammo, NS (corresponding author), Ahsanullah Univ Sci &amp; Technol, AISIP Lab, Dhaka, Bangladesh.; Sammo, NS (corresponding author), Bangladesh Univ Engn &amp; Technol, Dhaka, Bangladesh.</t>
  </si>
  <si>
    <t>nabilsadd.araf.999@gmail.com</t>
  </si>
  <si>
    <t>[Anzum, Humaira; Sammo, Nabil Sadd; Akhter, Shamim] Ahsanullah Univ Sci &amp; Technol, AISIP Lab, Dhaka, Bangladesh; [Sammo, Nabil Sadd] Bangladesh Univ Engn &amp; Technol, Dhaka, Bangladesh</t>
  </si>
  <si>
    <t>Ahsanullah University of Science &amp; Technology (AUST); Bangladesh University of Engineering &amp; Technology (BUET)</t>
  </si>
  <si>
    <t>Leveraging transformers and explainable AI for Alzheimer's disease interpretability</t>
  </si>
  <si>
    <t>STRUCTURAL MRI; DIAGNOSIS; DEMENTIA</t>
  </si>
  <si>
    <t>Akhter, Shamim/T-9609-2019</t>
  </si>
  <si>
    <t>Akhter, Shamim/0000-0003-1408-9133</t>
  </si>
  <si>
    <t>e0322607</t>
  </si>
  <si>
    <t>10.1371/journal.pone.0322607</t>
  </si>
  <si>
    <t>http://dx.doi.org/10.1371/journal.pone.0322607</t>
  </si>
  <si>
    <t>2YR4V</t>
  </si>
  <si>
    <t>40408321</t>
  </si>
  <si>
    <t>WOS:001494468100014</t>
  </si>
  <si>
    <t>Mukhopadhyay, S; Haider, N; Chakraborty, C; Singh, S; Changdar, S; Mitra, P</t>
  </si>
  <si>
    <t>Early and accurate detection of cervical cancer (CC) is vital for improving clinical outcomes and guiding timely treatment. We introduce GeoFed-Cervix, a framework with a lightweight Android application (app) designed for multimodal CC diagnostics. The app integrates two modules: GeoFed-CervixYOLO for early CC prediction and GeoFed-CervixLangChain for explainable diagnostics. The framework addresses key challenges in CC screening, including data privacy, model interpretability, and deployment on resource-constrained edge devices. GeoFed-CervixYOLO uses differential geometric priors and personalized federated learning (PFL), ensuring robust feature extraction with privacy-preserving decentralization. GeoFed-CervixLangChain employs LangChain-driven large language models (LLMs) to generate clinician- and patient-specific explanations aligned with explainable AI (XAI) 2.0 principles. Designed for consumer-grade edge devices, the system supports accessibility in low-resource settings. Evaluated on a multimodal dataset of normal and precancerous samples, GeoFed-Cervix achieved 98.27% precision, 98.28% recall, 99.57% specificity, and 98.27% accuracy, while providing interpretable, clinically meaningful insights.</t>
  </si>
  <si>
    <t>Mukhopadhyay, Sabyasachi; Haider, Nazeer; Chakraborty, Chinmay; Singh, Saranjit; Changdar, Satyasaran; Mitra, Pabitra</t>
  </si>
  <si>
    <t>Chakraborty, C (corresponding author), Deemed Univ, Kalinga Inst Ind Technol KIIT, Bhubaneswar 751024, Odisha, India.</t>
  </si>
  <si>
    <t>ssingh@kiit.ac.in; pabitra@cse.iitkgp.ac.in; satyasaran@food.ku.dk; nazeer@kgpian.iitkgp.ac.in; sabyasachi@kgpian.iitkgp.ac.in; drchinmayc@ieee.org</t>
  </si>
  <si>
    <t>[Mukhopadhyay, Sabyasachi; Haider, Nazeer; Mitra, Pabitra] Indian Inst Technol Kharagpur, Ctr Computat &amp; Data Sci, Kharagpur 721302, India; [Chakraborty, Chinmay; Singh, Saranjit] Deemed Univ, Kalinga Inst Ind Technol KIIT, Bhubaneswar 751024, Odisha, India; [Changdar, Satyasaran] Univ Copenhagen, DK-1165 Copenhagen, Denmark</t>
  </si>
  <si>
    <t>Indian Institute of Technology System (IIT System); Indian Institute of Technology (IIT) - Kharagpur; Kalinga Institute of Industrial Technology (KIIT); University of Copenhagen</t>
  </si>
  <si>
    <t>GeoFed-Cervix: A Differential Geometry-Guided Federated and Explainable AI Framework for Early Cervical Cancer Detection on Consumer Devices</t>
  </si>
  <si>
    <t>IEEE TRANSACTIONS ON CONSUMER ELECTRONICS</t>
  </si>
  <si>
    <t>Explainable AI; Medical services; Data models; Consumer electronics; Computer architecture; Feature extraction; Biomedical imaging; Accuracy; Federated learning; Data privacy; Cervical precancer detection; consumer-edge devices; explainable AI 2.0; personalized federated learning; geometric deep learning; large language models; multimodal data analysis</t>
  </si>
  <si>
    <t>Mukhopadhyay, Sabyasachi/ABR-0745-2022; Chakraborty, Chinmay/N-3608-2017; Haider, Nazeer/IAM-6192-2023; Changdar, Satyasaran/AAR-4739-2020; /AAH-5808-2020</t>
  </si>
  <si>
    <t>Mukhopadhyay, Sabyasachi/0000-0002-1750-0226</t>
  </si>
  <si>
    <t>0098-3063</t>
  </si>
  <si>
    <t>1558-4127</t>
  </si>
  <si>
    <t>IEEE T CONSUM ELECTR</t>
  </si>
  <si>
    <t>IEEE Trans. Consum. Electron.</t>
  </si>
  <si>
    <t>2360</t>
  </si>
  <si>
    <t>2367</t>
  </si>
  <si>
    <t>10.1109/TCE.2026.3651019</t>
  </si>
  <si>
    <t>http://dx.doi.org/10.1109/TCE.2026.3651019</t>
  </si>
  <si>
    <t>FN6HX</t>
  </si>
  <si>
    <t>WOS:001723038400002</t>
  </si>
  <si>
    <t>Nong, PG; Ji, ML; Platt, J</t>
  </si>
  <si>
    <t>Introduction Evolving healthcare policy and debates about patient protections require empirical evidence on public perspectives to promote trust and sustainability. If the public does not see AI in healthcare as fundamentally distinct from AI in other domains, major policy intervention or fundamental changes to AI governance may not be necessary. However, healthcare exceptionalism in public perception may indicate that current practice is insufficient to safeguard patient trust.Methods The main outcomes were comfort with healthcare AI and comfort with 12 AI applications in other domains, measured on a 4-point Likert scale. Two factors of AI comfort were retained in exploratory factor analysis. Composite scores of AI comfort were calculated for each factor and compared with respondents' comfort with AI in healthcare using the Wilcoxon signed rank test. Weighted multivariable logistic regressions were used to analyze predictors of comfort with AI.Results Comfort with healthcare AI was more closely aligned with perceptions of newer and riskier AI (eg, self-driving cars) than other AI types with which the public may be more familiar or more likely to perceive potential personal benefit (eg, fraud alerts).Conclusion Investment in transparency and patient interests will be important to promote sustainability and trust in healthcare AI.</t>
  </si>
  <si>
    <t>Nong, Paige; Ji, Molin; Platt, Jodyn</t>
  </si>
  <si>
    <t>Nong, PG (corresponding author), Univ Minnesota, Sch Publ Hlth, Div Hlth Policy &amp; Management, 516 Delaware St SE, Minneapolis, MN 55455 USA.</t>
  </si>
  <si>
    <t>nong0016@umn.edu</t>
  </si>
  <si>
    <t>National Institute of Biomedical Imaging and Bioengineering [5R01EB030492-04]</t>
  </si>
  <si>
    <t>National Institute of Biomedical Imaging and Bioengineering (United States Department of Health &amp; Human Services, National Institutes of Health (NIH) - USA, NIH National Institute of Biomedical Imaging &amp; Bioengineering (NIBIB))</t>
  </si>
  <si>
    <t>This project was supported by the National Institute of Biomedical Imaging and Bioengineering (5R01EB030492-04). The funding organization had no role in design or conduct of the study; collection, management, analysis, or interpretation of the data; preparation, review, or approval of the manuscript; or decision to submit the manuscript for publication.</t>
  </si>
  <si>
    <t>[Nong, Paige; Ji, Molin] Univ Minnesota, Sch Publ Hlth, Div Hlth Policy &amp; Management, 516 Delaware St SE, Minneapolis, MN 55455 USA; [Platt, Jodyn] Michigan Med, Dept Learning Hlth Sci, Ann Arbor, MI 48109 USA</t>
  </si>
  <si>
    <t>University of Minnesota System; University of Minnesota Twin Cities</t>
  </si>
  <si>
    <t>Healthcare exceptionalism in patient perspectives on AI: implications for policy and practice</t>
  </si>
  <si>
    <t>HEALTH AFFAIRS SCHOLAR</t>
  </si>
  <si>
    <t>AI; patient preference; privacy; trust; patient-centered care</t>
  </si>
  <si>
    <t>2976-5390</t>
  </si>
  <si>
    <t>HLTH AFF SCH</t>
  </si>
  <si>
    <t>Health Aff. Sch.</t>
  </si>
  <si>
    <t>qxag128</t>
  </si>
  <si>
    <t>10.1093/haschl/qxag128</t>
  </si>
  <si>
    <t>http://dx.doi.org/10.1093/haschl/qxag128</t>
  </si>
  <si>
    <t>IZ1FU</t>
  </si>
  <si>
    <t>42253881</t>
  </si>
  <si>
    <t>WOS:001783765500001</t>
  </si>
  <si>
    <t>Zhao, JT; Vaios, E; Yang, ZY; Lu, K; Floyd, S; Yang, DS; Ji, HJ; Reitman, ZJ; Lafata, KJ; Fecci, P; Kirkpatrick, JP; Wang, CH</t>
  </si>
  <si>
    <t>BackgroundStereotactic radiosurgery (SRS) is widely used for managing brain metastases (BMs), but an adverse effect, radionecrosis, complicates post-SRS management. Differentiating radionecrosis from tumor recurrence non-invasively remains a major clinical challenge, as conventional imaging techniques often necessitate surgical biopsy for accurate diagnosis. Machine learning and deep learning models have shown potential in distinguishing radionecrosis from tumor recurrence. However, their clinical adoption is hindered by a lack of explainability, limiting understanding and trust in their diagnostic decisions.PurposeTo utilize a novel neural ordinary differential equation (NODE) model for discerning BM post-SRS radionecrosis from recurrence. This approach integrates image-deep features, genomic biomarkers, and non-image clinical parameters within a synthesized latent feature space. The trajectory of each data sample towards the diagnosis decision can be visualized within this feature space, offering a new angle on radiogenomic data analysis foundational for AI explainability.MethodsBy hypothesizing that deep feature extraction can be modeled as a spatiotemporally continuous process, we designed a novel model based on heavy ball NODE (HBNODE) in which deep feature extraction was governed by a second-order ODE. This approach enabled tracking of deep neural network (DNN) behavior by solving the HBNODE and observing the stepwise derivative evolution. Consequently, the trajectory of each sample within the Image-Genomic-Clinical (I-G-C) space became traceable. A decision-making field (F) was reconstructed within the feature space, with its gradient vectors directing the data samples' trajectories and intensities showing the potential. The evolution of F reflected the cumulative feature contributions at intermediate states to the final diagnosis, enabling quantitative and dynamic comparisons of the relative contribution of each feature category over time. A velocity curve was designed to determine key intermediate states (locoregional del F = 0) that are most predictive. Subsequently, a non-parametric model aggregated the optimal solutions from these key states to predict outcomes. Our dataset included 90 BMs from 62 NSCLC patients, and 3-month post-SRS T1+c MR image features, seven NSCLC genomic features, and seven clinical features were analyzed. An 8:2 train/test assignment was employed, and five independent models were trained to ensure robustness. Performance was benchmarked in sensitivity, specificity, accuracy, and ROCAUC, and results were compared against (1) a DNN using only image-based features, and (2) a combined "I+G+C" features without the HBNODE model.MethodsBy hypothesizing that deep feature extraction can be modeled as a spatiotemporally continuous process, we designed a novel model based on heavy ball NODE (HBNODE) in which deep feature extraction was governed by a second-order ODE. This approach enabled tracking of deep neural network (DNN) behavior by solving the HBNODE and observing the stepwise derivative evolution. Consequently, the trajectory of each sample within the Image-Genomic-Clinical (I-G-C) space became traceable. A decision-making field (F) was reconstructed within the feature space, with its gradient vectors directing the data samples' trajectories and intensities showing the potential. The evolution of F reflected the cumulative feature contributions at intermediate states to the final diagnosis, enabling quantitative and dynamic comparisons of the relative contribution of each feature category over time.A velocity curve was designed to determine key intermediate states (locoregional del F = 0) that are most predictive. Subsequently, a non-parametric model aggregated the optimal solutions from these key states to predict outcomes. Our dataset included 90 BMs from 62 NSCLC patients, and 3-month post-SRS T1+c MR image features, seven NSCLC genomic features, and seven clinical features were analyzed. An 8:2 train/test assignment was employed, and five independent models were trained to ensure robustness. Performance was benchmarked in sensitivity, specificity, accuracy, and ROCAUC, and results were compared against (1) a DNN using only image-based features, and (2) a combined "I+G+C" features without the HBNODE model.ResultsThe temporal evolution of gradient vectors and potential fields in F suggested that clinical features contribute the most during the initial stages of the HBNODE implementation, followed by imagery features taking dominance in the latter ones, while genomic features contribute the least throughout the process. The HBNODE model successfully identified and assembled key intermediate states, exhibiting competitive performance with an ROCAUC of 0.88 +/- 0.04, sensitivity of 0.79 +/- 0.02, specificity of 0.86 +/- 0.01, and accuracy of 0.84 +/- 0.01, where the uncertainties represent standard deviations. For comparison, the image-only DNN model achieved an ROCAUC of 0.71 +/- 0.05 and sensitivity of 0.66 +/- 0.32 (p = 0.086), while the "I+G+C" model without HBNODE reported an ROCAUC of 0.81 +/- 0.02 and sensitivity of 0.58 +/- 0.11 (p = 0.091).ConclusionThe HBNODE model effectively identifies BM radionecrosis from recurrence, enhancing explainability within XAI frameworks. Its performance encourages further exploration in clinical settings and suggests potential applicability across various XAI domains.</t>
  </si>
  <si>
    <t>Zhao, Jingtong; Vaios, Eugene; Yang, Zhenyu; Lu, Ke; Floyd, Scott; Yang, Deshan; Ji, Hangjie; Reitman, Zachary J.; Lafata, Kyle J.; Fecci, Peter; Kirkpatrick, John P.; Wang, Chunhao</t>
  </si>
  <si>
    <t>Wang, CH (corresponding author), Duke Univ, Med Ctr, Dept Radiat Oncol, Box 3295, Durham, NC 27710 USA.</t>
  </si>
  <si>
    <t>chunhao.wang@duke.edu</t>
  </si>
  <si>
    <t>NIH</t>
  </si>
  <si>
    <t>This work is partially supported by NIH CA014236 and NIH/NCI R38 Award 5R38-CA245204.</t>
  </si>
  <si>
    <t>[Zhao, Jingtong; Vaios, Eugene; Lu, Ke; Floyd, Scott; Yang, Deshan; Reitman, Zachary J.; Lafata, Kyle J.; Kirkpatrick, John P.; Wang, Chunhao] Duke Univ, Deparment Radiat Oncol, Durham, NC USA; [Yang, Zhenyu] Duke Kunshan Univ, Med Phys Grad Program, Kunshan, Jiangsu, Peoples R China; [Ji, Hangjie] North Carolina State Univ, Dept Math, Raleigh, NC USA; [Lafata, Kyle J.] Duke Univ, Dept Radiol, Durham, NC USA; [Lafata, Kyle J.] Duke Univ, Dept Elect &amp; Comp Engn, Durham, NC USA; [Fecci, Peter] Duke Univ, Dept Neurosurg, Durham, NC USA</t>
  </si>
  <si>
    <t>Duke University; Duke Kunshan University; North Carolina State University; Duke University; Duke University; Duke University</t>
  </si>
  <si>
    <t>Radiogenomic explainable AI with neural ordinary differential equation for identifying post-SRS brain metastasis radionecrosis</t>
  </si>
  <si>
    <t>deep learning; explainability; neural ODE; treatment response; visualization</t>
  </si>
  <si>
    <t>RADIATION NECROSIS; STEREOTACTIC RADIOSURGERY; TUMOR PROGRESSION; RECURRENCE; MACHINE; GLIOMA</t>
  </si>
  <si>
    <t>Lu, Ke/GQR-0992-2022; Ji, Hangjie/AES-7717-2022; Yang, Zhenyu/OXC-8601-2025; Zhao, Jingtong/LRC-0122-2024</t>
  </si>
  <si>
    <t>Fecci, Peter/0000-0002-2912-8695; Ji, Hangjie/0000-0001-7613-8522; floyd, scott/0000-0002-8067-2426</t>
  </si>
  <si>
    <t>2661</t>
  </si>
  <si>
    <t>2674</t>
  </si>
  <si>
    <t>10.1002/mp.17635</t>
  </si>
  <si>
    <t>http://dx.doi.org/10.1002/mp.17635</t>
  </si>
  <si>
    <t>0ZX4L</t>
  </si>
  <si>
    <t>39878595</t>
  </si>
  <si>
    <t>WOS:001408184500001</t>
  </si>
  <si>
    <t>Bronze; Green Submitted</t>
  </si>
  <si>
    <t>Mezrich, JL</t>
  </si>
  <si>
    <t>As use of artificial intelligence algorithms in clinical practice becomes more commonplace, radiologists may become overconfident in the abilities of these applications or succumb to automation bias. However misplaced confidence in artificial intelligence may have legal implications. This article makes a number of recommendations for radiologists to help temper biases and limit liability as algorithms become more prevalent in practice.</t>
  </si>
  <si>
    <t>Mezrich, Jonathan L.</t>
  </si>
  <si>
    <t>Mezrich, JL (corresponding author), Yale Sch Med, Dept Diagnost Radiol &amp; Biomed Imaging, 333 Cedar St,TE2, New Haven, CT 06520 USA.</t>
  </si>
  <si>
    <t>Jonathan.Mezrich@yale.edu</t>
  </si>
  <si>
    <t>[Mezrich, Jonathan L.] Yale Sch Med, Dept Diagnost Radiol &amp; Biomed Imaging, 333 Cedar St,TE2, New Haven, CT 06520 USA</t>
  </si>
  <si>
    <t>Yale University</t>
  </si>
  <si>
    <t>Automation bias and overconfidence in artificial intelligence and associated legal implications</t>
  </si>
  <si>
    <t>CLINICAL IMAGING</t>
  </si>
  <si>
    <t>Medicolegal; Artificial intelligence; Automation bias; Overconfidence; Malpractice</t>
  </si>
  <si>
    <t>MEZRICH, JONATHAN/OYD-9424-2025</t>
  </si>
  <si>
    <t>0899-7071</t>
  </si>
  <si>
    <t>1873-4499</t>
  </si>
  <si>
    <t>CLIN IMAG</t>
  </si>
  <si>
    <t>Clin. Imaging</t>
  </si>
  <si>
    <t>132</t>
  </si>
  <si>
    <t>110745</t>
  </si>
  <si>
    <t>10.1016/j.clinimag.2026.110745</t>
  </si>
  <si>
    <t>http://dx.doi.org/10.1016/j.clinimag.2026.110745</t>
  </si>
  <si>
    <t>DQ1TD</t>
  </si>
  <si>
    <t>41671903</t>
  </si>
  <si>
    <t>WOS:001689434500001</t>
  </si>
  <si>
    <t>Mahir, SH; Tashrif, MTA; Shathe, AS; Karim, MA; Rahman, A; Kundu, D; Debnath, T; Muhammad, G</t>
  </si>
  <si>
    <t>Monkeypox has emerged as a critical global health concern, demanding timely and precise diagnostic measures to control its spread. Despite its similarity to other pox viruses, accurate detection is hindered by the scarcity of privacy-protected medical imaging data, which complicates the application of conventional deep learning methods. In response, this paper introduces a secure and privacy-preserving framework that combines generative adversarial networks (GANs) for data augmentation with explainable artificial intelligence (XAI) for enhanced interpretability. Using StyleGAN2_ADA, we synthesize a wide range of image samples to address data imbalance, thus improving the robustness of the training process. We further merge established convolutional neural networks such as ResNet18, ResNet50, MobileNetV3, and DenseNet121 with Vision Transformers (ViT) to create a suite of hybrid architectures. These models operate within a Flower-based federated learning ecosystem, enabling large-scale collaborative training without exposing sensitive patient information. In addition, XAI methods provide actionable insights into the decision-making of each model, thereby fostering transparency and clinical trust. Empirical tests show that the hybrid DenseNet121-ViT-B32 model achieves 98.2% precision, 95.25% recall, and 96% F1 Score, thus validating the prospects of our federated, GAN-enhanced, and XAI-supported solution for precise monkeypox detection. This framework demonstrates real-world applicability by enabling secure and scalable diagnosis, with GAN-based augmentation increasing dataset size by over 700%, significantly boosting model generalization. The research underscores the need to balance privacy-centric interventions and explainable deep models in the treatment of emerging infectious diseases and the protection of global public health.</t>
  </si>
  <si>
    <t>Mahir, Shahariar Hossain; Tashrif, Md Tanjum An; Shathe, Aysha Siddika; Karim, Md Ahsan; Rahman, Anichur; Kundu, Dipanjali; Debnath, Tanoy; Muhammad, Ghulam</t>
  </si>
  <si>
    <t>Rahman, A (corresponding author), Univ Dhaka, Natl Inst Text Engn &amp; Res NITER, Dept Comp Sci &amp; Engn, Constituent Inst, Kohinur Gate,Dhaka Aricha Highway, Dhaka, Bangladesh.; Rahman, A (corresponding author), Georgia Southern Univ, Allen E Paulson Coll Engn &amp; Comp, Dept Informat Technol, Statesboro, GA 30458 USA.; Muhammad, G (corresponding author), King Saud Univ, Coll Comp &amp; Informat Sci, Res Chair Pervas &amp; Mobile Comp, Dept Comp Engn, Riyadh 12372, Saudi Arabia.</t>
  </si>
  <si>
    <t>ghulam@ksu.edu.sa; anis_cse@niter.edu.bd</t>
  </si>
  <si>
    <t>King Saud University, Riyadh, Saudi Arabia [ORF-RC-2025-0700]</t>
  </si>
  <si>
    <t>This work was funded by the Ongoing Research Funding Program-Research Chairs (ORF-RC-2025-0700), King Saud University, Riyadh, Saudi Arabia.</t>
  </si>
  <si>
    <t>[Mahir, Shahariar Hossain; Tashrif, Md Tanjum An; Shathe, Aysha Siddika; Karim, Md Ahsan; Rahman, Anichur; Kundu, Dipanjali] Univ Dhaka, Natl Inst Text Engn &amp; Res NITER, Dept Comp Sci &amp; Engn, Constituent Inst, Kohinur Gate,Dhaka Aricha Highway, Dhaka, Bangladesh; [Rahman, Anichur] Georgia Southern Univ, Allen E Paulson Coll Engn &amp; Comp, Dept Informat Technol, Statesboro, GA 30458 USA; [Debnath, Tanoy] SUNY Stony Brook, Dept Comp Sci, Stony Brook, NY USA; [Muhammad, Ghulam] King Saud Univ, Coll Comp &amp; Informat Sci, Res Chair Pervas &amp; Mobile Comp, Dept Comp Engn, Riyadh 12372, Saudi Arabia</t>
  </si>
  <si>
    <t>University of Dhaka; Georgia Southern University; University System of Georgia; Georgia Southern University; State University of New York (SUNY) System; Stony Brook University; King Saud University</t>
  </si>
  <si>
    <t>PriFL-XAI: Hybrid privacy-preserving federated learning models for monkeypox detection through GAN augmentation and explainable AI</t>
  </si>
  <si>
    <t>Monkeypox; GAN augmentation; StyleGAN2_ADA; Federated learning; XAI; Grad-CAM; LIME; ViT; DenseNet; Transfer learning</t>
  </si>
  <si>
    <t>Muhammad, Ghulam/H-5884-2011; Rahman, Anichur/AAZ-2506-2020; , Tanjum An Tashrif/PDY-0909-2025; Debnath, Tanoy/MEO-1735-2025</t>
  </si>
  <si>
    <t>Mahir, Shahriar Hossain/0009-0006-5553-4124; Muhammad, Ghulam/0000-0002-9781-3969; Karim, Ahsan/0009-0001-5024-8448; Rahman, Anichur/0000-0002-2691-1748; , Tanjum An Tashrif/0009-0004-5105-4823; Debnath, Tanoy/0000-0002-3207-9855</t>
  </si>
  <si>
    <t>108426</t>
  </si>
  <si>
    <t>10.1016/j.bspc.2025.108426</t>
  </si>
  <si>
    <t>http://dx.doi.org/10.1016/j.bspc.2025.108426</t>
  </si>
  <si>
    <t>6EN5B</t>
  </si>
  <si>
    <t>WOS:001551462100001</t>
  </si>
  <si>
    <t>Huang, JE</t>
  </si>
  <si>
    <t>Explainability is considered essential in enabling artificial intelligence (AI) in some crucial industries, e.g., healthcare and banking. However, conventional algorithms suffer a trade-off between readability and performance, encouraging the emergence of explainable AI. In this paper, we propose a novel method to form the hierarchical Choquet integral (HCI) as an explainable AI to retain the model's accuracy and explainability. To achieve this purpose, we first adopted neuroevolution, which combines a genetic algorithm (GA) and a neural network (NN), and pruned weights to obtain information about the hierarchical decomposition of the Choquet integral. We then fine-tuned the weights of the HCI model for the classification problem. In addition, we use four datasets to illustrate the proposed algorithm and compare the results with the conventional classifiers: decision tree, deep learning, and support vector machine (SVM). The empirical results indicate that the proposed algorithm outperforms others in terms of accuracy, and keeps the Choquet integral's explainable property, justifying this paper's contribution.</t>
  </si>
  <si>
    <t>Huang, Jih-Jeng</t>
  </si>
  <si>
    <t>Huang, JE (corresponding author), SooChow Univ, Dept Comp Sci &amp; Informat Management, 56 Kueiyang St,Sect 1, Taipei 100, Taiwan.</t>
  </si>
  <si>
    <t>jjhuang@scu.edu.tw</t>
  </si>
  <si>
    <t>[Huang, Jih-Jeng] SooChow Univ, Dept Comp Sci &amp; Informat Management, 56 Kueiyang St,Sect 1, Taipei 100, Taiwan</t>
  </si>
  <si>
    <t>Soochow University</t>
  </si>
  <si>
    <t>Building the hierarchical Choquet integral as an explainable AI classifier via neuroevolution and pruning</t>
  </si>
  <si>
    <t>FUZZY OPTIMIZATION AND DECISION MAKING</t>
  </si>
  <si>
    <t>Explainable AI; Hierarchical Choquet integral; Neuroevolution; Genetic algorithm (GA); Neural network (NN)</t>
  </si>
  <si>
    <t>DECOMPOSITION</t>
  </si>
  <si>
    <t>Huang, Jih-Jeng/QKY-8562-2026</t>
  </si>
  <si>
    <t>Huang, Jih-Jeng/0000-0002-7965-7165</t>
  </si>
  <si>
    <t>1568-4539</t>
  </si>
  <si>
    <t>1573-2908</t>
  </si>
  <si>
    <t>FUZZY OPTIM DECIS MA</t>
  </si>
  <si>
    <t>Fuzzy Optim. Decis. Mak.</t>
  </si>
  <si>
    <t>10.1007/s10700-022-09384-1</t>
  </si>
  <si>
    <t>http://dx.doi.org/10.1007/s10700-022-09384-1</t>
  </si>
  <si>
    <t>Computer Science, Artificial Intelligence; Operations Research &amp; Management Science</t>
  </si>
  <si>
    <t>Computer Science; Operations Research &amp; Management Science</t>
  </si>
  <si>
    <t>8Y6KB</t>
  </si>
  <si>
    <t>WOS:000763214500001</t>
  </si>
  <si>
    <t>Jacobs, BA; Cano, L; Bradley, JM</t>
  </si>
  <si>
    <t>Introduction Advances in artificial intelligence (AI) offer promising opportunities to enrich medical education by supporting self-directed learning, providing personalized feedback, and simulating clinical and scientific reasoning. Although AI use has expanded in graduate medical education for clinical decision training and administrative support, its effectiveness in undergraduate medical education remains insufficiently established. Empirical data examining how AI instruction influences academic performance, knowledge consolidation, engagement, and critical thinking are limited. This study evaluated whether incorporating AI-patient-based simulations into classroom activities enhances learning outcomes and student experience within an integrated osteopathic medical school curriculum.Methods Using a mixed-methods survey design, quantitative and qualitative data were collected and analyzed to examine students' perceptions of faculty-developed AI-patient-based simulations integrated into classroom instruction.Results Students reported that AI-patient-based simulations supported engagement, reinforced learning, and facilitated application of clinical reasoning concepts. Qualitative findings suggested that the simulations promoted active participation and encouraged self-directed learning while highlighting the importance of faculty guidance in interpreting AI-generated content.Discussion Overall, findings suggest that AI-patient-based simulations can provide meaningful support to medical student learning when thoughtfully integrated into the curriculum and accompanied by explicit instruction regarding limitations, ethical considerations, and responsible AI use. Further research is needed to determine the long-term effects of AI-assisted instruction on academic performance and critical thinking development.</t>
  </si>
  <si>
    <t>Jacobs, Blaine A.; Cano, Leslie; Bradley, Jessica M.</t>
  </si>
  <si>
    <t>Bradley, JM (corresponding author), Univ Incarnate Word, Dept Appl Biomed Sci, Sch Osteopath Med, San Antonio, TX 78209 USA.</t>
  </si>
  <si>
    <t>jmbradle@uiwtx.edu</t>
  </si>
  <si>
    <t>[Jacobs, Blaine A.; Bradley, Jessica M.] Univ Incarnate Word, Dept Appl Biomed Sci, Sch Osteopath Med, San Antonio, TX 78209 USA; [Cano, Leslie] Univ Incarnate Word, Off Fac Dev, Sch Osteopath Med, San Antonio, TX USA</t>
  </si>
  <si>
    <t>University Incarnate Word; University Incarnate Word</t>
  </si>
  <si>
    <t>Integrating AI into undergraduate medical education: an exploration of learner-centered approaches through AI</t>
  </si>
  <si>
    <t>artificial intelligence; integrative curriculum; learner-centered; patient-based simulation; undergraduate medical education</t>
  </si>
  <si>
    <t>Bradley, Jessica/AAA-6933-2022</t>
  </si>
  <si>
    <t>1824069</t>
  </si>
  <si>
    <t>10.3389/fmed.2026.1824069</t>
  </si>
  <si>
    <t>http://dx.doi.org/10.3389/fmed.2026.1824069</t>
  </si>
  <si>
    <t>JA1CQ</t>
  </si>
  <si>
    <t>42254388</t>
  </si>
  <si>
    <t>WOS:001784434600001</t>
  </si>
  <si>
    <t>Arshad, M; Khan, MA; Almujally, NA; Alasiry, A; Marzougui, M; Nam, Y</t>
  </si>
  <si>
    <t>Background and objectiveEarly detection and classification of skin cancer are critical for improving patient outcomes. Dermoscopic image analysis using Computer-Aided Diagnostics (CAD) is a powerful tool to assist dermatologists in identifying and classifying skin lesions. Traditional machine learning models require extensive feature engineering, which is time-consuming and less effective in handling complex data like skin lesions. This study proposes a deep learning-based network-level fusion architecture that integrates multiple deep models to enhance the classification and localization of skin lesions in dermoscopic images. The goal is to address challenges like irregular lesion shapes, inter-class similarities, and class imbalances while providing explainability through artificial intelligence.MethodsA novel hybrid contrast enhancement technique was applied for pre-processing and dataset augmentation. Two deep learning models, a 5-block inverted residual network and a 6-block inverted bottleneck network, were designed and fused at the network level using a depth concatenation approach. The models were trained using Bayesian optimization for hyperparameter tuning. Feature extraction was performed with a global average pooling layer, and shallow neural networks were used for final classification. Explainable AI techniques, including LIME, were used to interpret model predictions and localize lesion regions. Experiments were conducted on two publicly available datasets, HAM10000 and ISIC2018, which were split into training and testing sets.ResultsThe proposed fused architecture achieved high classification accuracy, with results of 91.3% and 90.7% on the HAM10000 and ISIC2018 datasets, respectively. Sensitivity, precision, and F1-scores were significantly improved after data augmentation, with precision rates of up to 90.91%. The explainable AI component effectively localized lesion areas with high confidence, enhancing the model's interpretability.ConclusionsThe network-level fusion architecture combined with explainable AI techniques significantly improved the classification and localization of skin lesions. The augmentation and contrast enhancement processes enhanced lesion visibility, while fusion of models optimized classification accuracy. This approach shows potential for implementation in CAD systems for skin cancer diagnosis, although future work is required to address the limitations of computational resource requirements and training time.Clinical trail numberNot applicable.</t>
  </si>
  <si>
    <t>Arshad, Mehak; Khan, Muhammad Attique; Almujally, Nouf Abdullah; Alasiry, Areej; Marzougui, Mehrez; Nam, Yunyoung</t>
  </si>
  <si>
    <t>Khan, MA (corresponding author), HITEC Univ, Dept Comp Sci, Taxila 47080, Pakistan.; Nam, Y (corresponding author), Soonchunhyang Univ, Dept ICT Convergence, Asan 31538, South Korea.</t>
  </si>
  <si>
    <t>naalmujally@pnu.edu.sa; ynam@sch.ac.kr; attique.khan@ieee.org; areej.alasiry@kku.edu.sa; mhrez@kku.edu.sa</t>
  </si>
  <si>
    <t>National Research Foundation of Korea(NRF) - Korea government (MSIT) [RS-2023-00218176]; Soonchunhyang University Research Fund [PNURSP2025R410]; Princess Nourah bint Abdulrahman University, Riyadh, Saudi Arabia; Deanship of Research and Graduate Studies at King Khalid University [RGP2/471/46]</t>
  </si>
  <si>
    <t>National Research Foundation of Korea(NRF) - Korea government (MSIT) (National Research Foundation of Korea, Ministry of Science &amp; ICT (MMSTI)); Soonchunhyang University Research Fund (Soonchunhyang University Research Fund); Princess Nourah bint Abdulrahman University, Riyadh, Saudi Arabia (Princess Nourah bint Abdulrahman University); Deanship of Research and Graduate Studies at King Khalid University</t>
  </si>
  <si>
    <t>This work was supported by the National Research Foundation of Korea(NRF) grant funded by the Korea government (MSIT) (No. RS-2023-00218176) and the Soonchunhyang University Research Fund. This work was supported through Princess Nourah bint Abdulrahman University Researchers Supporting Project number (PNURSP2025R410), Princess Nourah bint Abdulrahman University, Riyadh, Saudi Arabia. The authors extend their appreciation to the Deanship of Research and Graduate Studies at King Khalid University for funding this work through Large Research Project under grant number RGP2/471/46.</t>
  </si>
  <si>
    <t>[Arshad, Mehak; Khan, Muhammad Attique] HITEC Univ, Dept Comp Sci, Taxila 47080, Pakistan; [Almujally, Nouf Abdullah] Princess Nourah Bint Abdulrahman Univ, Coll Comp &amp; Informat Sci, Dept Informat Syst, POB 84428, Riyadh 11671, Saudi Arabia; [Alasiry, Areej; Marzougui, Mehrez] King Khalid Univ, Coll Comp Sci, Abha 61413, Saudi Arabia; [Nam, Yunyoung] Soonchunhyang Univ, Dept ICT Convergence, Asan 31538, South Korea</t>
  </si>
  <si>
    <t>HITEC University; Princess Nourah bint Abdulrahman University; King Khalid University; Soonchunhyang University</t>
  </si>
  <si>
    <t>Multiclass skin lesion classification and localziation from dermoscopic images using a novel network-level fused deep architecture and explainable artificial intelligence</t>
  </si>
  <si>
    <t>Dermoscopy; Skin cancer; Deep learning; Network-level fusion; Shallow neural network; Explainable artificial intelligence</t>
  </si>
  <si>
    <t>ALMUJALLY, NOUF/HJI-8835-2023; Alasiry, Areej/LIC-0911-2024; Marzougui, Mehrez/IQR-9887-2023; Khan, Dr. Muhammad/AAX-2644-2021; Nam, Yunyoung/AAI-4536-2020</t>
  </si>
  <si>
    <t>Marzougui, Mehrez/0000-0003-0445-5371</t>
  </si>
  <si>
    <t>JUL 1 2025</t>
  </si>
  <si>
    <t>215</t>
  </si>
  <si>
    <t>10.1186/s12911-025-03051-2</t>
  </si>
  <si>
    <t>http://dx.doi.org/10.1186/s12911-025-03051-2</t>
  </si>
  <si>
    <t>4OM4Q</t>
  </si>
  <si>
    <t>40597254</t>
  </si>
  <si>
    <t>WOS:001522890500026</t>
  </si>
  <si>
    <t>Ramos, MD; Smith, R; Allen, R; Giarratano, G</t>
  </si>
  <si>
    <t>Background: Artificial intelligence (AI) systems increasingly mediate nursing decisions globally, from clinical assessments to care planning. While technical explainability receives attention, the concept of conscious justification-deliberate, reasoned articulation of AI-mediated decisions addressable to stakeholders-remains poorly defined, impeding development of international standards for responsible AI deployment in nursing. Objective: To analyze the concept of conscious justification in artificial intelligence use. Design: Concept analysis employing Walker and Avant's methodology. Methods: Systematic search of CINAHL, Google Scholar, PubMed, and arXiv databases (2015-2025). Thematic synthesis following Walker and Avant's eight-step framework: concept selection, aims determination, uses identification, defining attributes determination, model case development, additional cases development, antecedents and consequences identification, and empirical referents definition. Results: Conscious justification is defined as the deliberate, reasoned articulation of AI-mediated decisions providing intelligible, normatively relevant explanations addressable to affected stakeholders, enabling understanding, evaluation, and challenge. Six defining attributes emerged: (1) intentional-stance reasoning-explaining decisions as goal-directed actions; (2) normative transparency-making value commitments explicit; (3) relational answerability-recognizing stakeholders' standing to demand reasons; (4) context-sensitive deliberation-adapting reasoning to situational particulars; (5) epistemic humility-acknowledging uncertainty and limitations; (6) auditability-systematically documenting decision rationales. Antecedents include technical infrastructure, normative specification, institutional accountability structures, AI literacy, design intentionality, and sociotechnical alignment. Consequences encompass enhanced accountability, improved trust, better decision quality, moral learning, and stakeholder empowerment, with potential risks including justification theater, cognitive overload, cultural imposition, and resource burdens. Conclusions: Conscious justification bridges technical explainability and ethical accountability, essential for responsible AI deployment in nursing globally. Implementation requires coordinated attention to technical systems, normative frameworks, institutional structures, and professional competencies, with particular attention to cultural context and resource variations across healthcare systems.</t>
  </si>
  <si>
    <t>Ramos, Mary Dioise; Smith, Richard; Allen, Rodmistrial; Giarratano, Gloria</t>
  </si>
  <si>
    <t>Ramos, MD (corresponding author), Louisiana State Univ, Hlth Sci Ctr, 1900 Gravier St, New Orleans, LA 70112 USA.</t>
  </si>
  <si>
    <t>mramo1@lsuhsc.edu</t>
  </si>
  <si>
    <t>[Ramos, Mary Dioise; Smith, Richard; Allen, Rodmistrial; Giarratano, Gloria] Louisiana State Univ, Hlth Sci Ctr, Sch Nursing, New Orleans, LA USA; [Ramos, Mary Dioise] Louisiana State Univ, Hlth Sci Ctr, 1900 Gravier St, New Orleans, LA 70112 USA</t>
  </si>
  <si>
    <t>Louisiana State University System; Louisiana State University Health Sciences Center New Orleans; Louisiana State University System; Louisiana State University Health Sciences Center New Orleans</t>
  </si>
  <si>
    <t>Conscious justification in using artificial intelligence: A concept analysis for global nursing practice</t>
  </si>
  <si>
    <t>INTERNATIONAL JOURNAL OF NURSING STUDIES</t>
  </si>
  <si>
    <t>Artificial intelligence; Concept analysis; Accountability; Nursing ethics; Clinical decision support; Technology in healthcare</t>
  </si>
  <si>
    <t>Ramos, Mary/AAH-2150-2021; Giarratano, Gloria/A-8365-2009</t>
  </si>
  <si>
    <t>0020-7489</t>
  </si>
  <si>
    <t>1873-491X</t>
  </si>
  <si>
    <t>INT J NURS STUD</t>
  </si>
  <si>
    <t>Int. J. Nurs. Stud.</t>
  </si>
  <si>
    <t>OCT 2026</t>
  </si>
  <si>
    <t>105623</t>
  </si>
  <si>
    <t>10.1016/j.ijnurstu.2026.105623</t>
  </si>
  <si>
    <t>http://dx.doi.org/10.1016/j.ijnurstu.2026.105623</t>
  </si>
  <si>
    <t>Nursing</t>
  </si>
  <si>
    <t>KO9DK</t>
  </si>
  <si>
    <t>42364428</t>
  </si>
  <si>
    <t>WOS:001812105400001</t>
  </si>
  <si>
    <t>Tazkarji, MY; Chou, CH; Hamadeh, G</t>
  </si>
  <si>
    <t>PurposeDespite immense growth in artificial intelligence (AI) within healthcare enterprise systems, early-stage adoption remains furrowed. By privileging technical capability and individual acceptance, existing research underexplains AI adoption in professionalized, high-stakes contexts where accountability structures, autonomy and decision rights shape outcomes. This study examines early AI adoption through a governance-centric lens by framing it as an enterprise information governance challenge.Design/methodology/approachA mixed-methods design was adopted to interview physicians working in private hospitals across three Arab Peninsula countries undergoing rapid digital transformation. The grounded theory method was used to identify physician-perceived organizational, technological and people barriers to AI adoption, followed by the Bradley-Terry Model to rank their relative salience using expert pairwise comparisons.FindingsGovernance-related barriers were more salient than technological or people-related barriers. These barriers function as mechanisms that structure interactions among enterprise technologies, professional expertise and accountability regimes. Organizational readiness emerged configurationally, which reflected alignment among decision rights, accountability structures and professional roles rather than additive readiness factors.Originality/valueThis study advances enterprise information management theory by positioning AI governance as a central dimension of organizational readiness in professionalized settings. It refines the technology-organization-environment framework and institutional perspectives by foregrounding governance mechanisms. It also offers practical guidance for designing governance arrangements that enable AI integration while preserving professional autonomy and organizational control.</t>
  </si>
  <si>
    <t>Tazkarji, Mohamed Y.; Chou, Chen-Huei; Hamadeh, Gracia</t>
  </si>
  <si>
    <t>Tazkarji, MY (corresponding author), Coll Charleston, Dept Supply Chain &amp; Informat Management, Charleston, SC 29424 USA.</t>
  </si>
  <si>
    <t>gracia.hamadeh@gmail.com; chouc@cofc.edu; tazkarjim@cofc.edu</t>
  </si>
  <si>
    <t>[Tazkarji, Mohamed Y.] Coll Charleston, Dept Supply Chain &amp; Informat Management, Charleston, SC 29424 USA; [Chou, Chen-Huei] Coll Charleston, Charleston, SC USA; [Hamadeh, Gracia] Amer Univ Beirut, Beirut, Lebanon</t>
  </si>
  <si>
    <t>College of Charleston; College of Charleston; American University of Beirut</t>
  </si>
  <si>
    <t>Prioritizing barriers to AI adoption in healthcare enterprise systems: a mixed-methods approach to governance and readiness</t>
  </si>
  <si>
    <t>JOURNAL OF ENTERPRISE INFORMATION MANAGEMENT</t>
  </si>
  <si>
    <t>Enterprise AI governance; Bradley-Terry model; Grounded theory methodology; Artificial intelligence; High-stakes environments</t>
  </si>
  <si>
    <t>ARTIFICIAL-INTELLIGENCE; INFORMATION-TECHNOLOGY; USER ACCEPTANCE; MODEL</t>
  </si>
  <si>
    <t>EMERALD GROUP PUBLISHING LTD</t>
  </si>
  <si>
    <t>Leeds</t>
  </si>
  <si>
    <t>Floor 5, Northspring 21-23 Wellington Street, Leeds, W YORKSHIRE, ENGLAND</t>
  </si>
  <si>
    <t>1741-0398</t>
  </si>
  <si>
    <t>1758-7409</t>
  </si>
  <si>
    <t>J ENTERP INF MANAG</t>
  </si>
  <si>
    <t>J. Enterp. Inf. Manag.</t>
  </si>
  <si>
    <t>10.1108/JEIM-12-2025-1253</t>
  </si>
  <si>
    <t>http://dx.doi.org/10.1108/JEIM-12-2025-1253</t>
  </si>
  <si>
    <t>Computer Science, Interdisciplinary Applications; Information Science &amp; Library Science; Management</t>
  </si>
  <si>
    <t>EI6UJ</t>
  </si>
  <si>
    <t>WOS:001702003600001</t>
  </si>
  <si>
    <t>Parduzi, Q; Wermelinger, J; Koller, SD; Sariyar, M; Schneider, U; Raabe, A; Seidel, K</t>
  </si>
  <si>
    <t>Background: Intraoperative neurophysiological monitoring (IONM) guides the surgeon in ensuring motor pathway integrity during high-risk neurosurgical and orthopedic procedures. Although motor-evoked potentials (MEPs) are valuablefor predicting motor outcomes, the key features of predictive signals are not well understood, and standardized warning criteria are lacking. Developing a muscle identification prediction model could increase patient safety while allowing the exploration of relevant features for the task. Objective: The aim of this study is to expand the development of machine learning (ML) methods for muscle classification and evaluate them in a bicentric setup. Further, we aim to identify key features of MEP signals that contribute to accurate muscle classification using explainable artificial intelligence (XAI)techniques. Methods: This study used ML and deep learning models, specifically randomforest (RF) classifiers and convolutional neural networks (CNNs), to classify MEP signals from routine supratentorial neurosurgical procedures from two medical centers according to muscle identity of four muscles (extensor digitorum, abductor pollicis brevis, tibialis anterior, and abductor hallucis). The algorithms were trained and validated on a total of 36,992 MEPs from 151 surgeries in one center, and they were tested on 24,298 MEPs from 58 surgeries from the other center. Depending on the algorithm, time-series, feature-engineered, and time-frequency representations of the MEP data were used. XAI techniques, specifically Shapley Additive Explanation (SHAP) values and gradient class activation maps (Grad-CAM), were implemented to identify important signal features. Results: High classification accuracy was achieved with the RF classifier, reaching 87.9% accuracy on the validation set and 80% accuracy on the test set. The 1D-and 2D-CNNs demonstrated comparably strong performance. Our XAI findings indicate that frequency components and peak latencies are crucial for accurate MEP classification, providing insights that could inform intraoperative warning criteria. Conclusions: This study demonstrates the effectiveness of ML techniques and the importance of XAI in enhancing trust in and reliability of artificial intelligence-driven IONM applications. Further, it may help to identify new intrinsic features of MEP signals so far overlooked in conventional warning criteria. By reducing the risk of muscle mislabeling and by providing the basis for possible new warning criteria, this study may help to increase patient safety during surgical procedures.</t>
  </si>
  <si>
    <t>Parduzi, Qendresa; Wermelinger, Jonathan; Koller, Simon Domingo; Sariyar, Murat; Schneider, Ulf; Raabe, Andreas; Seidel, Kathleen</t>
  </si>
  <si>
    <t>Parduzi, Q (corresponding author), Lucerne Cantonal Hosp, Dept Neurosurg, Spitalstr, CH-6000 Luzern, Switzerland.</t>
  </si>
  <si>
    <t>qendresa.parduzi@students.unibe.ch</t>
  </si>
  <si>
    <t>[Parduzi, Qendresa] Univ Bern, Grad Sch Hlth Sci, Bern, Switzerland; [Parduzi, Qendresa; Wermelinger, Jonathan; Raabe, Andreas; Seidel, Kathleen] Univ Bern, Bern Univ Hosp, Inselspital, Dept Neurosurg, Bern, Switzerland; [Parduzi, Qendresa; Schneider, Ulf] Lucerne Cantonal Hosp, Dept Neurosurg, Luzern, Switzerland; [Koller, Simon Domingo; Sariyar, Murat] Bern Univ Appl Sci, Sch Engn &amp; Comp Sci, Biel, Switzerland</t>
  </si>
  <si>
    <t>University of Bern; University of Bern; University Hospital of Bern; Lucerne Cantonal Hospital</t>
  </si>
  <si>
    <t>Explainable AI for Intraoperative Motor-Evoked Potential Muscle Classification in Neurosurgery: Bicentric Retrospective Study</t>
  </si>
  <si>
    <t>intraoperative neuromonitoring; motor evoked potential; artificial intelligence; machine learning; deep learning; random forest; convolutional neural network; explainability; medical informatics; personalized medicine; neurophysiological; monitoring; orthopedic; motor; neurosurgery</t>
  </si>
  <si>
    <t>ANESTHETIZED HUMANS</t>
  </si>
  <si>
    <t>Schneider, Ulf/0000-0001-7352-7645; Koller, Simon Domingo Joao/0009-0002-7468-1059; Seidel, Kathleen/0000-0002-7360-3852; Wermelinger, Jonathan/0000-0003-1372-7690; Parduzi, Qenesa/0009-0007-2640-7246</t>
  </si>
  <si>
    <t>e63937</t>
  </si>
  <si>
    <t>10.2196/63937</t>
  </si>
  <si>
    <t>http://dx.doi.org/10.2196/63937</t>
  </si>
  <si>
    <t>1OC8O</t>
  </si>
  <si>
    <t>40127441</t>
  </si>
  <si>
    <t>WOS:001469638600006</t>
  </si>
  <si>
    <t>Karagoz, G; Ozcelebi, T; Meratnia, N</t>
  </si>
  <si>
    <t>In this study, a structured and methodological evaluation approach for eXplainable Artificial Intelligence (XAI) methods in medical image classification is proposed and implemented using LIME and SHAP explanations for chest X-ray interpretations. The evaluation framework integrates two critical perspectives: predictive model-centered and human-centered evaluations. Predictive model-centered evaluations examine the explanations' ability to reflect changes in input and output data and the internal model structure. Human-centered evaluations, conducted with 97 medical experts, assess trust, confidence, and agreements with AI's indicative and contra-indicative reasoning as well as their changes before and after provision of explainability. Key findings of our study include explanation of sensitivity of LIME and SHAP to model changes, their effectiveness in identifying critical features, and SHAP's significant impact on diagnosis changes. Our results show that both LIME and SHAP negatively affected contra-indicative agreement. Case-based analysis revealed AI explanations reinforce trust and agreement when participant's initial diagnoses are correct. In these cases, SHAP effectively facilitated correct diagnostic changes. This study establishes a benchmark for future research in XAI for medical image analysis, providing a robust foundation for evaluating and comparing different XAI methods.</t>
  </si>
  <si>
    <t>Karagoz, Gizem; Ozcelebi, Tanir; Meratnia, Nirvana</t>
  </si>
  <si>
    <t>Karagoz, G (corresponding author), Eindhoven Univ Technol, Math &amp; Comp Sci, NL-5612 AZ Eindhoven, Netherlands.</t>
  </si>
  <si>
    <t>g.karagoz@tue.nl; n.meratnia@tue.nl</t>
  </si>
  <si>
    <t>ITEA 3</t>
  </si>
  <si>
    <t>This research was funded by ITEA 3, Privacy preserving cross-organizational data analysis in the healthcare sector (Secure e-Health project).</t>
  </si>
  <si>
    <t>[Karagoz, Gizem; Ozcelebi, Tanir; Meratnia, Nirvana] Eindhoven Univ Technol, Math &amp; Comp Sci, NL-5612 AZ Eindhoven, Netherlands</t>
  </si>
  <si>
    <t>Eindhoven University of Technology</t>
  </si>
  <si>
    <t>XIMED: A Dual-Loop Evaluation Framework Integrating Predictive Model and Human-Centered Approaches for Explainable AI in Medical Imaging</t>
  </si>
  <si>
    <t>MACHINE LEARNING AND KNOWLEDGE EXTRACTION</t>
  </si>
  <si>
    <t>explainable AI; medical image explanations; XAI evaluation; human centered evaluation</t>
  </si>
  <si>
    <t>ARTIFICIAL-INTELLIGENCE; QUALITY ASSESSMENT; BLACK-BOX</t>
  </si>
  <si>
    <t>Karagoz, Gizem/0000-0003-1126-3239</t>
  </si>
  <si>
    <t>2504-4990</t>
  </si>
  <si>
    <t>MACH LEARN KNOW EXTR</t>
  </si>
  <si>
    <t>Mach. Learn. Knowl. Extr.</t>
  </si>
  <si>
    <t>DEC 17 2025</t>
  </si>
  <si>
    <t>168</t>
  </si>
  <si>
    <t>10.3390/make7040168</t>
  </si>
  <si>
    <t>http://dx.doi.org/10.3390/make7040168</t>
  </si>
  <si>
    <t>Computer Science, Artificial Intelligence; Computer Science, Interdisciplinary Applications; Engineering, Electrical &amp; Electronic</t>
  </si>
  <si>
    <t>AF6SE</t>
  </si>
  <si>
    <t>WOS:001647011200001</t>
  </si>
  <si>
    <t>Yasin, P; Yimit, Y; Cai, XY; Aimaiti, A; Sheng, WB; Mamat, M; Nijiati, M</t>
  </si>
  <si>
    <t>BackgroundTuberculosis spondylitis (TS), commonly known as Pott's disease, is a severe type of skeletal tuberculosis that typically requires surgical treatment. However, this treatment option has led to an increase in healthcare costs due to prolonged hospital stays (PLOS). Therefore, identifying risk factors associated with extended PLOS is necessary. In this research, we intended to develop an interpretable machine learning model that could predict extended PLOS, which can provide valuable insights for treatments and a web-based application was implemented.MethodsWe obtained patient data from the spine surgery department at our hospital. Extended postoperative length of stay (PLOS) refers to a hospitalization duration equal to or exceeding the 75th percentile following spine surgery. To identify relevant variables, we employed several approaches, such as the least absolute shrinkage and selection operator (LASSO), recursive feature elimination (RFE) based on support vector machine classification (SVC), correlation analysis, and permutation importance value. Several models using implemented and some of them are ensembled using soft voting techniques. Models were constructed using grid search with nested cross-validation. The performance of each algorithm was assessed through various metrics, including the AUC value (area under the curve of receiver operating characteristics) and the Brier Score. Model interpretation involved utilizing methods such as Shapley additive explanations (SHAP), the Gini Impurity Index, permutation importance, and local interpretable model-agnostic explanations (LIME). Furthermore, to facilitate the practical application of the model, a web-based interface was developed and deployed.ResultsThe study included a cohort of 580 patients and 11 features include (CRP, transfusions, infusion volume, blood loss, X-ray bone bridge, X-ray osteophyte, CT-vertebral destruction, CT-paravertebral abscess, MRI-paravertebral abscess, MRI-epidural abscess, postoperative drainage) were selected. Most of the classifiers showed better performance, where the XGBoost model has a higher AUC value (0.86) and lower Brier Score (0.126). The XGBoost model was chosen as the optimal model. The results obtained from the calibration and decision curve analysis (DCA) plots demonstrate that XGBoost has achieved promising performance. After conducting tenfold cross-validation, the XGBoost model demonstrated a mean AUC of 0.85 +/- 0.09. SHAP and LIME were used to display the variables' contributions to the predicted value. The stacked bar plots indicated that infusion volume was the primary contributor, as determined by Gini, permutation importance (PFI), and the LIME algorithm.ConclusionsOur methods not only effectively predicted extended PLOS but also identified risk factors that can be utilized for future treatments. The XGBoost model developed in this study is easily accessible through the deployed web application and can aid in clinical research.</t>
  </si>
  <si>
    <t>Yasin, Parhat; Yimit, Yasen; Cai, Xiaoyu; Aimaiti, Abasi; Sheng, Weibin; Mamat, Mardan; Nijiati, Mayidili</t>
  </si>
  <si>
    <t>Mamat, M (corresponding author), Xinjiang Med Univ, Affiliated Hosp 1, Dept Spine Surg, Urumqi 830054, Xinjiang, Peoples R China.; Nijiati, M (corresponding author), Xinjiang Med Univ, Xinjiang Hosp Tradit Chinese Med, Affiliated Hosp 4, Dept Radiol, Urumqi 830002, Xinjiang, Peoples R China.; Nijiati, M (corresponding author), Xinjiang Key Lab Artificial Intelligence Assisted, Kashi 844000, Xinjiang, Peoples R China.</t>
  </si>
  <si>
    <t>mydl0911@163.com; mardanmmtmx@163.com</t>
  </si>
  <si>
    <t>The second group of the Tianshan Talent Training Program: the Youth Support Talent Project</t>
  </si>
  <si>
    <t>Not applicable.</t>
  </si>
  <si>
    <t>[Yasin, Parhat] Xinjiang Med Univ, Affiliated Hosp 6, Dept Spine Surg, Urumqi 830000, Xinjiang, Peoples R China; [Yasin, Parhat; Cai, Xiaoyu; Sheng, Weibin; Mamat, Mardan] Xinjiang Med Univ, Affiliated Hosp 1, Dept Spine Surg, Urumqi 830054, Xinjiang, Peoples R China; [Yimit, Yasen] First Peoples Hosp Kashi Prefecture, Dept Radiol, Kashi 844000, Xinjiang, Peoples R China; [Aimaiti, Abasi] Xinjiang Med Univ, Affiliated Hosp 1, Dept Anesthesiol, Urumqi 830054, Xinjiang, Peoples R China; [Nijiati, Mayidili] Xinjiang Med Univ, Xinjiang Hosp Tradit Chinese Med, Affiliated Hosp 4, Dept Radiol, Urumqi 830002, Xinjiang, Peoples R China; [Nijiati, Mayidili] Xinjiang Key Lab Artificial Intelligence Assisted, Kashi 844000, Xinjiang, Peoples R China</t>
  </si>
  <si>
    <t>Xinjiang Medical University; Xinjiang Medical University; Xinjiang Medical University; Xinjiang Medical University</t>
  </si>
  <si>
    <t>Machine learning-enabled prediction of prolonged length of stay in hospital after surgery for tuberculosis spondylitis patients with unbalanced data: a novel approach using explainable artificial intelligence (XAI)</t>
  </si>
  <si>
    <t>EUROPEAN JOURNAL OF MEDICAL RESEARCH</t>
  </si>
  <si>
    <t>Machine learning; Tuberculosis spondylitis; Explainable artificial intelligence; Imbalanced data</t>
  </si>
  <si>
    <t>OPPORTUNITIES; DIAGNOSIS; FEATURES</t>
  </si>
  <si>
    <t>Yasin, Parhat/NKQ-5931-2025</t>
  </si>
  <si>
    <t>76</t>
  </si>
  <si>
    <t>0949-2321</t>
  </si>
  <si>
    <t>2047-783X</t>
  </si>
  <si>
    <t>EUR J MED RES</t>
  </si>
  <si>
    <t>Eur. J. Med. Res.</t>
  </si>
  <si>
    <t>JUL 25 2024</t>
  </si>
  <si>
    <t>383</t>
  </si>
  <si>
    <t>10.1186/s40001-024-01988-0</t>
  </si>
  <si>
    <t>http://dx.doi.org/10.1186/s40001-024-01988-0</t>
  </si>
  <si>
    <t>Medicine, Research &amp; Experimental</t>
  </si>
  <si>
    <t>Research &amp; Experimental Medicine</t>
  </si>
  <si>
    <t>ZU0J8</t>
  </si>
  <si>
    <t>39054495</t>
  </si>
  <si>
    <t>WOS:001277681800003</t>
  </si>
  <si>
    <t>Zalfani, M; Süle, E; Bakar, M</t>
  </si>
  <si>
    <t>Human-Centered Artificial Intelligence (HCAI) has emerged as a promising paradigm to increase transparency, usability, and trust in AI-driven Decision Support Systems (DSS). However, existing research lacks technically detailed accounts of how HCAI principles can be operationalized, implemented, and empirically validated in real decision environments. This study proposes a technically grounded HCAI-oriented DSS framework and presents a concrete prototype implemented in two high-stakes domains: clinical decision support and financial risk assessment. The architecture integrates interpretable machine learning models, SHAP-based explanations, structured user-feedback loops, and governance mechanisms aligned with the EU Trustworthy AI Guidelines. We trained and evaluated domain-specific models using publicly available medical and financial datasets, describing all data preprocessing, model selection, and hyperparameter settings to ensure reproducibility. An empirical study involving 30 domain experts (15 clinicians, 15 financial analysts) compared the HCAI-DSS with a functionally identical black-box DSS. Statistical analyses (paired t-tests with 95% confidence intervals and Cohen's d) revealed that the HCAI-DSS significantly improved trust (d = 1.23), transparency and understanding (+1.76 mean difference), usability (SUS difference = +15.4), and decision accuracy (+10.2%), without a significant increase in decision time (p = 0.08). Qualitative feedback further demonstrated that explanations, control, and human-in-the-loop features increased confidence and reduced uncertainty. The results provide empirical evidence that HCAI principles tangibly enhance DSS effectiveness and user acceptance. The study contributes (1) a reproducible technical implementation, (2) a validated HCAI-DSS architecture, and (3) multi-domain evidence of improved decision quality. These findings support sustainable and trustworthy AI adoption across sectors and align with emerging regulatory frameworks such as the EU AI Act.</t>
  </si>
  <si>
    <t>Zalfani, Maroua; Sule, Edit; Bakar, Mohamad</t>
  </si>
  <si>
    <t>Zalfani, M (corresponding author), Szechenyi Istvan Univ, Doctoral Sch Multidisciplinary Engn Sci, H-9026 Gyor, Hungary.</t>
  </si>
  <si>
    <t>m.kh.bakkar98@gmail.com; sule.edit@sze.hu; zalfani.maroua@ga.sze.hu</t>
  </si>
  <si>
    <t>[Zalfani, Maroua] Szechenyi Istvan Univ, Doctoral Sch Multidisciplinary Engn Sci, H-9026 Gyor, Hungary; [Sule, Edit] Szechenyi Istvan Univ, Dept Corp Leadership &amp; Mkt, H-9026 Gyor, Hungary; [Bakar, Mohamad] Szechenyi Istvan Univ, Dept Math &amp; Computat Sci, H-9026 Gyor, Hungary</t>
  </si>
  <si>
    <t>University of Istvan Szechenyi; University of Istvan Szechenyi; University of Istvan Szechenyi</t>
  </si>
  <si>
    <t>Human-Centered AI for Decision Support Systems: Enhancing Usability and Trustworthiness</t>
  </si>
  <si>
    <t>Decision Support Systems; human-centered AI; transparency; user trust; ethical AI; explainability; human-computer interaction</t>
  </si>
  <si>
    <t>Süle, Edit/NRY-5294-2025</t>
  </si>
  <si>
    <t>JUN 6 2026</t>
  </si>
  <si>
    <t>651</t>
  </si>
  <si>
    <t>10.3390/systems14060651</t>
  </si>
  <si>
    <t>http://dx.doi.org/10.3390/systems14060651</t>
  </si>
  <si>
    <t>KC1WM</t>
  </si>
  <si>
    <t>WOS:001803476600001</t>
  </si>
  <si>
    <t>Akbarovna, NA; Shirinova, K</t>
  </si>
  <si>
    <t>Cardiovascular disease (CVD) remains the leading cause of mortality worldwide despite major advances in preventive cardiology, pharmacotherapy, and interventional management. Conventional cardiovascular risk stratification models, including population-based scoring systems derived from static demographic and laboratory variables, have substantially improved preventive care but remain limited in their ability to capture dynamic physiological variability, subclinical disease progression, and individualized risk trajectories. These limitations are particularly relevant in contemporary populations characterized by multimorbidity, heterogeneous lifestyles, and rapidly fluctuating cardiometabolic states. Recent developments in wearable sensor technologies have introduced a paradigm shift in cardiovascular monitoring by enabling continuous, noninvasive acquisition of high-resolution physiological data in real-world settings. Smartwatches, adhesive biosensors, photoplethysmography-enabled devices, electrocardiographic wearables, and multimodal physiological platforms now permit longitudinal assessment of heart rhythm dynamics, autonomic function, vascular stiffness, sleep architecture, physical activity, respiratory variability, and hemodynamic responses. The integration of these continuously acquired signals has accelerated the emergence of digital biomarkers capable of reflecting early pathophysiological alterations preceding overt cardiovascular events. Simultaneously, advances in machine learning and predictive analytics have enabled the extraction of clinically meaningful patterns from complex wearable-derived datasets that exceed the interpretive capacity of conventional statistical approaches. In particular, explainable artificial intelligence frameworks have gained increasing attention for their potential to enhance transparency, clinician trust, and regulatory acceptability while maintaining high predictive performance. These models may facilitate earlier identification of atrial fibrillation, heart failure decompensation, ischemic risk, sudden cardiac death susceptibility, and cardiometabolic deterioration through adaptive and individualized prediction strategies. This review critically examines the evolving role of wearable digital biomarkers and explainable machine learning models in next-generation cardiovascular risk assessment. Emphasis is placed on physiological signal interpretation, multimodal data integration, algorithmic interpretability, clinical validation, and translational implementation preventive and critical cardiovascular care. Furthermore, key challenges related to data quality, interoperability, ethical governance, algorithmic bias, and regulatory standardization are discussed. The convergence of wearable biosensing and interpretable artificial intelligence may ultimately redefine cardiovascular medicine from episodic risk estimation toward continuous, personalized, and anticipatory care frameworks.</t>
  </si>
  <si>
    <t>Akbarovna, Nasirova Aziza; Shirinova, Khilola</t>
  </si>
  <si>
    <t>Akbarovna, NA (corresponding author), Samarkand State Med Univ, Fac Pediat, Dept Internal Med, Samarkand, Uzbekistan.</t>
  </si>
  <si>
    <t>shirinova.hilola@bsmi.uz; azizanosirova513@gmail.com</t>
  </si>
  <si>
    <t>[Akbarovna, Nasirova Aziza] Samarkand State Med Univ, Fac Pediat, Dept Internal Med, Samarkand, Uzbekistan; [Shirinova, Khilola] Bukhara State Med Inst Abu Ali Ibn Sino, Dept Therapeut Stomatol, Bukhara, Uzbekistan</t>
  </si>
  <si>
    <t>Samarkand State Medical University</t>
  </si>
  <si>
    <t>Generation Cardiovascular Risk Assessment Through Wearable Digital Biomarkers and Explainable Artificial Intelligence: Toward Continuous, Personalized, and Predictive Cardiovascular Medicine</t>
  </si>
  <si>
    <t>EUROPEAN JOURNAL OF PROSTHODONTICS AND RESTORATIVE DENTISTRY</t>
  </si>
  <si>
    <t>DENNIS BARBER LTD</t>
  </si>
  <si>
    <t>LOWESTOFT</t>
  </si>
  <si>
    <t>5 BATTERY GREEN RD, LOWESTOFT, SUFFOLK NR32 1DE, ENGLAND</t>
  </si>
  <si>
    <t>0965-7452</t>
  </si>
  <si>
    <t>2396-8893</t>
  </si>
  <si>
    <t>EUR J PROSTHODONT RE</t>
  </si>
  <si>
    <t>Eur. J. Prosthodont. Restor. Dent.</t>
  </si>
  <si>
    <t>171</t>
  </si>
  <si>
    <t>188</t>
  </si>
  <si>
    <t>10.1922/ejprd.v34i4s.1445</t>
  </si>
  <si>
    <t>http://dx.doi.org/10.1922/ejprd.v34i4s.1445</t>
  </si>
  <si>
    <t>Dentistry, Oral Surgery &amp; Medicine</t>
  </si>
  <si>
    <t>LJ2RX</t>
  </si>
  <si>
    <t>WOS:001825910100017</t>
  </si>
  <si>
    <t>Alanazi, AS; Alqazlan, S; Alanazi, R; Benlaria, H</t>
  </si>
  <si>
    <t>Background: Developmental disabilities affect approximately 1 in 6 children aged 3-17 years. The diagnostic process typically spans 2-3 years and disproportionately affects underserved populations. Traditional machine learning approaches for screening have demonstrated promising accuracy but often lack the transparency required for clinical acceptance. Methods: We developed and validated an Adaptive Neuro-Fuzzy Inference System (ANFIS) using a longitudinal observational dataset of 5,000 children aged 1-6 years from 12 early childhood centers (4,311 typically developing; 689 with developmental disabilities, prevalence 13.8%). The ANFIS model implemented Gaussian membership functions and Sugeno fuzzy inference, incorporating age-adjusted ratios and cross-domain interaction features. Model performance was evaluated using standard binary classification metrics and five-fold stratified cross-validation. Results: All four assessment domains differed significantly between diagnostic groups (p &lt; 0.001): Cognitive Scores (60.86 +/- 14.51 vs. 51.58 +/- 17.09), Behavioral Scores (55.82 +/- 9.38 vs. 49.64 +/- 11.21), Motor Skills (51.08 +/- 7.79 vs. 45.08 +/- 8.00), and Social Interaction (51.20 +/- 11.66 vs. 42.13 +/- 11.19). Family history was present in 85.6% of diagnosed children vs. 45.0% of typically developing children (p &lt; 0.001). The ANFIS model achieved 96.0% accuracy, 87.5% sensitivity, 97.6% specificity, and AUC = 0.925 on a held-out test set of 100 cases. Five-fold cross-validation yielded a mean accuracy of 89.2% +/- 3.4% (95% CI: [85.8, 92.6%]). Cognitive_Social_Ratio was the most influential diagnostic indicator. Conclusion: The ANFIS approach demonstrates a clinically relevant balance between diagnostic accuracy and interpretability, positioning it as a viable clinical decision-support tool. Larger external validation studies across diverse populations are required before widespread implementation.</t>
  </si>
  <si>
    <t>Alanazi, Adel Saber; Alqazlan, Sohil; Alanazi, Rayan; Benlaria, Houcine</t>
  </si>
  <si>
    <t>Benlaria, H (corresponding author), Jouf Univ, Coll Business, Sakakah, Saudi Arabia.</t>
  </si>
  <si>
    <t>hbenlaria@yahoo.fr</t>
  </si>
  <si>
    <t>Deanship of Scientific Research at Imam Mohammad Ibn Saud Islamic University (IMSIU) [IMSIU-DDRSP2601]</t>
  </si>
  <si>
    <t>The author(s) declared that financial support was received for this work and/or its publication. This work was supported and funded by the Deanship of Scientific Research at Imam Mohammad Ibn Saud Islamic University (IMSIU) (grant number IMSIU-DDRSP2601).</t>
  </si>
  <si>
    <t>[Alanazi, Adel Saber] Jouf Univ, Coll Educ, Sakakah, Saudi Arabia; [Alqazlan, Sohil] Imam Mohammad Ibn Saud Islamic Univ IMSIU, Coll Educ, Riyadh, Saudi Arabia; [Alanazi, Rayan] Jouf Univ, Coll Comp &amp; Informat Sci, Sakakah, Saudi Arabia; [Benlaria, Houcine] Jouf Univ, Coll Business, Sakakah, Saudi Arabia</t>
  </si>
  <si>
    <t>Al Jouf University; Imam Mohammad Ibn Saud Islamic University (IMSIU); Al Jouf University; Al Jouf University</t>
  </si>
  <si>
    <t>Explainable AI for early developmental disability detection: a neuro-fuzzy approach</t>
  </si>
  <si>
    <t>Adaptive Neuro-Fuzzy Inference System (ANFIS); autism spectrum disorder; developmental disabilities; early intervention; explainable AI; fuzzy logic; interpretable machine learning; pediatrics diagnosis</t>
  </si>
  <si>
    <t>PERFORMANCE; MODELS</t>
  </si>
  <si>
    <t>Alanazi, Rayan/HLW-2394-2023; ALQAZLAN, SOHIL/KLY-3327-2024; Alanazi, Adel/ADW-2481-2022; BENLARIA, HOUCINE/ACN-8333-2022</t>
  </si>
  <si>
    <t>MAY 13 2026</t>
  </si>
  <si>
    <t>1691449</t>
  </si>
  <si>
    <t>10.3389/fpubh.2026.1691449</t>
  </si>
  <si>
    <t>http://dx.doi.org/10.3389/fpubh.2026.1691449</t>
  </si>
  <si>
    <t>IR5HR</t>
  </si>
  <si>
    <t>42211715</t>
  </si>
  <si>
    <t>WOS:001778611700001</t>
  </si>
  <si>
    <t>Abdelaziz, NM; Said, W; Abdelhafeez, MM; Ali, AH</t>
  </si>
  <si>
    <t>Accurate diagnosis of brain tumors from MRI scans is crucial for effective treatment planning and patient outcomes. Deep learning techniques have shown promise in automating this process, but the interpretability of their decisions remains a challenge. This paper introduces the Squeeze-and-Excitation Convolutional Neural Network-MobileNet (SECNN-MNet), a novel deep learning model designed for precise and interpretable classification of brain tumors in MRI images. SECNN-MNet combines the robust feature extraction capabilities of SE-CNN with the computational efficiency of MobileNet. By integrating SE blocks, the model dynamically recalibrates feature maps to capture crucial tumor characteristics, enhancing diagnostic accuracy. MobileNet's depthwise separable convolutions optimize computational resources while preserving image detail fidelity. Our model achieves exceptional performance, demonstrating an accuracy of 99.6% in classifying brain tumors. Leveraging explainable artificial intelligence (XAI), SECNN-MNet provides insights into decision-making processes, enhancing its interpretability and utility for clinicians. This study underscores the potential of SECNN-MNet in advancing automated brain tumor diagnosis, offering both high accuracy and interpretability crucial for clinical adoption and patient care.</t>
  </si>
  <si>
    <t>Abdelaziz, Nabil M.; Said, Wael; Abdelhafeez, Mohamed M.; Ali, Asmaa H.</t>
  </si>
  <si>
    <t>Abdelhafeez, MM (corresponding author), Zagazig Univ, Fac Comp &amp; Informat, Informat Syst Dept, Zagazig 44511, Egypt.</t>
  </si>
  <si>
    <t>mmabdelhafiz@fci.zu.edu.eg</t>
  </si>
  <si>
    <t>Open access funding will be provided by The Science, Technology &amp; Innovation Funding Authority (STDF) in cooperation with The Egyptian Knowledge Bank (EKB).</t>
  </si>
  <si>
    <t>The authors express their gratitude to the producers of the dataset for their valuable support.</t>
  </si>
  <si>
    <t>[Abdelaziz, Nabil M.; Abdelhafeez, Mohamed M.; Ali, Asmaa H.] Zagazig Univ, Fac Comp &amp; Informat, Informat Syst Dept, Zagazig 44511, Egypt; [Said, Wael] Zagazig Univ, Fac Comp &amp; Informat, Comp Sci Dept, Zagazig 44511, Egypt</t>
  </si>
  <si>
    <t>Egyptian Knowledge Bank (EKB); Zagazig University; Egyptian Knowledge Bank (EKB); Zagazig University</t>
  </si>
  <si>
    <t>High-precision brain tumor diagnosis using SECNN-MNet framework and explainable AI</t>
  </si>
  <si>
    <t>INTERNATIONAL JOURNAL OF DATA SCIENCE AND ANALYTICS</t>
  </si>
  <si>
    <t>Explainable artificial intelligence (XAI); Squeeze-and-excitation (SE block); Squeeze-and-excitation convolutional neural network with MobileNet (SECNN-MNet); Explainability analysis; Grad-CAM</t>
  </si>
  <si>
    <t>AbdelAziz, Nabil/ABB-8491-2021; Ali, Asmaa/MTG-6198-2025; Said, wael/HZK-3491-2023</t>
  </si>
  <si>
    <t>AbdelAziz, Nabil/0000-0001-6181-097X</t>
  </si>
  <si>
    <t>2364-415X</t>
  </si>
  <si>
    <t>2364-4168</t>
  </si>
  <si>
    <t>INT J DATA SCI ANAL</t>
  </si>
  <si>
    <t>Int. J, Data Sci. Anal.</t>
  </si>
  <si>
    <t>5961</t>
  </si>
  <si>
    <t>5978</t>
  </si>
  <si>
    <t>10.1007/s41060-025-00806-y</t>
  </si>
  <si>
    <t>http://dx.doi.org/10.1007/s41060-025-00806-y</t>
  </si>
  <si>
    <t>7XM6L</t>
  </si>
  <si>
    <t>WOS:001499177100001</t>
  </si>
  <si>
    <t>Di Martino, F; Delmastro, F; Dolciotti, C</t>
  </si>
  <si>
    <t>Malnutrition is a serious and prevalent health problem in the older population, and especially in hospitalised or institutionalised subjects. Accurate and early risk detection is essential for malnutrition management and prevention. M-health services empowered with Artificial Intelligence (AI) may lead to important improvements in terms of a more automatic, objective, and continuous monitoring and assessment. Moreover, the latest Explainable AI (XAI) methodologies may make AI decisions interpretable and trustworthy for end users. This paper presents a novel AI framework for early and explainable malnutrition risk detection based on heterogeneous m-health data. We performed an extensive model evaluation including both subject-independent and personalised predictions, and the obtained results indicate Random Forest (RF) and Gradient Boosting as the best performing classifiers, especially when incorporating body composition assessment data. We also investigated several benchmark XAI methods to extract global model explanations. Model-specific explanation consistency assessment indicates that each selected model privileges similar subsets of the most relevant predictors, with the highest agreement shown between SHapley Additive ExPlanations (SHAP) and feature permutation method. Furthermore, we performed a preliminary clinical validation to verify that the learned feature-output trends are compliant with the current evidence-based assessment.</t>
  </si>
  <si>
    <t>Di Martino, Flavio; Delmastro, Franca; Dolciotti, Cristina</t>
  </si>
  <si>
    <t>Di Martino, F (corresponding author), Natl Res Council Italy CNR, Inst Informat &amp; Telemat IIT, Via Moruzzi 1, I-56100 Pisa, Italy.</t>
  </si>
  <si>
    <t>flavio.dimartino@iit.cnr.it; franca.delmastro@iit.cnr.it; c.dolciotti@gmail.com</t>
  </si>
  <si>
    <t>European Union-Next Generation EU [CUP: B83C22003920001]</t>
  </si>
  <si>
    <t>European Union-Next Generation EU</t>
  </si>
  <si>
    <t>This work was produced with the co-funding European Union-Next Generation EU, in the context of The National Recovery and Resilience Plan, Investment 1.5 Ecosystems of Innovation, Project Tuscany Health Ecosystem (THE) , CUP: B83C22003920001.</t>
  </si>
  <si>
    <t>[Di Martino, Flavio; Delmastro, Franca] Natl Res Council Italy CNR, Inst Informat &amp; Telemat IIT, Via Moruzzi 1, I-56100 Pisa, Italy; [Dolciotti, Cristina] Univ Pisa, Dept Translat Res New Technol Med &amp; Surg, I-56126 Pisa, Italy</t>
  </si>
  <si>
    <t>Consiglio Nazionale delle Ricerche (CNR); Istituto di Informatica e Telematica (IIT-CNR); University of Pisa</t>
  </si>
  <si>
    <t>Explainable AI for malnutrition risk prediction from m-Health and clinical data</t>
  </si>
  <si>
    <t>Malnutrition m-Health Machine Learning Explainable AI</t>
  </si>
  <si>
    <t>OLDER-ADULTS; SYSTEM; CANCER; CARE; MANAGEMENT</t>
  </si>
  <si>
    <t>Delmastro, Franca/AAG-7559-2019</t>
  </si>
  <si>
    <t>100429</t>
  </si>
  <si>
    <t>10.1016/j.smhl.2023.100429</t>
  </si>
  <si>
    <t>http://dx.doi.org/10.1016/j.smhl.2023.100429</t>
  </si>
  <si>
    <t>9NP0S</t>
  </si>
  <si>
    <t>WOS:001610630900002</t>
  </si>
  <si>
    <t>Torres-Martos, A; Anguita-Ruiz, A; Bustos-Aibar, M; Ramírez-Mena, A; Arteaga, M; Bueno, G; Leis, R; Aguilera, CM; Alcalá, R; Alcalá-Fdez, J</t>
  </si>
  <si>
    <t>Pediatric obesity can drastically heighten the risk of cardiometabolic alterations later in life, with insulin resistance standing as the cornerstone linking adiposity to the increased cardiovascular risk. Puberty has been pointed out as a critical stage after which obesity-associated insulin resistance is more difficult to revert. Timely prediction of insulin resistance in pediatric obesity is therefore vital for mitigating the risk of its associated comorbidities. The construction of effective and robust predictive systems for a complex health outcome like insulin resistance during the early stages of life demands the adoption of longitudinal designs for more causal inferences, and the integration of factors of varying nature involved in its onset. In this work, we propose an eXplainable Artificial Intelligence-based decision support pipeline for early diagnosis of insulin resistance in a longitudinal cohort of 90 children. For that, we leverage multi-omics (genomics and epigenomics) and clinical data from the pre-pubertal stage. Different data layers combinations, pre-processing techniques (missing values, feature selection, class imbalance, etc.), algorithms, training procedures were considered following good practices for Machine Learning. SHapley Additive exPlanations were provided for specialists to understand both the decision-making mechanisms of the system and the impact of the features on each automatic decision, an essential issue in high-risk areas such as this one where system decisions may affect people's lives. The system showed a relevant predictive ability (AUC and G-mean of 0.92). A deep exploration, both at the global and the local level, revealed promising biomarkers of insulin resistance in our population, highlighting classical markers, such as Body Mass Index z-score or leptin/adiponectin ratio, and novel ones such as methylation patterns of relevant genes, such as HDAC4, , PTPRN2, , MATN2, , RASGRF1 and EBF1. . Our findings highlight the importance of integrating multi-omics data and following eXplainable Artificial Intelligence trends when building decision support systems.</t>
  </si>
  <si>
    <t>Torres-Martos, Alvaro; Anguita-Ruiz, Augusto; Bustos-Aibar, Mireia; Ramirez-Mena, Alberto; Arteaga, Maria; Bueno, Gloria; Leis, Rosaura; Aguilera, Concepcion M.; Alcala, Rafael; Alcala-Fdez, Jesus</t>
  </si>
  <si>
    <t>Aguilera, CM (corresponding author), Univ Granada, Jose Mataix VerduInstitute Nutr &amp; Food Technol INY, Dept Biochem &amp; Mol Biol II, Sch Pharm, Granada 18071, Spain.; Aguilera, CM (corresponding author), Univ Granada, Ctr Biomed Res, Granada 18071, Spain.; Aguilera, CM (corresponding author), GRANADA, Inst Invest Biosanit ibs, Granada 18012, Spain.; Aguilera, CM (corresponding author), Inst Salud Carlos III, CIBER Fisiopatol Obes &amp; Nutr CIBEROBN, Madrid 28029, Spain.</t>
  </si>
  <si>
    <t>caguiler@ugr.es; augusto.anguita@isglobal.org; alcala@decsai.ugr.es; mgbuenol@unizar.es; mbustos@iisaragon.es; alvarotorres@ugr.es; alberto.ramirez@genyo.es; jalcala@decsai.ugr.es; mariaartj@correo.ugr.es; mariarosaura.leis@usc.es</t>
  </si>
  <si>
    <t>Instituto de Salud Carlos III; European Union; ERDF A way of making Europe [PI20/00711, PI20/00563, PI20/00924, P20/00988, PI23/00028, PI23/00129, PI23/01032, PI23/00165, PI23/00191]; European Union through the Horizon Europe Framework Programme [101080219]; IIS doctorates-company in health sciences and technologies of the Strategic Health Action [IFI17/00048, IFI22/00013, FI23/00042]; Ministerio de Ciencia, Innovacion y Universidades y Agencia Estatal de Investigacion [FJC2021-046952-I]; Universidad de Granada/CBUA</t>
  </si>
  <si>
    <t>Instituto de Salud Carlos III (Instituto de Salud Carlos III, Spanish Government); European Union (European Union (EU)); ERDF A way of making Europe; European Union through the Horizon Europe Framework Programme (European Union (EU)); IIS doctorates-company in health sciences and technologies of the Strategic Health Action; Ministerio de Ciencia, Innovacion y Universidades y Agencia Estatal de Investigacion; Universidad de Granada/CBUA</t>
  </si>
  <si>
    <t>This research was supported by the Instituto de Salud Carlos III co-funded by the European Union and ERDF A way of making Europe (grant numbers PI20/00711, PI20/00563, PI20/00924, P20/00988, PI23/00028, PI23/00129, PI23/01032, PI23/00165 and also PI23/00191) , and by the European Union through the Horizon Europe Framework Programme (eprObes project, grant number GA 101080219) . The authors also acknowledge Instituto de Salud Carlos III for personal funding of A.A.R, A.T.M and M.B.A.: i-PFIS and PFIS contracts: IIS doctorates-company in health sciences and technologies of the Strategic Health Action (IFI17/00048, IFI22/00013 and FI23/00042) . We also thank the support from the grant FJC2021-046952-I by Ministerio de Ciencia, Innovacion y Universidades y Agencia Estatal de Investigacion.. Funding for open access charge: Universidad de Granada/CBUA.</t>
  </si>
  <si>
    <t>[Torres-Martos, Alvaro; Bustos-Aibar, Mireia; Aguilera, Concepcion M.] Univ Granada, Jose Mataix VerduInstitute Nutr &amp; Food Technol INY, Dept Biochem &amp; Mol Biol II, Sch Pharm, Granada 18071, Spain; [Torres-Martos, Alvaro; Bustos-Aibar, Mireia; Aguilera, Concepcion M.] Univ Granada, Ctr Biomed Res, Granada 18071, Spain; [Torres-Martos, Alvaro; Aguilera, Concepcion M.] GRANADA, Inst Invest Biosanit ibs, Granada 18012, Spain; [Torres-Martos, Alvaro; Anguita-Ruiz, Augusto; Bustos-Aibar, Mireia; Bueno, Gloria; Leis, Rosaura; Aguilera, Concepcion M.] Inst Salud Carlos III, CIBER Fisiopatol Obes &amp; Nutr CIBEROBN, Madrid 28029, Spain; [Anguita-Ruiz, Augusto] Barcelona Inst Global Hlth ISGlobal, Barcelona 08003, Spain; [Bustos-Aibar, Mireia; Bueno, Gloria] Inst Hlth Res Aragon IIS Aragon, Growth Exercise Nutr &amp; Dev GENUD Res Grp, Zaragoza 50009, Spain; [Ramirez-Mena, Alberto] Univ Granada, Ctr Genom &amp; Oncol Res, Bioinformat Unit, PTS,GENYO Pfizer,Andalusian Reg Govt, Granada 18016, Spain; [Arteaga, Maria; Alcala, Rafael; Alcala-Fdez, Jesus] Univ Granada, Andalusian Res Inst Data Sci &amp; Computat Intelligen, Dept Comp Sci &amp; Artificial Intelligence, Granada 18071, Spain; [Bueno, Gloria] Univ Zaragoza, Clin Univ Hosp Lozano Blesa, Fac Med, Pediat Endocrinol Unit, Zaragoza 50009, Spain; [Leis, Rosaura] Hosp Clin Univ Santiago, Pediat Nutr Res Grp,Hlth Res Inst Santiago Compost, Pediat Serv,Unit Invest Nutr Growth &amp; Human Dev Ga, Unit Pediat Gastroenterol Hepatol &amp; Nutr, Santiago De Compostela 15706, Spain</t>
  </si>
  <si>
    <t>University of Granada; University of Granada; Instituto de Investigacion Biosanitaria IBS Granada; CIBER - Centro de Investigacion Biomedica en Red; Instituto de Salud Carlos III; CIBEROBN; ISGlobal; University of Granada; Pfizer; Pfizer Spain; University of Granada; University of Zaragoza; Lozano Blesa University Clinical Hospital; Complexo Hospitalario Universitario de Santiago de Compostela</t>
  </si>
  <si>
    <t>Multiomics and eXplainable artificial intelligence for decision support in insulin resistance early diagnosis: A pediatric population-based longitudinal study</t>
  </si>
  <si>
    <t>ARTIFICIAL INTELLIGENCE IN MEDICINE</t>
  </si>
  <si>
    <t>Pediatric obesity; Insulin resistance; Epigenomics; Multiomics; Machine Learning; Explainable Artificial Intelligence</t>
  </si>
  <si>
    <t>PROTEIN-TYROSINE-PHOSPHATASE; DNA METHYLATION; TRANSMEMBRANE PROTEIN; OMICS DATA; OBESITY; BETA; CLASSIFICATION; ASSOCIATION; AUTOANTIGEN; STRATEGIES</t>
  </si>
  <si>
    <t>Arteaga, María/MHQ-8212-2025; Alcala, Rafael/B-1843-2012; Aguilera, Concepcion/M-1663-2014; Leis, Rosaura/Z-3186-2019; Alcala-Fdez, Jesus/C-6795-2012; Bueno, Gloria/K-6286-2014; Ramirez-Mena, Alberto/HNR-6032-2023; Anguita-Ruiz, Augusto/AAE-9827-2019</t>
  </si>
  <si>
    <t>Torres-Martos, Álvaro/0000-0003-3198-2556; Arteaga, María/0000-0001-6774-6219; Aguilera, Concepcion/0000-0002-1451-4788; Alcala-Fdez, Jesus/0000-0002-6190-3575; Ramirez-Mena, Alberto/0000-0001-9017-8643; Anguita-Ruiz, Augusto/0000-0001-6888-1041; Alcalá Fernández, Rafael/0000-0003-1140-6156</t>
  </si>
  <si>
    <t>0933-3657</t>
  </si>
  <si>
    <t>1873-2860</t>
  </si>
  <si>
    <t>ARTIF INTELL MED</t>
  </si>
  <si>
    <t>Artif. Intell. Med.</t>
  </si>
  <si>
    <t>156</t>
  </si>
  <si>
    <t>102962</t>
  </si>
  <si>
    <t>10.1016/j.artmed.2024.102962</t>
  </si>
  <si>
    <t>http://dx.doi.org/10.1016/j.artmed.2024.102962</t>
  </si>
  <si>
    <t>Computer Science, Artificial Intelligence; Engineering, Biomedical; Medical Informatics</t>
  </si>
  <si>
    <t>E2P3O</t>
  </si>
  <si>
    <t>39180924</t>
  </si>
  <si>
    <t>WOS:001301468500001</t>
  </si>
  <si>
    <t>Roy, KLK; Malar, B; Aparna, V</t>
  </si>
  <si>
    <t>Attention deficit hyperactivity disorder (ADHD) is a neurological disorder that primarily develops in early childhood and affects motor development, vision, information processing, memory, and sensory functioning in children. Although many works have been focused on developing machine learning (ML) models to diagnose ADHD from electroencephalography (EEG) data, they lack in interpreting the predictions. This article addresses this gap by proposing an explainable artificial intelligence (AI)-driven approach that computes entropy, mutual information, and transfer entropy from EEG data using the 10-20 system, aggregates electrode-level features into lobe-wise representations, applies ML models, and selects the optimal model for interpretable predictions. Experimental and statistical results show that support vector machine provides better results, 92% accuracy of classification of ADHD and proves to be suitable for clinical screening tasks than other state of the art algorithms. Furthermore, explanations are obtained using Local Interpretable Model-agnostic Explanations (LIME), Shapely Additive Explanations (SHAP), and Partial Dependency Plot (PDP). These reveal that higher values of entropy and transfer entropy in frontal region indicates uncertainty; whereas less participation of occipital region denotes dysfunctionality toward visual perception in children with ADHD. The PDP proves that the maximum values of the three measures in frontal, occipital, and central lobes contribute to the feature importance for the prediction class.</t>
  </si>
  <si>
    <t>Roy, K. Lakshmi Kalpana; Malar, B.; Aparna, V.</t>
  </si>
  <si>
    <t>Roy, KLK (corresponding author), PSG Coll Technol, Dept Appl Math &amp; Computat Sci, Coimbatore 641004, India.</t>
  </si>
  <si>
    <t>lkr.amcs@psgtech.ac.in</t>
  </si>
  <si>
    <t>[Roy, K. Lakshmi Kalpana; Malar, B.; Aparna, V.] PSG Coll Technol, Dept Appl Math &amp; Computat Sci, Coimbatore 641004, India</t>
  </si>
  <si>
    <t>PSG College Technology</t>
  </si>
  <si>
    <t>Explainable artificial intelligence-driven visual task-specific electroencephalogram analysis for attention deficit hyperactivity disorder detection using information-theoretic feature selection</t>
  </si>
  <si>
    <t>APPLIED NEUROPSYCHOLOGY-CHILD</t>
  </si>
  <si>
    <t>ADHD; EEG; entropy; explainable AI; machine Learning; mutual information; transfer entropy</t>
  </si>
  <si>
    <t>ADHD; BRAIN; EEG; CHILDREN</t>
  </si>
  <si>
    <t>Malar, B/QUV-1591-2026</t>
  </si>
  <si>
    <t>ROUTLEDGE JOURNALS, TAYLOR &amp; FRANCIS LTD</t>
  </si>
  <si>
    <t>2-4 PARK SQUARE, MILTON PARK, ABINGDON OX14 4RN, OXON, ENGLAND</t>
  </si>
  <si>
    <t>2162-2965</t>
  </si>
  <si>
    <t>2162-2973</t>
  </si>
  <si>
    <t>APPL NEUROPSYCH-CHIL</t>
  </si>
  <si>
    <t>Appl. Neuropsychol.-Child</t>
  </si>
  <si>
    <t>10.1080/21622965.2026.2654718</t>
  </si>
  <si>
    <t>http://dx.doi.org/10.1080/21622965.2026.2654718</t>
  </si>
  <si>
    <t>Clinical Neurology; Psychology</t>
  </si>
  <si>
    <t>Neurosciences &amp; Neurology; Psychology</t>
  </si>
  <si>
    <t>HG8HV</t>
  </si>
  <si>
    <t>42053566</t>
  </si>
  <si>
    <t>WOS:001753715600001</t>
  </si>
  <si>
    <t>Rizwan, M; Naseem, R; Khan, MA; Ahmad, A; Fozan, M; Muhammad, N</t>
  </si>
  <si>
    <t>Background Chronic Kidney Disease (CKD) is one of the significant health issues in the world which is usually unnoticeable and afterwards causes greater morbidity and mortality. Timely intervention is important in early diagnosis that will enhance patient outcomes.Methods This study proposes an explainable artificial intelligence driven machine learning (ML) framework for CKD prediction using electronic health records. A dataset of 398 patients (241 CKD and 157 non-CKD) from Pakistan Kidney Center, Abbottabad, was analyzed using multiple models, including logistic regression, decision tree, k-nearest neighbors, gradient boosting, CatBoost, AdaBoost, XGBoost, and random forest (RF). Feature selection methods mutual information, DT, and RF identified the most informative clinical variables, and experiments were conducted using both full and top 10 feature subsets. Model performance was evaluated using stratified 5-fold and 10-fold cross-validation with metrics such as accuracy, precision, recall, F1-score, balanced accuracy, MCC, and AUC. Statistical validation was performed using confidence intervals, McNemar's test, ANOVA, and Tukey HSD. Model interpretability was achieved using Hapley Additive exPlanations (SHAP) and Local Interpretable Model-agnostic Explanations (LIME).Results The results demonstrated consistently high performance across all models, with the RF model achieving an accuracy of 98%. Statistical analysis revealed no significant differences among top-performing models, indicating comparable predictive capabilities. Feature-level analysis identified key biomarkers-estimated glomerular filtration rate, creatinine, and urea-as having large effect sizes and strong discriminative power. The reduced feature set maintained competitive performance, highlighting the efficiency of selected variables. Model interpretability using SHAP and LIME provided transparent and clinically meaningful insights, confirming the importance of these features in CKD prediction.Conclusion The proposed framework demonstrates robust and reliable performance for CKD prediction, supported by comprehensive statistical validation and explainability analysis. The findings indicate that predictive performance is primarily driven by the strength of selected clinical features, enabling multiple ML models to achieve comparable results. This approach offers a practical, interpretable, and generalizable solution for early CKD detection in clinical settings.</t>
  </si>
  <si>
    <t>Rizwan, Muhammad; Naseem, Rashid; Khan, Muhammad Ahmad; Ahmad, Arshad; Fozan, Muhammad; Muhammad, Nazeer</t>
  </si>
  <si>
    <t>Muhammad, N (corresponding author), Abdullah Al Salem Univ, Coll Comp &amp; Syst Engn, Program Data Sci &amp; AI, Khaldiya, Kuwait.</t>
  </si>
  <si>
    <t>yaarshad@gmail.com; rashid.naseem@fecid.paf-iast.edu.pk; mfozan678@gmail.com; khan@voltaware.com; nazeer.muhammad@aasu.edu.kw; m21f0147ds001@fecid.paf-iast.edu.pk</t>
  </si>
  <si>
    <t>[Rizwan, Muhammad; Naseem, Rashid; Khan, Muhammad Ahmad] Pak Austria Fachhsch, Sch Comp Sci, Inst Appl Sci &amp; Technol, Haripur 22600, Khyber Pakhtunk, Pakistan; [Khan, Muhammad Ahmad] Voltaware Ltd, Vintage House,36-37 Albert Embankment, London, England; [Ahmad, Arshad] Sohar Univ, Fac Comp &amp; IT, POB 311, Sohar, Oman; [Fozan, Muhammad] Pak Austria Fachhsch, Dept Biol &amp; Hlth Sci, Inst Appl Sci &amp; Technol, Haripur 22600, Khyber Pakhtunk, Pakistan; [Muhammad, Nazeer] Abdullah Al Salem Univ, Coll Comp &amp; Syst Engn, Program Data Sci &amp; AI, Khaldiya, Kuwait</t>
  </si>
  <si>
    <t>Sohar University</t>
  </si>
  <si>
    <t>Explainable AI machine learning framework for chronic kidney disease prediction utilizing electronic health records</t>
  </si>
  <si>
    <t>Chronic kidney disease; Machine learning; EXplainable artificial intelligence; Electronic health records; Random forest</t>
  </si>
  <si>
    <t>EPIDEMIOLOGY; PREVALENCE; UPDATE</t>
  </si>
  <si>
    <t>Fozan, Muhammad/0009-0004-1645-4127</t>
  </si>
  <si>
    <t>JUL 3 2026</t>
  </si>
  <si>
    <t>244</t>
  </si>
  <si>
    <t>10.1186/s12911-026-03602-1</t>
  </si>
  <si>
    <t>http://dx.doi.org/10.1186/s12911-026-03602-1</t>
  </si>
  <si>
    <t>KQ0NB</t>
  </si>
  <si>
    <t>42399867</t>
  </si>
  <si>
    <t>WOS:001812881500001</t>
  </si>
  <si>
    <t>Tang, YT; Romero-Ortuno, R</t>
  </si>
  <si>
    <t>The prevention of falls in older people requires the identification of the most important risk factors. Frailty is associated with risk of falls, but not all falls are of the same nature. In this work, we utilised data from The Irish Longitudinal Study on Ageing to implement Random Forests and Explainable Artificial Intelligence (XAI) techniques for the prediction of different types of falls and analysed their contributory factors using 46 input features that included those of a previously investigated frailty index. Data of participants aged 65 years and older were fed into four random forest models (all falls or syncope, simple fall, complex fall, and syncope). Feature importance rankings were based on mean decrease in impurity, and Shapley additive explanations values were calculated and visualised. Female sex and a previous fall were found to be of high importance in all of the models, and polypharmacy (being on five or more regular medications) was ranked high in the syncope model. The more 'accidental' (extrinsic) nature of simple falls was demonstrated in its model, where the presence of many frailty features had negative model contributions. Our results highlight that falls in older people are heterogenous and XAI can provide new insights to help their prevention.</t>
  </si>
  <si>
    <t>Yue Ting Tang; Romero-Ortuno, Roman</t>
  </si>
  <si>
    <t>Tang, YT; Romero-Ortuno, R (corresponding author), Trinity Coll Dublin, Sch Med, Dublin D02 R590, Ireland.; Romero-Ortuno, R (corresponding author), St James Hosp, Mercers Inst Successful Ageing, Dublin D08 N80H, Ireland.; Romero-Ortuno, R (corresponding author), Trinity Coll Dublin, Irish Longitudinal Study Ageing TILDA, Dublin D02 R590, Ireland.</t>
  </si>
  <si>
    <t>romeroor@tcd.ie; ytang@tcd.ie</t>
  </si>
  <si>
    <t>Science Foundation Ireland [18/FRL/6188]; Atlantic Philanthropies; Irish Department of Health; Irish Life</t>
  </si>
  <si>
    <t>Science Foundation Ireland (Science Foundation Ireland (SFI)); Atlantic Philanthropies; Irish Department of Health; Irish Life</t>
  </si>
  <si>
    <t>R.R.-O. is funded by Science Foundation Ireland, grant number 18/FRL/6188. The Irish Longitudinal Study on Ageing (TILDA) is funded by Atlantic Philanthropies, the Irish Department of Health and Irish Life.</t>
  </si>
  <si>
    <t>[Yue Ting Tang; Romero-Ortuno, Roman] Trinity Coll Dublin, Sch Med, Dublin D02 R590, Ireland; [Romero-Ortuno, Roman] St James Hosp, Mercers Inst Successful Ageing, Dublin D08 N80H, Ireland; [Romero-Ortuno, Roman] Trinity Coll Dublin, Irish Longitudinal Study Ageing TILDA, Dublin D02 R590, Ireland</t>
  </si>
  <si>
    <t>Trinity College Dublin; Trinity College Dublin; Trinity College Dublin</t>
  </si>
  <si>
    <t>Using Explainable AI (XAI) for the Prediction of Falls in the Older Population</t>
  </si>
  <si>
    <t>explainable artificial intelligence; random forests; falls; frailty; healthcare</t>
  </si>
  <si>
    <t>RISK-FACTORS; ADULTS; SYNCOPE; CONSEQUENCES; CLASSIFIERS; FRACTURES; DATASETS; FRAILTY; DRUGS</t>
  </si>
  <si>
    <t>Romero-Ortuno, Roman/AAP-9221-2020</t>
  </si>
  <si>
    <t>Romero-Ortuno, Roman/0000-0002-3882-7447</t>
  </si>
  <si>
    <t>OCT 2022</t>
  </si>
  <si>
    <t>353</t>
  </si>
  <si>
    <t>10.3390/a15100353</t>
  </si>
  <si>
    <t>http://dx.doi.org/10.3390/a15100353</t>
  </si>
  <si>
    <t>5N7VP</t>
  </si>
  <si>
    <t>WOS:000871996900001</t>
  </si>
  <si>
    <t>Hariadi, TK; Aziz, Q; Riyadi, S; Ghazali, KH; Hasikin, KB; Andi, T</t>
  </si>
  <si>
    <t>Breast cancer is still a major health risk for women all over the world, and thus finding it early is very important for the patient's survival. Digital Breast Tomosynthesis (DBT) offers enhanced imaging capabilities relative to conventional mammography; yet, its quasi-3D characteristics provide distinct interpretability issues, often rendering deep learning models as black boxes. This worktackles the issue of transparency by testing three Explainable Artificial Intelligence (XAI) methods: Gradient-weighted Class Activation Mapping (Grad-CAM), Score-CAM, and Local Interpretable Model-Agnostic Explanations (LIME). The ResNet-50 architecture was utilized to analyse a datasetof 396 DICOM images that had been pre-processed in a unique way, including colour-mapping and balancing. The study used Insertion and Deletion Area Under the Curve (AUC) to carefully quantify how reliable the visual explanations were, in addition to usual criteria like accuracy, which achieved 94%. It was shown that LIME and Score-CAM generated attention maps that were dispersed or inconsistent, whereas Grad-CAM always showed lesion-specific areas with great accuracy. Grad-CAM was the best method for analysing DBT findings, since it had the highest Insertion AUC of 0.9078. These results provide radiologists with a way to trust and check automated diagnoses, which closes the gap between AI that works well and AI that is reliable in the clinic.</t>
  </si>
  <si>
    <t>Hariadi, Tony K.; Aziz, Qodri; Riyadi, Slamet; Ghazali, Kamarul Hawari; Hasikin, Khairunnisa Binti; Andi, Tri</t>
  </si>
  <si>
    <t>Riyadi, S (corresponding author), Univ Muhammadiyah Yogyakarta, Artificial Intelligence &amp; Robot Ctr, Yogyakarta, Indonesia.; Riyadi, S (corresponding author), Univ Muhammadiyah Yogyakarta, Dept Informat Technol, Yogyakarta, Indonesia.</t>
  </si>
  <si>
    <t>Universitas Muhammadiyah Yogyakarta</t>
  </si>
  <si>
    <t>The authors would like to acknowledge Universitas Muhammadiyah Yogyakarta for the financial support of this research and publication.</t>
  </si>
  <si>
    <t>[Hariadi, Tony K.] Univ Muhammadiyah Yogyakarta, Dept Elect Engn, Yogyakarta, Indonesia; [Aziz, Qodri; Riyadi, Slamet] Univ Muhammadiyah Yogyakarta, Artificial Intelligence &amp; Robot Ctr, Yogyakarta, Indonesia; [Riyadi, Slamet; Andi, Tri] Univ Muhammadiyah Yogyakarta, Dept Informat Technol, Yogyakarta, Indonesia; [Ghazali, Kamarul Hawari] Univ Malaysia Pahang Al Sultan Abdullah, Fac Elect &amp; Elect Engn, Pekan, Pahang, Malaysia; [Hasikin, Khairunnisa Binti] Univ Malaya, Dept Biomed Engn, Kuala Lumpur, Malaysia</t>
  </si>
  <si>
    <t>Universitas Muhammadiyah Yogyakarta; Universitas Muhammadiyah Yogyakarta; Universitas Muhammadiyah Yogyakarta; Universiti Malaysia Pahang Al-Sultan Abdullah (UMPSA); Universiti Malaya</t>
  </si>
  <si>
    <t>Explainable AI Techniques for Interpretable Breast Cancer Classification</t>
  </si>
  <si>
    <t>Breast cancer; DBT; Grad-CAM; ResNet-50; XAI</t>
  </si>
  <si>
    <t>/AAC-6555-2021; GHAZALI, KAMARUL HAWARI/I-4947-2013</t>
  </si>
  <si>
    <t>336</t>
  </si>
  <si>
    <t>342</t>
  </si>
  <si>
    <t>DR6OO</t>
  </si>
  <si>
    <t>WOS:001690437400001</t>
  </si>
  <si>
    <t>Hasannezhad, A; Sharifian, S</t>
  </si>
  <si>
    <t>This paper introduces Grad-TransUNet, a novel deep neural network model designed to improve medical image segmentation by integrating transformers and Grad-CAM with traditional CNN architectures. The study addresses the limitations of conventional CNNs in capturing long-range dependencies and global context in medical images. By incorporating transformers within a hybrid CNN-Transformer encoder, the model leverages multi-head self-attention and multi-layer perceptron blocks to enhance segmentation performance. Additionally, the Grad-CAM technique is employed to generate informative heatmaps, enhancing the model's explainability. The proposed model fuses the local features of CNN model by explainable features of Grad-CAM and then feeds these enhanced local futures to a transformer in order to enrich global features. Finally, a Cascaded Upsampler (CUP) decoder for transforming encoded features to extract segmentation masks. Extensive experiments on the Kvasir and brain tumor MRI datasets demonstrate significant performance improvements over the state-of-the-art models across metrics such as the dice similarity coefficient (DSC), mean Intersection over Union (mIoU), precision, and recall. In The Kvasir Dataset, the DSC increased by 2.6%, while the IOU exhibited the most significant growth at 6%. Additionally, Recall saw an enhancement of 4.1%, and Precision improved by 3.4%. In the brain tumor MRI dataset, similar advancements were observed. The DSC rose by about 2%, and the IOU grew by 3.2%. Furthermore, Recall improved by 3%, and Precision showed a 1.1% increase.</t>
  </si>
  <si>
    <t>Hasannezhad, Abtin; Sharifian, Saeed</t>
  </si>
  <si>
    <t>Sharifian, S (corresponding author), Amirkabir Univ Technol, Dept Elect Engn, Tehran 15914, Tehran, Iran.</t>
  </si>
  <si>
    <t>sharifian_s@aut.ac.ir; abtinhasannezhad@aut.ac.ir</t>
  </si>
  <si>
    <t>[Hasannezhad, Abtin; Sharifian, Saeed] Amirkabir Univ Technol, Dept Elect Engn, Tehran 15914, Tehran, Iran</t>
  </si>
  <si>
    <t>Amirkabir University of Technology</t>
  </si>
  <si>
    <t>Explainable AI enhanced transformer based UNet for medical images segmentation using gradient weighted class activation map</t>
  </si>
  <si>
    <t>SIGNAL IMAGE AND VIDEO PROCESSING</t>
  </si>
  <si>
    <t>Grad-CAM; Explainable AI; Transformer; UNet</t>
  </si>
  <si>
    <t>Sharifian, Saeed/ITV-9495-2023</t>
  </si>
  <si>
    <t>SPRINGER LONDON LTD</t>
  </si>
  <si>
    <t>236 GRAYS INN RD, 6TH FLOOR, LONDON WC1X 8HL, ENGLAND</t>
  </si>
  <si>
    <t>1863-1703</t>
  </si>
  <si>
    <t>1863-1711</t>
  </si>
  <si>
    <t>SIGNAL IMAGE VIDEO P</t>
  </si>
  <si>
    <t>Signal Image Video Process.</t>
  </si>
  <si>
    <t>FEB 21 2025</t>
  </si>
  <si>
    <t>321</t>
  </si>
  <si>
    <t>10.1007/s11760-025-03866-6</t>
  </si>
  <si>
    <t>http://dx.doi.org/10.1007/s11760-025-03866-6</t>
  </si>
  <si>
    <t>Engineering, Electrical &amp; Electronic; Imaging Science &amp; Photographic Technology</t>
  </si>
  <si>
    <t>Engineering; Imaging Science &amp; Photographic Technology</t>
  </si>
  <si>
    <t>X8H7O</t>
  </si>
  <si>
    <t>WOS:001427696600003</t>
  </si>
  <si>
    <t>Emon, MH; Mondal, PK; Mozumder, MAI; Kim, HC; Lapina, M; Babenko, M; Muthanna, MSA</t>
  </si>
  <si>
    <t>Objectives: Colorectal cancer (CRC) is the second-deadliest cancer globally, with an estimated 52,900 additional deaths expected in the United States by 2025. Early detection through colonoscopy significantly reduces CRC mortality by enabling the removal of pre-cancerous polyps. However, manual visual inspection of colonoscopy images is time-consuming, tedious, and prone to human error. This study aims to develop an automated and reliable polyp segmentation and classification method to improve CRC screening. Methods: We propose a novel deep learning architecture called mu -Net for accurate polyp segmentation in colonoscopy images. The model was trained and evaluated using the Kvasir-SEG dataset. To ensure transparency and reliability, we incorporated Explainable AI (XAI) techniques, including saliency maps and Grad-CAM, to highlight regions of interest and interpret the model's decision-making process. Results: The mu -Net model achieved a Dice coefficient of 94.02%, outperforming other available segmentation models in accuracy, indicating its strong potential for clinical deployment. Integrating XAI provided meaningful visual explanations, enhancing trust in model predictions. Conclusions: The proposed mu -Net framework significantly improves the Precision and efficiency of automated polyp screening. Its ability to segment, classify, and interpret colonoscopy images enables early detection and supports clinical decision-making. This comprehensive approach offers a valuable tool for CRC prevention, ultimately contributing to better patient outcomes.</t>
  </si>
  <si>
    <t>Emon, Mehedi Hasan; Mondal, Proloy Kumar; Mozumder, Md Ariful Islam; Kim, Hee Cheol; Lapina, Maria; Babenko, Mikhail; Muthanna, Mohammed Saleh Ali</t>
  </si>
  <si>
    <t>Lapina, M (corresponding author), Russian Acad Sci, Ivannikov Inst Syst Programming, Res Ctr Trusted Artificial Intelligence, Moscow 109004, Russia.; Lapina, M (corresponding author), North Caucasus Fed Univ, Dept Computat Math &amp; Cybernet, Stavropol 355017, Russia.</t>
  </si>
  <si>
    <t>proloykumar1996@gmail.com; heeki@inje.ac.kr; muthanna@sfedu.ru; mgbabenko@ncfu.ru; mehedihasanemon3913@gmail.com; arifulislamro@gmail.com; mlapina@ncfu.ru</t>
  </si>
  <si>
    <t>Ministry of Economic Development of the Russian Federation [000000C313925P4G0002]; Ivannikov Institute for System Programming of the Russian Academy of Sciences [139-15-2025-011]</t>
  </si>
  <si>
    <t>Ministry of Economic Development of the Russian Federation; Ivannikov Institute for System Programming of the Russian Academy of Sciences</t>
  </si>
  <si>
    <t>This work was supported by a grant, provided by the Ministry of Economic Development of the Russian Federation in accordance with the subsidy agreement (agreement identifier 000000C313925P4G0002) and the agreement with the Ivannikov Institute for System Programming of the Russian Academy of Sciences dated 20 June 2025 No. 139-15-2025-011.</t>
  </si>
  <si>
    <t>[Emon, Mehedi Hasan; Mondal, Proloy Kumar; Mozumder, Md Ariful Islam; Kim, Hee Cheol] Inje Univ, Inst Digital Antiaging Healthcare, Gimhae 50834, South Korea; [Mozumder, Md Ariful Islam] Next Stn AI, Res &amp; Dev Ctr, Dhaka 1216, Bangladesh; [Lapina, Maria] Russian Acad Sci, Ivannikov Inst Syst Programming, Res Ctr Trusted Artificial Intelligence, Moscow 109004, Russia; [Lapina, Maria; Babenko, Mikhail] North Caucasus Fed Univ, Dept Computat Math &amp; Cybernet, Stavropol 355017, Russia; [Muthanna, Mohammed Saleh Ali] Sohar Univ, Fac Comp &amp; IT, Sohar 311, Oman; [Muthanna, Mohammed Saleh Ali] Tashkent State Univ Econ, Dept Int Business Management, Tashkent 100066, Uzbekistan</t>
  </si>
  <si>
    <t>Inje University; Ivannikov Institute for System Programming of the RAS; Russian Academy of Sciences; North Caucasus Federal University; Sohar University; Tashkent State University of Economics</t>
  </si>
  <si>
    <t>An Integrated Architecture for Colorectal Polyp Segmentation: The μ-Net Framework with Explainable AI</t>
  </si>
  <si>
    <t>mu-Net; colorectal cancer; polyp segmentation; deep learning; explainable artificial intelligence</t>
  </si>
  <si>
    <t>Mozumder, Ariful Islam/AAT-9982-2021; Babenko, Mikhail/O-7403-2016; Muthanna, Mohammed Saleh Ali/AAF-4742-2021; Maria, Lapina/AAY-2311-2021</t>
  </si>
  <si>
    <t>Mozumder, Ariful Islam/0000-0001-6095-0700; Babenko, Mikhail/0000-0001-7066-0061; Muthanna, Mohammed Saleh Ali/0000-0002-1165-7812; Maria, Lapina/0000-0001-8117-9142</t>
  </si>
  <si>
    <t>NOV 14 2025</t>
  </si>
  <si>
    <t>2890</t>
  </si>
  <si>
    <t>10.3390/diagnostics15222890</t>
  </si>
  <si>
    <t>http://dx.doi.org/10.3390/diagnostics15222890</t>
  </si>
  <si>
    <t>G5487</t>
  </si>
  <si>
    <t>41300913</t>
  </si>
  <si>
    <t>WOS:001624653600001</t>
  </si>
  <si>
    <t>Opee, SA; Eva, AA; Noor, AT; Hasan, SM; Mridha, MF</t>
  </si>
  <si>
    <t>Cancer is a condition in which cells in the body grow uncontrollably, often forming tumours and potentially spreading to various areas of the body. Cancer is a hazardous medical case in medical history analysis. Every year, many people die of cancer at an early stage. Therefore, it is necessary to accurately and early identify cancer to effectively treat and save human lives. However, various machine and deep learning models are effective for cancer identification. Therefore, the effectiveness of these efforts is limited by the small dataset size, poor data quality, interclass changes between lung squamous cell carcinoma and adenocarcinoma, difficulties with mobile device deployment, and lack of image and individual-level accuracy tests. To overcome these difficulties, this study proposed an extremely lightweight model using a convolutional neural network that achieved 98.16% accuracy for a large lung and colon dataset and individually achieved 99.02% for lung cancer and 99.40% for colon cancer. The proposed lightweight model used only 70 thousand parameters, which is highly effective for real-time solutions. Explainability methods such as Grad-CAM and symmetric explanation highlight specific regions of input data that affect the decision of the proposed model, helping to identify potential challenges. The proposed models will aid medical professionals in developing an automated and accurate approach for detecting various types of colon and lung cancer.</t>
  </si>
  <si>
    <t>Opee, Shaiful Ajam; Eva, Arifa Akter; Noor, Ahmed Taj; Hasan, Sayem Mustak; Mridha, M. F.</t>
  </si>
  <si>
    <t>Mridha, MF (corresponding author), Amer Int Univ Bangladesh, Dept Comp Sci, Dhaka, Bangladesh.</t>
  </si>
  <si>
    <t>firoz.mridha@aiub.edu</t>
  </si>
  <si>
    <t>[Opee, Shaiful Ajam; Eva, Arifa Akter; Hasan, Sayem Mustak; Mridha, M. F.] Amer Int Univ Bangladesh, Dept Comp Sci, Dhaka, Bangladesh; [Noor, Ahmed Taj] Southeast Univ, Dept Comp Sci &amp; Engn, Dhaka, Bangladesh</t>
  </si>
  <si>
    <t>American International University Bangladesh (AIUB)</t>
  </si>
  <si>
    <t>ELW-CNN: An extremely lightweight convolutional neural network for enhancing interoperability in colon and lung cancer identification using explainable AI</t>
  </si>
  <si>
    <t>assisted living; biocybernetics; biomedical measurement; blind source separation; brain; electroencephalography; medical signal processing; neural nets; patient monitoring; time-frequency analysis</t>
  </si>
  <si>
    <t>CLASSIFICATION; FUTURE; LIME</t>
  </si>
  <si>
    <t>Eva, Arifa/PLR-9624-2026; Mridha, M. F/ABB-8376-2021</t>
  </si>
  <si>
    <t>Eva, Arifa Akter/0009-0004-5986-4257; Mridha, M. F/0000-0001-5738-1631</t>
  </si>
  <si>
    <t>JAN 22 2025</t>
  </si>
  <si>
    <t>e12122</t>
  </si>
  <si>
    <t>10.1049/htl2.12122</t>
  </si>
  <si>
    <t>http://dx.doi.org/10.1049/htl2.12122</t>
  </si>
  <si>
    <t>S9H7W</t>
  </si>
  <si>
    <t>39845172</t>
  </si>
  <si>
    <t>WOS:001401251900001</t>
  </si>
  <si>
    <t>Tsai, CH; Christian, M; Kuo, YY; Lu, CC; Lai, FP; Huang, WL</t>
  </si>
  <si>
    <t>Background: Sleep and physical activity suggestions for panic disorder (PD) are critical but less surveyed. This two-year prospective cohort study aims to predict panic attacks (PA), state anxiety (SA), trait anxiety (TA) and panic disorder severity (PDS) in the upcoming week. Methods: We enrolled 114 PD patients from one general hospital. Data were collected using the DSM-5, the MINI, clinical app questionnaires (BDI, BAI, PDSS-SR, STAI) and wearable devices recording daily sleep, physical activity and heart rate from 16 June 2020 to 10 June 2022. Our teams applied RNN, LSTM, GRU deep learning and SHAP explainable methods to analyse the data. Results: The 7-day prediction accuracies for PA, SA, TA, and PDS were 92.8 %, 83.6 %, 87.2 %, and 75.6 % from the LSTM model. Using the SHAP explainable model, higher initial BDI or BAI score and comorbidities with depressive disorder, generalized anxiety disorder or agoraphobia predict a higher chance of PA. However, PA decreased under the following conditions: daily average heart rate, 72-87 bpm; maximum heart rate, 100-145 bpm; resting heart rate, 55-60 bpm; daily climbing of more than nine floors; total sleep duration between 6 h 23 min and 10 h 50 min; deep sleep, &gt;50 min; and awake duration, &lt;53 min. Limitations: Moderate sample size and self-report questionnaires were the limitations. Conclusions: Deep learning predicts recurrent PA and various anxiety domains with 75.6-92.8 % accuracy. Recurrent PA decreases under adequate daily sleep and physical activity.</t>
  </si>
  <si>
    <t>Tsai, Chan-Hen; Christian, Mesakh; Kuo, Ying-Ying; Lu, Chen Chun; Lai, Feipei; Huang, Wei- Lieh</t>
  </si>
  <si>
    <t>Huang, WL (corresponding author), Natl Taiwan Univ Hosp, Yunlin Branch, 579,Sec 2,Yunlin Rd, Douliu City, Yunlin County, Taiwan.</t>
  </si>
  <si>
    <t>weiliehhuang@gmail.com</t>
  </si>
  <si>
    <t>Ministry of Science and Technology of Taiwan [MOST 110-2634-F-002-032]; En Chu Kong Hospital research plan [ECKH D11101]</t>
  </si>
  <si>
    <t>Ministry of Science and Technology of Taiwan (National Science &amp; Technology Council (NSTC) Taiwan); En Chu Kong Hospital research plan</t>
  </si>
  <si>
    <t>The Ministry of Science and Technology of Taiwan (Grant MOST 110-2634-F-002-032) and En Chu Kong Hospital research plan (ECKH D11101) supported this research.</t>
  </si>
  <si>
    <t>[Tsai, Chan-Hen; Lu, Chen Chun; Lai, Feipei] Natl Taiwan Univ, Grad Inst Biomed Elect &amp; Bioinformat, Taipei City, Taiwan; [Tsai, Chan-Hen; Kuo, Ying-Ying] En Chu Kong Hosp, Dept Psychiat, New Taipei City, Taiwan; [Christian, Mesakh; Lai, Feipei] Natl Taiwan Univ, Dept Comp Sci &amp; Informat Engn, Taipei City, Taiwan; [Huang, Wei- Lieh] Natl Taiwan Univ Hosp, Dept Psychiat, Yunlin Branch, Yunlin, Taiwan; [Huang, Wei- Lieh] Natl Taiwan Univ, Coll Med, Dept Psychiat, Taipei, Taiwan; [Huang, Wei- Lieh] Natl Taiwan Univ Hosp, Cerebellar Res Ctr, Yunlin Branch, Yunlin, Taiwan; [Huang, Wei- Lieh] Natl Taiwan Univ Hosp, Yunlin Branch, 579,Sec 2,Yunlin Rd, Douliu City, Yunlin County, Taiwan</t>
  </si>
  <si>
    <t>National Taiwan University; En Chu Kong Hospital; National Taiwan University; National Taiwan University; National Taiwan University Hospital; National Taiwan University; National Taiwan University Hospital; National Taiwan University; National Taiwan University Hospital; National Taiwan University; National Taiwan University Hospital</t>
  </si>
  <si>
    <t>Sleep, physical activity and panic attacks: A two-year prospective cohort study using smartwatches, deep learning and an explainable artificial intelligence model</t>
  </si>
  <si>
    <t>SLEEP MEDICINE</t>
  </si>
  <si>
    <t>Panic attack; Panic disorder; Smartwatch; Deep learning; Explainable artificial intelligence; Heart rate variability</t>
  </si>
  <si>
    <t>DISORDER; ANXIETY</t>
  </si>
  <si>
    <t>Huang, Wei-Lieh/AAB-4851-2022</t>
  </si>
  <si>
    <t>Huang, Wei-Lieh/0000-0001-5786-3366</t>
  </si>
  <si>
    <t>1389-9457</t>
  </si>
  <si>
    <t>1878-5506</t>
  </si>
  <si>
    <t>SLEEP MED</t>
  </si>
  <si>
    <t>Sleep Med.</t>
  </si>
  <si>
    <t>114</t>
  </si>
  <si>
    <t>10.1016/j.sleep.2023.12.013</t>
  </si>
  <si>
    <t>http://dx.doi.org/10.1016/j.sleep.2023.12.013</t>
  </si>
  <si>
    <t>GS7V4</t>
  </si>
  <si>
    <t>38154150</t>
  </si>
  <si>
    <t>WOS:001154736000001</t>
  </si>
  <si>
    <t>Salimi, Y; Mansouri, Z; Amini, M; Mainta, I; Zaidi, H</t>
  </si>
  <si>
    <t>Purpose. Positron emission tomography (PET) image quality can be affected by artifacts emanating from PET, computed tomography (CT), or artifacts due to misalignment between PET and CT images. Automated detection of misalignment artifacts can be helpful both in data curation and in facilitating clinical workflow. This study aimed to develop an explainable machine learning approach to detect misalignment artifacts in PET/CT imaging. Approach. This study included 1216 PET/CT images. All images were visualized and images with respiratory misalignment artifact (RMA) detected. Using previously trained models, four organs including the lungs, liver, spleen, and heart were delineated on PET and CT images separately. Data were randomly split into cross-validation (80%) and test set (20%), then two segmentations performed on PET and CT images were compared and the comparison metrics used as predictors for a random forest framework in a 10-fold scheme on cross-validation data. The trained models were tested on 20% test set data. The model's performance was calculated in terms of specificity, sensitivity, F1-Score and area under the curve (AUC). Main results. Sensitivity, specificity, and AUC of 0.82, 0.85, and 0.91 were achieved in ten-fold data split. F1_score, sensitivity, specificity, and AUC of 84.5 vs 82.3, 83.9 vs 83.8, 87.7 vs 83.5, and 93.2 vs 90.1 were achieved for cross-validation vs test set, respectively. The liver and lung were the most important organs selected after feature selection. Significance. We developed an automated pipeline to segment four organs from PET and CT images separately and used the match between these segmentations to decide about the presence of misalignment artifact. This methodology may follow the same logic as a reader detecting misalignment through comparing the contours of organs on PET and CT images. The proposed method can be used to clean large datasets or integrated into a clinical scanner to indicate artifactual cases.</t>
  </si>
  <si>
    <t>Salimi, Yazdan; Mansouri, Zahra; Amini, Mehdi; Mainta, Ismini; Zaidi, Habib</t>
  </si>
  <si>
    <t>Zaidi, H (corresponding author), Geneva Univ Hosp, Div Nucl Med &amp; Mol Imaging, Geneva, Switzerland.; Zaidi, H (corresponding author), Univ Groningen, Univ Med Ctr Groningen, Dept Nucl Med &amp; Mol Imaging, Groningen, Netherlands.; Zaidi, H (corresponding author), Univ Southern Denmark, Dept Nucl Med, Odense, Denmark.; Zaidi, H (corresponding author), Obuda Univ, Univ Res &amp; Innovat Ctr, Budapest, Hungary.</t>
  </si>
  <si>
    <t>habib.zaidi@hug.ch</t>
  </si>
  <si>
    <t>Euratom [945196]; Euratom research and training Programme [SNSF 320030-231742]; Swiss National Science Foundation</t>
  </si>
  <si>
    <t>Euratom (Euratom); Euratom research and training Programme (Euratom); Swiss National Science Foundation (Swiss National Science Foundation (SNSF))</t>
  </si>
  <si>
    <t>This work was supported by the Euratom research and training Programme 2019-2020 Sinfonia project under Grant Agreement No. 945196 and the Swiss National Science Foundation under Grant SNSF 320030-231742.</t>
  </si>
  <si>
    <t>[Salimi, Yazdan; Mansouri, Zahra; Amini, Mehdi; Mainta, Ismini; Zaidi, Habib] Geneva Univ Hosp, Div Nucl Med &amp; Mol Imaging, Geneva, Switzerland; [Zaidi, Habib] Univ Groningen, Univ Med Ctr Groningen, Dept Nucl Med &amp; Mol Imaging, Groningen, Netherlands; [Zaidi, Habib] Univ Southern Denmark, Dept Nucl Med, Odense, Denmark; [Zaidi, Habib] Obuda Univ, Univ Res &amp; Innovat Ctr, Budapest, Hungary</t>
  </si>
  <si>
    <t>University of Geneva; University of Groningen; University of Southern Denmark; Obuda University</t>
  </si>
  <si>
    <t>Explainable AI for automated respiratory misalignment detection in PET/CT imaging</t>
  </si>
  <si>
    <t>PHYSICS IN MEDICINE AND BIOLOGY</t>
  </si>
  <si>
    <t>PET/CT; image quality; misalignment artifact; deep learning; segmentation</t>
  </si>
  <si>
    <t>CT ATTENUATION; ORGAN MOTION; LUNG-CANCER; IMAGES; MISREGISTRATION; QUANTIFICATION; DEFORMATION; MOVEMENT; ERRORS; HEAD</t>
  </si>
  <si>
    <t>Zaidi, Habib/I-4669-2017; Salimi, Yazdan/IAR-1595-2023; Mansouri, Zahra/GYV-1350-2022; Amini, Mehdi/JHV-0840-2023; Mainta, Ismini Charis/AAB-4385-2020</t>
  </si>
  <si>
    <t>Zaidi, Habib/0000-0001-7559-5297; Salimi, Yazdan/0000-0002-1233-9576; Mansouri, Zahra/0000-0003-2087-9721; Amini, Mehdi/0000-0002-4370-680X; Mainta, Ismini Charis/0000-0001-5296-0116</t>
  </si>
  <si>
    <t>0031-9155</t>
  </si>
  <si>
    <t>1361-6560</t>
  </si>
  <si>
    <t>PHYS MED BIOL</t>
  </si>
  <si>
    <t>Phys. Med. Biol.</t>
  </si>
  <si>
    <t>NOV 7 2024</t>
  </si>
  <si>
    <t>69</t>
  </si>
  <si>
    <t>215036</t>
  </si>
  <si>
    <t>10.1088/1361-6560/ad8857</t>
  </si>
  <si>
    <t>http://dx.doi.org/10.1088/1361-6560/ad8857</t>
  </si>
  <si>
    <t>K7S2Z</t>
  </si>
  <si>
    <t>39419113</t>
  </si>
  <si>
    <t>WOS:001345829500001</t>
  </si>
  <si>
    <t>Tong, MW; Ziegeler, K; Kreutzinger, V; Majumdar, S</t>
  </si>
  <si>
    <t>Effective management of non-specific chronic lower back pain (ns-cLBP) requires nuanced prescription decisions within evolving guidelines for conservative treatment. This study developed comprehensive LBP patient profiles from electronic medical records (EMR), integrating clinical charts (demographics, social determinants, diagnoses, medications) and radiology reports (MRI-confirmed diagnoses) to predict pharmacological management strategies. One-vs-one and one-vs-rest classification frameworks systematically evaluated treatment decisions across three prescriptions: no medication, NSAIDs, and opioids. Real-world complexity and heterogeneity in ns-cLBP management was reflected in modest yet clinically meaningful performance metrics (balanced accuracy = 0.58, AUC = 0.62, F1-score = 0.42). Chart-documented diagnoses marginally outperformed MRI-reported pathology as predictors, though this difference was within the range of variability, which suggests the importance of diagnoses informed by patient-reported symptoms in shaping treatment pathways. SHAP feature importance analysis identified consistent predictors (year_at_first_imaging) and variable factors (spinal_stenosis, disc_pathology, race_ethnicity, negative_psych_state, osteoarthritis_osteoarthrosis) in prescriptions, with higher associations observed in those with anxiety or depression, partnered individuals and females. By leveraging explainable AI, this study quantifies the interplay between biological and psychosocial drivers of prescribing decisions, offering a transparent, data-driven monitoring tool for understanding in chronic pain care. These findings demonstrate the potential of multi-modal EMR data and interpretable models to guide more personalized, equitable ns-cLBP management and opioid prescriptions.</t>
  </si>
  <si>
    <t>Tong, Michelle W.; Ziegeler, Katharina; Kreutzinger, Virginie; Majumdar, Sharmila</t>
  </si>
  <si>
    <t>Tong, MW (corresponding author), Univ Calif San Francisco, Dept Radiol &amp; Biomed Imaging, San Francisco, CA 94143 USA.; Tong, MW (corresponding author), Univ Calif Berkeley, Dept Bioengn, Berkeley, CA 94720 USA.; Tong, MW (corresponding author), Univ Calif San Francisco, Dept Bioengn &amp; Therapeut Sci, San Francisco, CA 94143 USA.</t>
  </si>
  <si>
    <t>michelle.tong2@ucsf.edu</t>
  </si>
  <si>
    <t>National Institutes of Health; UCSF Bakar Computational Health Sciences Institute; CTSI Research Technology Program</t>
  </si>
  <si>
    <t>National Institutes of Health (United States Department of Health &amp; Human Services, National Institutes of Health (NIH) - USA); UCSF Bakar Computational Health Sciences Institute; CTSI Research Technology Program</t>
  </si>
  <si>
    <t>The authors acknowledge the use of the UCSF Information Commons computational research platform, developed and supported by UCSF Bakar Computational Health Sciences Institute in collaboration with IT Academic Research Services, Center for Intelligent Imaging Computational Core, and CTSI Research Technology Program.</t>
  </si>
  <si>
    <t>[Tong, Michelle W.; Ziegeler, Katharina; Kreutzinger, Virginie; Majumdar, Sharmila] Univ Calif San Francisco, Dept Radiol &amp; Biomed Imaging, San Francisco, CA 94143 USA; [Tong, Michelle W.] Univ Calif Berkeley, Dept Bioengn, Berkeley, CA 94720 USA; [Tong, Michelle W.; Majumdar, Sharmila] Univ Calif San Francisco, Dept Bioengn &amp; Therapeut Sci, San Francisco, CA 94143 USA</t>
  </si>
  <si>
    <t>University of California System; University of California San Francisco; University of California System; University of California Berkeley; University of California System; University of California San Francisco</t>
  </si>
  <si>
    <t>Explainable AI reveals tissue pathology and psychosocial drivers of opioid prescription for non-specific chronic low back pain</t>
  </si>
  <si>
    <t>EMR; EHR; Explainable/Interpretable AI; Non-specific chronic lower back pain; Medication; Prescription; Opioid; NSAID</t>
  </si>
  <si>
    <t>CARE; GUIDELINES; HEALTH; COST</t>
  </si>
  <si>
    <t>Ziegeler, Katharina/AAN-7492-2021</t>
  </si>
  <si>
    <t>Tong, Michelle/0000-0001-8766-7542</t>
  </si>
  <si>
    <t>AUG 21 2025</t>
  </si>
  <si>
    <t>30690</t>
  </si>
  <si>
    <t>10.1038/s41598-025-13619-7</t>
  </si>
  <si>
    <t>http://dx.doi.org/10.1038/s41598-025-13619-7</t>
  </si>
  <si>
    <t>6QO3J</t>
  </si>
  <si>
    <t>40841394</t>
  </si>
  <si>
    <t>WOS:001559642200019</t>
  </si>
  <si>
    <t>Ebraheem, M; Toghranegar, J; Bensoussan, Y; Templeton, JM</t>
  </si>
  <si>
    <t>Background: Driven by recent advances in artificial intelligence (AI), particularly in medicine, audio-based voice and speech biomarkers are increasingly investigated for various medical applications as a complementary or even alternative modality to traditional medical devices. The adoption of deep learning techniques in recent literature is motivated by their superior performance compared to classical machine learning methods. However, ethical and regulatory concerns regarding the black-box nature of these models have limited their integration into clinical workflows. Consequently, explainable artificial intelligence (XAI) has recently been used to address this issue by generating explanations for opaque model outputs. Ideally, medical XAI systems aim to provide human-understandable, clinically grounded explanations essential for enhanced AI trustworthiness and, thereby, facilitate adoption into real-world clinical settings. Objective: We conduct a systematic literature review of XAI methods applied for explaining deep learning techniques in audio-based voice and speech clinical applications. We aim to identify what XAI methods have been used to explain the decisions of deep learning voice and speech AI systems in health care, as well as XAI-informed insights. Additionally, we aim to contextualize these findings with respect to clinical applicability and stakeholder relevance. Lastly, we identify opportunities Methods: We used PRISMA (Preferred Reporting Items for Systematic Reviews and Meta-Analyses). Six electronic databases (IEEE Xplore, ACM Digital Library, Scopus, PubMed, Web of Science, and Nature) were searched for papers published between January 2015 and February 2025. Eligible studies applied explainability or interpretability methods to deep learning models for voice or speech audio in health care contexts. Risk of bias was assessed using PROBAST+AI (Prediction Model Risk of Bias Assessment Tool). The results were thematically synthesized across explainability categories, input representations, clinical domains, validation strategies, and stakeholder considerations. Results: A total of 30 studies met the inclusion criteria. These studies used a range of explainability approaches, includanalyses, concept-based detectors, and attention-based explanations. Applications spanned diverse clinical domains, including voice disorders, neurodegenerative diseases, psychiatric conditions, and traumatic brain injury. Overall, results indicate that most studies relied primarily on qualitative interpretation of explainability outputs, with limited quantitative validation of explanation consistency across external datasets. Furthermore, none of the included studies explicitly conducted human-in-theloop evaluations with relevant stakeholders, highlighting a substantial gap in stakeholder alignment. domain-specific design, and misalignment with clinical stakeholder needs. This review highlights opportunities for developing validated, audio-aware, and stakeholder-centered XAI approaches to support trustworthy clinical deployment. Interpretation of these findings should consider limitations related to single-reviewer study selection, potential high-risk of bias, and the repeated use of benchmark datasets.</t>
  </si>
  <si>
    <t>Ebraheem, Mohamed; Toghranegar, Jamie; Bensoussan, Yael; Templeton, John Michael</t>
  </si>
  <si>
    <t>Ebraheem, M (corresponding author), Univ S Florida, Bellini Coll Artificial Intelligence Cybersecur &amp;, 4202 East Fowler Ave, Tampa, FL 33620 USA.</t>
  </si>
  <si>
    <t>mohamedusama@usf.edu</t>
  </si>
  <si>
    <t>NIH (National Institutes of Health) Common Fund [3OT2OD032720-01S2]</t>
  </si>
  <si>
    <t>NIH (National Institutes of Health) Common Fund (United States Department of Health &amp; Human Services, National Institutes of Health (NIH) - USA, Office of the Administrator (NIH))</t>
  </si>
  <si>
    <t>This project is part of the Bridge2AI-Voice program funded by the NIH (National Institutes of Health) Common Fund #3OT2OD032720-01S2. YB is the principal investigator for this grant.</t>
  </si>
  <si>
    <t>[Ebraheem, Mohamed; Templeton, John Michael] Univ S Florida, Bellini Coll Artificial Intelligence Cybersecur &amp;, 4202 East Fowler Ave, Tampa, FL 33620 USA; [Toghranegar, Jamie; Bensoussan, Yael] Univ S Florida, USF Hlth Voice Ctr, Dept Otolaryngol Head &amp; Neck Surg, Tampa, FL USA; [Templeton, John Michael; Bridge AI-Voice Consortium] Univ S Florida, Coll Engn, Med Engn, Tampa, FL USA</t>
  </si>
  <si>
    <t>State University System of Florida; University of South Florida; State University System of Florida; University of South Florida; State University System of Florida; University of South Florida</t>
  </si>
  <si>
    <t>Bridge AI-Voice Consortium</t>
  </si>
  <si>
    <t>Explainable and Interpretable AI for Voice and Speech Analysis in Clinical Care: Systematic Review</t>
  </si>
  <si>
    <t>explainable artificial intelligence; clinical voice analysis; speech biomarkers; deep learning; interpretability; medical decision support; trustworthy AI; artificial intelligence</t>
  </si>
  <si>
    <t>BLACK-BOX; HYPERNASALITY; DISORDERS; DECISIONS; ACCURACY; DATABASE; NETWORK</t>
  </si>
  <si>
    <t>Bensoussan, Yael/AGZ-4557-2022</t>
  </si>
  <si>
    <t>Toghranegar, Jamie/0009-0007-4113-8806</t>
  </si>
  <si>
    <t>126</t>
  </si>
  <si>
    <t>JUN 24 2026</t>
  </si>
  <si>
    <t>e83790</t>
  </si>
  <si>
    <t>10.2196/83790</t>
  </si>
  <si>
    <t>http://dx.doi.org/10.2196/83790</t>
  </si>
  <si>
    <t>KS6DP</t>
  </si>
  <si>
    <t>42341346</t>
  </si>
  <si>
    <t>WOS:001814621800005</t>
  </si>
  <si>
    <t>Neri, E; Aghakhanyan, G; Zerunian, M; Gandolfo, N; Grassi, R; Miele, V; Giovagnoni, A; Laghi, A</t>
  </si>
  <si>
    <t>The term Explainable Artificial Intelligence (xAI) groups together the scientific body of knowledge developed while searching for methods to explain the inner logic behind the AI algorithm and the model inference based on knowledge-based interpretability. The xAI is now generally recognized as a core area of AI. A variety of xAI methods currently are available to researchers; nonetheless, the comprehensive classification of the xAI methods is still lacking. In addition, there is no consensus among the researchers with regards to what an explanation exactly is and which are salient properties that must be considered to make it understandable for every end-user. The SIRM introduces an xAI-white paper, which is intended to aid Radiologists, medical practitioners, and scientists in the understanding an emerging field of xAI, the black-box problem behind the success of the AI, the xAI methods to unveil the black-box into a glass-box, the role, and responsibilities of the Radiologists for appropriate use of the AI-technology. Due to the rapidly changing and evolution of AI, a definitive conclusion or solution is far away from being defined. However, one of our greatest responsibilities is to keep up with the change in a critical manner. In fact, ignoring and discrediting the advent of AI a priori will not curb its use but could result in its application without awareness. Therefore, learning and increasing our knowledge about this very important technological change will allow us to put AI at our service and at the service of the patients in a conscious way, pushing this paradigm shift as far as it will benefit us.</t>
  </si>
  <si>
    <t>Neri, Emanuele; Aghakhanyan, Gayane; Zerunian, Marta; Gandolfo, Nicoletta; Grassi, Roberto; Miele, Vittorio; Giovagnoni, Andrea; Laghi, Andrea</t>
  </si>
  <si>
    <t>Aghakhanyan, G (corresponding author), Univ Pisa, Dept Translat Res &amp; New Surg &amp; Med Technol, Acad Radiol, Pisa, Italy.</t>
  </si>
  <si>
    <t>gayane.aghakhanyan@med.unipi.it</t>
  </si>
  <si>
    <t>Regione Toscana [DD 15397/2018] Funding Source: Medline</t>
  </si>
  <si>
    <t>Regione Toscana (Regione Toscana)</t>
  </si>
  <si>
    <t>[Neri, Emanuele; Aghakhanyan, Gayane] Univ Pisa, Dept Translat Res &amp; New Surg &amp; Med Technol, Acad Radiol, Pisa, Italy; [Zerunian, Marta; Laghi, Andrea] Sapienza Univ Rome, St Andrea Hosp, Med Surg Sci &amp; Translat Med, Rome, Italy; [Gandolfo, Nicoletta] VillaScassi Hosp ASL 3, Diagnost Imaging Dept, Corso Scassi 1, Genoa, Italy; [Grassi, Roberto] Univ Campania Luigi Vanvitelli, Radiol Unit, Naples, Italy; [Miele, Vittorio] Careggi Univ Hosp, Dept Radiol, Florence, Italy; [Giovagnoni, Andrea] Osped Riuniti Ancona, Azienda Osped Univ, Dept Radiol Sci, Radiol Clin, Ancona, Italy</t>
  </si>
  <si>
    <t>University of Pisa; Sapienza University Rome; Azienda Ospedaliera Sant'Andrea; Universita della Campania Vanvitelli; University of Florence; Azienda Ospedaliero Universitaria Careggi</t>
  </si>
  <si>
    <t>SIRM Expert Grp Artificial Intelli</t>
  </si>
  <si>
    <t>Explainable AI in radiology: a white paper of the Italian Society of Medical and Interventional Radiology</t>
  </si>
  <si>
    <t>RADIOLOGIA MEDICA</t>
  </si>
  <si>
    <t>Artificial intelligence; Black-box problem; Explainable AI; Trustable AI</t>
  </si>
  <si>
    <t>Aghakhanyan, Gayane/GWC-5304-2022; Neri, Emanuele/N-1378-2019; Zerunian, Marta/AAC-9731-2021; Laghi, Andrea/A-2343-2011</t>
  </si>
  <si>
    <t>Aghakhanyan, Gayane/0000-0001-5152-497X; Zerunian, Marta/0000-0003-4635-7999; Laghi, Andrea/0000-0002-3091-7819</t>
  </si>
  <si>
    <t>SPRINGER-VERLAG ITALIA SRL</t>
  </si>
  <si>
    <t>MILAN</t>
  </si>
  <si>
    <t>VIA DECEMBRIO, 28, MILAN, 20137, ITALY</t>
  </si>
  <si>
    <t>0033-8362</t>
  </si>
  <si>
    <t>1826-6983</t>
  </si>
  <si>
    <t>RADIOL MED</t>
  </si>
  <si>
    <t>Radiol. Med.</t>
  </si>
  <si>
    <t>JUN 2023</t>
  </si>
  <si>
    <t>128</t>
  </si>
  <si>
    <t>755</t>
  </si>
  <si>
    <t>764</t>
  </si>
  <si>
    <t>10.1007/s11547-023-01634-5</t>
  </si>
  <si>
    <t>http://dx.doi.org/10.1007/s11547-023-01634-5</t>
  </si>
  <si>
    <t>I6DF2</t>
  </si>
  <si>
    <t>37155000</t>
  </si>
  <si>
    <t>WOS:000983924400001</t>
  </si>
  <si>
    <t>Bechny, M; Fiorillo, L; van der Meer, J; Schmidt, M; Bassetti, C; Tzovara, A; Faraci, F</t>
  </si>
  <si>
    <t>Recent advancements in artificial intelligence (AI) have significantly improved sleep-scoring algorithms, bringing their performance close to the theoretical limit of approximately 80%, which aligns with inter-scorer agreement levels. While this suggests the problem is technically solved, clinical adoption remains challenging due to ethical and regulatory requirements for rigorous validation, fairness, and human oversight. Existing validation methods, such as Bland-Altman analysis, often rely on simple correlation metrics, overlooking potential non-linear influences of external factors (e.g., demographic or clinical variables) on systematic predictive errors (biases) in derived clinical markers. Additionally, performance metrics are typically reported as the mean of on-subject results, neglecting critical scenarios-such as different quantiles-that could better convey the algorithm's capabilities and limitations to clinicians as end-users. To address this gap, we propose a universal framework for quantifying both performance metrics and biases in predictive algorithmic tools. Our approach extends conventional validation methods by analyzing how external factors shape the entire distribution of predictive performance and errors, rather than just the expected mean. Applying it to the widely recognized U-Sleep and YASA sleep-scoring algorithms, we identify biases-such as age-related shifts-indicating missing input information or imbalances in training data. Despite these biases, we illustrate that both algorithms maintain non-inferior performance in the risk assessment of sleep apnea based on prediction-derived markers, highlighting the potential and clinical utility of algorithmic insights.</t>
  </si>
  <si>
    <t>Bechny, Michal; Fiorillo, Luigi; van der Meer, Julia; Schmidt, Markus; Bassetti, Claudio; Tzovara, Athina; Faraci, Francesca</t>
  </si>
  <si>
    <t>Bechny, M (corresponding author), Univ Bern, Inst Comp Sci, CH-3012 Bern, Switzerland.; Bechny, M (corresponding author), Univ Appl Sci &amp; Arts Southern Switzerland SUPSI, Inst Digital Technol Personalized Healthcare MeDiT, CH-6962 Lugano, Switzerland.</t>
  </si>
  <si>
    <t>bechnymichal@gmail.com</t>
  </si>
  <si>
    <t>[Bechny, Michal; Tzovara, Athina] Univ Bern, Inst Comp Sci, CH-3012 Bern, Switzerland; [Bechny, Michal; Fiorillo, Luigi; Faraci, Francesca] Univ Appl Sci &amp; Arts Southern Switzerland SUPSI, Inst Digital Technol Personalized Healthcare MeDiT, CH-6962 Lugano, Switzerland; [Fiorillo, Luigi] Ente Osped Cantonale, Parkinson Dis &amp; Movement Disorder Ctr, Neuroctr Southern Switzerland, CH-6903 Lugano, Switzerland; [van der Meer, Julia; Schmidt, Markus; Bassetti, Claudio; Tzovara, Athina] Inselspital Bern, Bern Univ Hosp, Dept Neurol, CH-3010 Bern, Switzerland; [van der Meer, Julia; Schmidt, Markus; Bassetti, Claudio; Tzovara, Athina] Univ Bern, CH-3010 Bern, Switzerland</t>
  </si>
  <si>
    <t>University of Bern; University of Bern; University Hospital of Bern; University of Bern</t>
  </si>
  <si>
    <t>Beyond accuracy: a framework for evaluating algorithmic bias and performance, applied to automated sleep scoring</t>
  </si>
  <si>
    <t>PERIODIC LIMB MOVEMENTS; INTERRATER RELIABILITY; AGE; METAANALYSIS; CHILDHOOD; AGREEMENT; MEDICINE; SCORERS</t>
  </si>
  <si>
    <t>van der Meer, Julia/KVA-9231-2024; Faraci, Francesca/B-9709-2008; Fiorillo, Luigi/ABC-7130-2020</t>
  </si>
  <si>
    <t>van der Meer, Julia/0000-0002-1913-5146</t>
  </si>
  <si>
    <t>21421</t>
  </si>
  <si>
    <t>10.1038/s41598-025-06019-4</t>
  </si>
  <si>
    <t>http://dx.doi.org/10.1038/s41598-025-06019-4</t>
  </si>
  <si>
    <t>4OR5D</t>
  </si>
  <si>
    <t>40595988</t>
  </si>
  <si>
    <t>WOS:001523022200006</t>
  </si>
  <si>
    <t>Jiang, JL; Kahai, S; Yang, M</t>
  </si>
  <si>
    <t>In recent years, AI explainability (XAI) has received wide attention. Although XAI is expected to play a positive role in decision-making and advice acceptance, various opposing effects have also been found. The opposing effects of XAI highlight the critical role of context, especially human factors, in understanding XAI's impacts. This study investigates the effects of providing three types of post-hoc explanations (alternative advice, prediction confidence scores, and prediction rationale) on two context-specific user decision-making outcomes (AI advice acceptance and advice adoption). Our field experiment results show that users' epistemic uncertainty matters when understanding XAI's impacts. As users' epistemic uncertainty increases, only providing prediction rationale is beneficial, whereas providing alternative advice and showing prediction confidence scores may hinder users' advice acceptance. Our study contributes to the emerging literature on the human aspects of XAI by clarifying XAI and showing that XAI may not always be desirable. It also contributes by highlighting the importance of considering user profiles when predicting XAI's impacts, designing XAI, and providing professional services with AI.</t>
  </si>
  <si>
    <t>Jiang, Jinglu; Kahai, Surinder; Yang, Ming</t>
  </si>
  <si>
    <t>Yang, M (corresponding author), Cent Univ Finance &amp; Econ, Sch Informat, Beijing, Peoples R China.</t>
  </si>
  <si>
    <t>yangming@cufe.edu.cn</t>
  </si>
  <si>
    <t>National Natural Science Foundation of China [71874215, 72172168]</t>
  </si>
  <si>
    <t>Acknowledgments This work was supported in part by grants from the National Natural Science Foundation of China (Nos. 71874215, 72172168) offered to the corresponding author.</t>
  </si>
  <si>
    <t>[Jiang, Jinglu; Kahai, Surinder] Binghamton Univ, Sch Management, Binghamton, NY USA; [Yang, Ming] Cent Univ Finance &amp; Econ, Sch Informat, Beijing, Peoples R China</t>
  </si>
  <si>
    <t>University at Albany, SUNY; State University of New York (SUNY) System; Binghamton University, SUNY; Central University of Finance &amp; Economics</t>
  </si>
  <si>
    <t>Who needs explanation and when? Juggling explainable AI and user epistemic uncertainty</t>
  </si>
  <si>
    <t>INTERNATIONAL JOURNAL OF HUMAN-COMPUTER STUDIES</t>
  </si>
  <si>
    <t>AI explainability; AI advice acceptance; Medical AI; Human-AI interaction; Experiment</t>
  </si>
  <si>
    <t>ARTIFICIAL-INTELLIGENCE; RECOMMENDATION AGENTS; HEALTH LITERACY; DECISION AIDS; BLACK-BOX; TRUST; CONFIDENCE; SATISFACTION; ACCEPTANCE; IMPACT</t>
  </si>
  <si>
    <t>Yang, Ming/AGR-8449-2022; Jiang, Jinglu/AEO-6943-2022</t>
  </si>
  <si>
    <t>Kahai, Surinder S/0000-0003-4555-3613; Yang, Ming/0000-0002-0182-5974; Jiang, Jinglu/0000-0001-6464-9683</t>
  </si>
  <si>
    <t>71</t>
  </si>
  <si>
    <t>370</t>
  </si>
  <si>
    <t>ACADEMIC PRESS LTD- ELSEVIER SCIENCE LTD</t>
  </si>
  <si>
    <t>24-28 OVAL RD, LONDON NW1 7DX, ENGLAND</t>
  </si>
  <si>
    <t>1071-5819</t>
  </si>
  <si>
    <t>1095-9300</t>
  </si>
  <si>
    <t>INT J HUM-COMPUT ST</t>
  </si>
  <si>
    <t>Int. J. Hum.-Comput. Stud.</t>
  </si>
  <si>
    <t>SEP 2022</t>
  </si>
  <si>
    <t>165</t>
  </si>
  <si>
    <t>102839</t>
  </si>
  <si>
    <t>10.1016/j.ijhcs.2022.102839</t>
  </si>
  <si>
    <t>http://dx.doi.org/10.1016/j.ijhcs.2022.102839</t>
  </si>
  <si>
    <t>Computer Science, Cybernetics; Ergonomics; Psychology, Multidisciplinary</t>
  </si>
  <si>
    <t>Computer Science; Engineering; Psychology</t>
  </si>
  <si>
    <t>1K6JS</t>
  </si>
  <si>
    <t>WOS:000798705200001</t>
  </si>
  <si>
    <t>Kim, YT; Cho, JE; Hwang, MJ; Kaushal, S; Singhal, N; Kim, JB; Do, S; Lim, DK</t>
  </si>
  <si>
    <t>The analysis of complex Raman spectra from biological samples has traditionally relied on conventional chemometric-based methods, the performance of which has been further improved by artificial intelligence (AI). The accurate identification of bacteria is critical to preventing sepsis, even in advanced clinical settings. Among several methods, Raman scattering has shown great promise in overcoming the limitations of conventional approaches. Despite this promise, unresolved challenges remain in the optimization of SERS and interpretation of AI algorithms. In this study, we used colloidal Au and Ag nanoparticles (NPs) to obtain reproducible surface-enhanced Raman scattering (SERS) spectra of bacteria. We investigated the effects of ligands on plasmonic NPs and wavelength dependence in SERS-based bacterial identification. The analysis was conducted within the biological fingerprint region of 500-1300 cm-1. Using a deep neural network model, the targeted SERS approach with mannose-modified AuNPs under 532 nm excitation achieved a high classification accuracy (96.1%) for 14 bacterial species. In addition, we propose a framework designed to explain how AI algorithms accurately interpret Raman spectra. The normalized positive values of Shapley additive explanations (npSHAP) were utilized to identify the top five peaks as an AI-selected spectral barcode. The spectral signatures identified by the proposed framework are presented in a manner that is both intuitive and straightforward, facilitating a clear and precise interpretation of the bacterial classification process.</t>
  </si>
  <si>
    <t>Kim, Young-Tak; Cho, Ju Eun; Hwang, Min Ji; Kaushal, Shimayali; Singhal, Nitin; Kim, Jung Bin; Do, Synho; Lim, Dong-Kwon</t>
  </si>
  <si>
    <t>Do, S (corresponding author), Harvard Med Sch, Massachusetts Gen Hosp, Dept Radiol, Boston, MA 02114 USA.; Lim, DK (corresponding author), Korea Univ, KU KIST Grad Sch Converging Sci &amp; Technol, Seoul 02841, South Korea.; Do, S (corresponding author), Harvard Univ, Kempner Inst, Boston, MA 02134 USA.; Lim, DK (corresponding author), Korea Univ, Coll Engn, Dept Integrat Energy Engn, 145 Anam ro, Seoul 02841, South Korea.; Lim, DK (corresponding author), Korea Inst Sci &amp; Technol KIST, Brain Sci Inst, Seoul 02792, South Korea.</t>
  </si>
  <si>
    <t>dklim@korea.ac.kr; sdo@mgh.harvard.edu</t>
  </si>
  <si>
    <t>Korea University [NA]; National Research Foundation of Korea [RS-2025-16070563]</t>
  </si>
  <si>
    <t>Korea University (Korea University); National Research Foundation of Korea (National Research Foundation of Korea)</t>
  </si>
  <si>
    <t>This work was supported by Korea University, the KU-KIST Research Fund, and the National Research Foundation (NRF) of Korea (RS-2025-16070563).</t>
  </si>
  <si>
    <t>[Kim, Young-Tak; Do, Synho] Harvard Med Sch, Massachusetts Gen Hosp, Dept Radiol, Boston, MA 02114 USA; [Cho, Ju Eun; Hwang, Min Ji; Lim, Dong-Kwon] Korea Univ, KU KIST Grad Sch Converging Sci &amp; Technol, Seoul 02841, South Korea; [Kaushal, Shimayali; Singhal, Nitin] Natl Agrifood Biotechnol Inst NABI, Mohali 140306, Punjab, India; [Kim, Jung Bin] Korea Univ, Korea Univ Med, Dept Neurol, Anam Hosp, Seoul 02841, South Korea; [Kim, Jung Bin] Korea Univ, Korea Univ Med, Anam Hosp, Smart Healthcare Res Ctr, Seoul 02841, South Korea; [Kim, Jung Bin] Korea Univ, Korea Univ Med, Anam Hosp, Artificial Intelligence R&amp;D Ctr, Seoul 02841, South Korea; [Do, Synho] Harvard Univ, Kempner Inst, Boston, MA 02134 USA; [Lim, Dong-Kwon] Korea Univ, Coll Engn, Dept Integrat Energy Engn, 145 Anam ro, Seoul 02841, South Korea; [Lim, Dong-Kwon] Korea Inst Sci &amp; Technol KIST, Brain Sci Inst, Seoul 02792, South Korea</t>
  </si>
  <si>
    <t>Harvard University; Harvard Medical School; Harvard University Medical Affiliates; Massachusetts General Hospital; Korea University; Department of Biotechnology (DBT) India; National Agri Food Biotechnology Institute (NABI); Korea University; Korea University Medicine (KU Medicine); Korea University; Korea University Medicine (KU Medicine); Korea University; Korea University Medicine (KU Medicine); Harvard University; Korea University; Korea Institute of Science &amp; Technology (KIST)</t>
  </si>
  <si>
    <t>Targeted Surface-Enhanced Raman Scattering for Highly Accurate Identification of Bacterial Species and Finding Spectral Signatures with Explainable Artificial Intelligence</t>
  </si>
  <si>
    <t>ACS NANO</t>
  </si>
  <si>
    <t>surface-enhanced Ramanscattering; bacterial identification; explainableAI; spectral signatures; plasmonicnanoparticles</t>
  </si>
  <si>
    <t>1936-0851</t>
  </si>
  <si>
    <t>1936-086X</t>
  </si>
  <si>
    <t>ACS Nano</t>
  </si>
  <si>
    <t>MAY 12 2026</t>
  </si>
  <si>
    <t>13636</t>
  </si>
  <si>
    <t>13648</t>
  </si>
  <si>
    <t>10.1021/acsnano.6c00119</t>
  </si>
  <si>
    <t>http://dx.doi.org/10.1021/acsnano.6c00119</t>
  </si>
  <si>
    <t>Chemistry, Multidisciplinary; Chemistry, Physical; Nanoscience &amp; Nanotechnology; Materials Science, Multidisciplinary</t>
  </si>
  <si>
    <t>Chemistry; Science &amp; Technology - Other Topics; Materials Science</t>
  </si>
  <si>
    <t>HU6PE</t>
  </si>
  <si>
    <t>41985172</t>
  </si>
  <si>
    <t>WOS:001741484100001</t>
  </si>
  <si>
    <t>Colautti, L; Casella, M; Robba, M; Marocco, D; Ponticorvo, M; Iannello, P; Antonietti, A; Marra, C</t>
  </si>
  <si>
    <t>Background/Objectives: The study aims to identify key cognitive and non-cognitive variables (e.g., clinical, neuroimaging, and genetic data) predicting cognitive decline in Parkinson's disease (PD) patients using machine learning applied to a sample (N = 618) from the Parkinson's Progression Markers Initiative database. Traditional research has mainly employed explanatory approaches to explore variable relationships, rather than maximizing predictive accuracy for future cognitive decline. In the present study, we implemented a predictive framework that integrates a broad range of baseline cognitive, clinical, genetic, and imaging data to accurately forecast changes in cognitive functioning in PD patients. Methods: An artificial neural network was trained on baseline data to predict general cognitive status three years later. Model performance was evaluated using 5-fold stratified cross-validation. We investigated model interpretability using explainable artificial intelligence techniques, including Shapley Additive Explanations (SHAP) values, Group-Wise Feature Masking, and Brute-Force Combinatorial Masking, to identify the most influential predictors of cognitive decline. Results: The model achieved a recall of 0.91 for identifying patients who developed cognitive decline, with an overall classification accuracy of 0.79. All applied explainability techniques consistently highlighted baseline MoCA scores, memory performance, the motor examination score (MDS-UPDRS Part III), and anxiety as the most predictive features. Conclusions: From a clinical perspective, the findings can support the early detection of PD patients who are more prone to developing cognitive decline, thereby helping to prevent cognitive impairments by designing specific treatments. This can improve the quality of life for patients and caregivers, supporting patient autonomy.</t>
  </si>
  <si>
    <t>Colautti, Laura; Casella, Monica; Robba, Matteo; Marocco, Davide; Ponticorvo, Michela; Iannello, Paola; Antonietti, Alessandro; Marra, Camillo</t>
  </si>
  <si>
    <t>Colautti, L (corresponding author), Univ Cattolica Sacro Cuore, Dept Psychol, I-20123 Milan, Italy.</t>
  </si>
  <si>
    <t>alessandro.antonietti@unicatt.it; camillo.marra@unicatt.it; laura.colautti1@unicatt.it; monica.casella@unina.it; paola.iannello@unicatt.it; michela.ponticorvo@unina.it; davide.marocco@unina.it; matteopaolo.robba@unicatt.it</t>
  </si>
  <si>
    <t>Michael J. Fox Foundation for Parkinson's Research; The 4D Pharma; Abbvie; AcureX; Allergan; Amathus Therapeutics; Aligning Science Across Parkinson's,; AskBio; Avid Radiopharmaceuticals; BIAL; BioArctic; Biogen; Biohaven; BioLegend; BlueRock Therapeutics; Bristol-Myers Squibb; Calico Labs; Capsida Biotherapeutics; Celgene; Cerevel Therapeutics; DaCapo Brainscience; Denali; Edmond J. Safra Foundation; Eli Lilly; Gain Therapeutics; GE HealthCare; Genentech; GSK; Golub Capital; Handl Therapeutics; Insitro; Jazz Pharmaceuticals; Johnson &amp; Johnson Innovative Medicine; Lundbeck; Merck; Meso Scale Discovery; Mission Therapeutics; Neurocrine Biosciences; Neuron23; Neuropore; Pfizer; Piramal; Prevail Therapeutics; Roche; Sanofi; Servier; Sun Pharma Advanced Research Company; Takeda; Teva; UCB; Vanqua Bio; Verily; Voyager Therapeutics; Weston Family Foundation; Yumanity Therapeutics</t>
  </si>
  <si>
    <t>Michael J. Fox Foundation for Parkinson's Research (Michael J Fox Foundation); The 4D Pharma; Abbvie (AbbVie); AcureX; Allergan (AbbVie, Allergan); Amathus Therapeutics; Aligning Science Across Parkinson's, (Aligning Science Across Parkinson's (ASAP)); AskBio; Avid Radiopharmaceuticals; BIAL (Bial Group); BioArctic; Biogen (Biogen); Biohaven; BioLegend; BlueRock Therapeutics; Bristol-Myers Squibb (Bristol-Myers Squibb); Calico Labs; Capsida Biotherapeutics; Celgene (Bristol-Myers Squibb, Celgene Corporation); Cerevel Therapeutics; DaCapo Brainscience; Denali; Edmond J. Safra Foundation; Eli Lilly (Eli Lilly); Gain Therapeutics; GE HealthCare (General Electric, GE Healthcare); Genentech (Roche Holding, Genentech); GSK (GlaxoSmithKline); Golub Capital; Handl Therapeutics; Insitro; Jazz Pharmaceuticals (Jazz Pharmaceuticals); Johnson &amp; Johnson Innovative Medicine; Lundbeck (Lundbeck Corporation); Merck (Merck &amp; Company); Meso Scale Discovery; Mission Therapeutics; Neurocrine Biosciences; Neuron23; Neuropore; Pfizer (Pfizer); Piramal; Prevail Therapeutics; Roche (Roche Holding); Sanofi (Sanofi-Aventis); Servier (Servier); Sun Pharma Advanced Research Company; Takeda (Takeda Pharmaceutical Company Ltd); Teva (Teva Pharmaceutical Industries); UCB (UCB Pharma SA); Vanqua Bio; Verily; Voyager Therapeutics; Weston Family Foundation; Yumanity Therapeutics</t>
  </si>
  <si>
    <t>PPMI-a public-private partnership-is funded by the Michael J. Fox Foundation for Parkinson's Research and funding partners, including 4D Pharma, Abbvie, AcureX, Allergan, Amathus Therapeutics, Aligning Science Across Parkinson's, AskBio, Avid Radiopharmaceuticals, BIAL, BioArctic, Biogen, Biohaven, BioLegend, BlueRock Therapeutics, Bristol-Myers Squibb, Calico Labs, Capsida Biotherapeutics, Celgene, Cerevel Therapeutics, Coave Therapeutics, DaCapo Brainscience, Denali, Edmond J. Safra Foundation, Eli Lilly, Gain Therapeutics, GE HealthCare, Genentech, GSK, Golub Capital, Handl Therapeutics, Insitro, Jazz Pharmaceuticals, Johnson &amp; Johnson Innovative Medicine, Lundbeck, Merck, Meso Scale Discovery, Mission Therapeutics, Neurocrine Biosciences, Neuron23, Neuropore, Pfizer, Piramal, Prevail Therapeutics, Roche, Sanofi, Servier, Sun Pharma Advanced Research Company, Takeda, Teva, UCB, Vanqua Bio, Verily, Voyager Therapeutics, the Weston Family Foundation, and Yumanity Therapeutics.</t>
  </si>
  <si>
    <t>[Colautti, Laura; Robba, Matteo; Iannello, Paola; Antonietti, Alessandro; Marra, Camillo] Univ Cattolica Sacro Cuore, Dept Psychol, I-20123 Milan, Italy; [Casella, Monica; Marocco, Davide; Ponticorvo, Michela] Univ Naples Feder II, Dept Humanist Studies, Nat &amp; Artificial Cognit Lab Orazio Miglino, I-80138 Naples, Italy; [Robba, Matteo] Univ Mannheim, Area Econ &amp; Business Educ, D-68161 Mannheim, Germany</t>
  </si>
  <si>
    <t>Catholic University of the Sacred Heart; University of Mannheim</t>
  </si>
  <si>
    <t>Predicting Cognitive Decline in Parkinson's Disease Using Artificial Neural Networks: An Explainable AI Approach</t>
  </si>
  <si>
    <t>BRAIN SCIENCES</t>
  </si>
  <si>
    <t>Parkinson's disease; cognitive decline; machine learning; artificial neural network; explainable AI; prevention</t>
  </si>
  <si>
    <t>IMPAIRMENT; QUESTIONNAIRE; PROGRESSION; VALIDATION; DIAGNOSIS; SYMPTOMS; STAGE; RISK; MOCA</t>
  </si>
  <si>
    <t>Colautti, Laura/JJF-6427-2023; MAROCCO, DAVIDE/GNM-7611-2022; Antonietti, Alessandro/K-9096-2016; Ponticorvo, Michela/P-2399-2019</t>
  </si>
  <si>
    <t>Casella, Monica/0000-0002-6017-602X; Colautti, Laura/0000-0002-7803-3721; Robba, Matteo/0000-0003-1755-1864; MAROCCO, DAVIDE/0000-0001-5185-1313; Iannello, Paola/0000-0002-2736-2541; Antonietti, Alessandro/0000-0002-7212-8076; Ponticorvo, Michela/0000-0003-2451-9539</t>
  </si>
  <si>
    <t>82</t>
  </si>
  <si>
    <t>2076-3425</t>
  </si>
  <si>
    <t>BRAIN SCI</t>
  </si>
  <si>
    <t>Brain Sci.</t>
  </si>
  <si>
    <t>JUL 23 2025</t>
  </si>
  <si>
    <t>782</t>
  </si>
  <si>
    <t>10.3390/brainsci15080782</t>
  </si>
  <si>
    <t>http://dx.doi.org/10.3390/brainsci15080782</t>
  </si>
  <si>
    <t>6NW7A</t>
  </si>
  <si>
    <t>40867115</t>
  </si>
  <si>
    <t>WOS:001557826300001</t>
  </si>
  <si>
    <t>Coupland, H; Scheidwasser, N; Katsiferis, A; Davies, M; Flaxman, S; Rod, NH; Mishra, S; Bhatt, S; Unwin, HJT</t>
  </si>
  <si>
    <t>BackgroundUnderstanding the complex interplay between life course exposures, such as adverse childhood experiences and environmental factors, and disease risk is essential for developing effective public health interventions. Traditional epidemiological methods, such as regression models and risk scoring, are limited in their ability to capture the non-linear and temporally dynamic nature of these relationships. Deep learning (DL) and explainable artificial intelligence (XAI) are increasingly applied within healthcare settings to identify influential risk factors and enable personalised interventions. However, significant gaps remain in understanding their utility and limitations, especially for sparse longitudinal life course data and how the influential patterns identified using explainability are linked to underlying causal mechanisms.MethodsWe conducted a controlled simulation study to assess the performance of various state-of-the-art DL architectures including CNNs and (attention-based) RNNs against XGBoost and logistic regression. Input data was simulated to reflect a generic and generalisable scenario with different rules used to generate multiple realistic outcomes based upon epidemiological concepts. Multiple metrics were used to assess model performance in the presence of class imbalance and SHAP values were calculated.ResultsWe find that DL methods can accurately detect dynamic relationships that baseline linear models and tree-based methods cannot. However, there is no one model that consistently outperforms the others across all scenarios. We further identify the superior performance of DL models in handling sparse feature availability over time compared to traditional machine learning approaches. Additionally, we examine the interpretability provided by SHAP values, demonstrating that these explanations often misalign with causal relationships, despite excellent predictive and calibrative performance.ConclusionsThese insights provide a foundation for future research applying DL and XAI to life course data, highlighting the challenges associated with sparse healthcare data, and the critical need for advancing interpretability frameworks in personalised public health.</t>
  </si>
  <si>
    <t>Coupland, Helen; Scheidwasser, Neil; Katsiferis, Alexandros; Davies, Megan; Flaxman, Seth; Hulvej Rod, Naja; Mishra, Swapnil; Bhatt, Samir; Unwin, H. Juliette T.</t>
  </si>
  <si>
    <t>Bhatt, S (corresponding author), Univ Copenhagen, Dept Publ Hlth, Sect Epidemiol, Copenhagen, Denmark.; Bhatt, S (corresponding author), Imperial Coll, MRC Ctr Global Infect Dis Anal, London, England.</t>
  </si>
  <si>
    <t>s.mishra@nus.edu.sg; neil.clow@sund.ku.dk; nahuro@sund.ku.dk; helen.coupland@sund.ku.dk; alexandros.katsiferis@sund.ku.dk; juliette.unwin@bristol.ac.uk; seth.flaxman@cs.ox.ac.uk; samir.bhatt@sund.ku.dk; megan.davies@sund.ku.dk</t>
  </si>
  <si>
    <t>Medical Research Council</t>
  </si>
  <si>
    <t>Medical Research Council (UK Research &amp; Innovation (UKRI), Medical Research Council UK (MRC))</t>
  </si>
  <si>
    <t>[Coupland, Helen; Scheidwasser, Neil; Katsiferis, Alexandros; Bhatt, Samir] Univ Copenhagen, Dept Publ Hlth, Sect Epidemiol, Copenhagen, Denmark; [Davies, Megan; Hulvej Rod, Naja] Univ Copenhagen, Copenhagen Hlth Complex Ctr, Dept Publ Hlth, Copenhagen, Denmark; [Flaxman, Seth] Univ Oxford, Dept Comp Sci, Oxford, England; [Mishra, Swapnil] Natl Univ Singapore, Saw Swee Hock Sch Publ Hlth, Singapore, Singapore; [Mishra, Swapnil] Natl Univ Singapore, Inst Data Sci, Singapore, Singapore; [Bhatt, Samir; Unwin, H. Juliette T.] Imperial Coll, MRC Ctr Global Infect Dis Anal, London, England; [Unwin, H. Juliette T.] Univ Bristol, Sch Math, Bristol, England</t>
  </si>
  <si>
    <t>University of Copenhagen; University of Copenhagen; University of Oxford; National University of Singapore; National University of Singapore; Imperial College London; University of Bristol</t>
  </si>
  <si>
    <t>Exploring the potential and limitations of deep learning and explainable AI for longitudinal life course analysis</t>
  </si>
  <si>
    <t>BMC PUBLIC HEALTH</t>
  </si>
  <si>
    <t>Deep learning; Life course epidemiology; Explainable artificial intelligence</t>
  </si>
  <si>
    <t>CHILDHOOD; DISEASE</t>
  </si>
  <si>
    <t>Mishra, Swapnil/AAT-3955-2020; /IZD-8188-2023; Bhatt, Samir/JPA-1390-2023; Flaxman, Seth/ADD-9083-2022; Rod, Naja/B-9411-2015</t>
  </si>
  <si>
    <t>Davies, Megan/0000-0003-0899-6386; Katsiferis, Alexandros/0000-0002-0957-9835; Unwin, Juliette/0000-0002-9120-4003; Coupland, Helen/0000-0003-3581-1404; Scheidwasser, Neil Alexandre/0000-0001-9922-0289; Bhatt, Samir/0000-0002-0891-4611</t>
  </si>
  <si>
    <t>1471-2458</t>
  </si>
  <si>
    <t>BMC Public Health</t>
  </si>
  <si>
    <t>APR 24 2025</t>
  </si>
  <si>
    <t>1520</t>
  </si>
  <si>
    <t>10.1186/s12889-025-22705-4</t>
  </si>
  <si>
    <t>http://dx.doi.org/10.1186/s12889-025-22705-4</t>
  </si>
  <si>
    <t>1WQ2U</t>
  </si>
  <si>
    <t>40275204</t>
  </si>
  <si>
    <t>WOS:001475406600007</t>
  </si>
  <si>
    <t>Kumar, D; Bakariya, B; Verma, C; Illes, Z</t>
  </si>
  <si>
    <t>Background &amp; Objective : Liver disease remains a significant global health burden, often progressing silently until advanced stages such as cirrhosis or hepatic failure. Early detection is essential but remains hindered by the limitations of conventional diagnostics. This study presents LivXAI-Net, an explainable artificial intelligence (XAI) framework integrated with Internet of Things (IoT) biosensors, designed and evaluated in a simulated real-time setting using a historical dataset. Methods: LivXAI-Net simulates continuous data acquisition from wearable biosensors - including sweat, platelet, and prothrombin sensors - and processes this data using machine learning (ML) models trained on the Mayo Clinic primary biliary cirrhosis (PBC) dataset (n = 424, 1974-1984). Random Forest (RF) and XGBoost(XGB) classifiers were deployed with SHAP and Permutation Feature Importance (PFI) to enhance interpretability. A mobile application, Hepatic Health Tracker, delivers real-time risk predictions, supported by a secure data pipeline using TLS 1.3 and AES-256 encryption. Results: RF and XGB achieved accuracies of 84% and 82% respectively under 20-fold cross-validation. Key biomarkers - albumin, cholesterol, and triglycerides - were consistently identified by SHAP as influential in classification. The system achieved a total latency of 0.85 s in a simulated 5G environment, supporting near-instantaneous alert delivery via the mobile interface. Conclusion: LivXAI-Net combines interpretable ML with real-time biosensor data to enable proactive liver disease management. While currently validated using historical data in a simulated environment, future work will involve deployment with live sensor input and clinical trials to validate utility and generalizability in real-world settings.</t>
  </si>
  <si>
    <t>Kumar, Deepak; Bakariya, Brijesh; Verma, Chaman; Illes, Zoltan</t>
  </si>
  <si>
    <t>Verma, C (corresponding author), Eotvos Lorand Univ, Fac Informat, Dept Media &amp; Educ Informat, H-1053 Budapest, Hungary.</t>
  </si>
  <si>
    <t>chaman@inf.elte.hu; illes@inf.elte.hu; Dr.D.K.Mehta81@gmail.com; Dr.Brijeshbakariya@ptu.ac.in</t>
  </si>
  <si>
    <t>European Commission through the ERASMUS+ Programme 2021, KA2, 'FITPED in Generative Artificial Intelligence' [2024-1-SK01-KA220-HED-000249044]</t>
  </si>
  <si>
    <t>European Commission through the ERASMUS+ Programme 2021, KA2, 'FITPED in Generative Artificial Intelligence'</t>
  </si>
  <si>
    <t>This study is part of the Ph.D. research pursued by the first author, Mr. Deepak Kumar, from IK Gujral Punjab Technical University, Jalandhar, Punjab, India. Also, the work of Dr. Zoltan Illes and Dr. Chaman Verma, supported by the European Commission through the ERASMUS+ Programme 2021, KA2, 'FITPED in Generative Artificial Intelligence' under Grant 2024-1-SK01-KA220-HED-000249044.</t>
  </si>
  <si>
    <t>[Kumar, Deepak; Bakariya, Brijesh] IKGPTU, Dept Comp Applicat, Jalandhar 144603, Punjab, India; [Verma, Chaman; Illes, Zoltan] Eotvos Lorand Univ, Fac Informat, Dept Media &amp; Educ Informat, H-1053 Budapest, Hungary</t>
  </si>
  <si>
    <t>I. K. Gujral Punjab Technical University; Eotvos Lorand University</t>
  </si>
  <si>
    <t>LivXAI-Net: An explainable AI framework for liver disease diagnosis with IoT-based real-time monitoring support</t>
  </si>
  <si>
    <t>IoT; XAI; Liver disease prediction; Smart healthcare; Real-time monitoring; ML</t>
  </si>
  <si>
    <t>ALBUMIN; BILIRUBIN; COPPER</t>
  </si>
  <si>
    <t>Kumar, Deepak/AAC-7309-2021; bakariya, brijesh/ABB-5497-2021; verma, Chaman/A-5517-2018</t>
  </si>
  <si>
    <t>Kumar, Deepak/0000-0001-5280-843X; verma, Chaman/0000-0002-9925-112X</t>
  </si>
  <si>
    <t>270</t>
  </si>
  <si>
    <t>108950</t>
  </si>
  <si>
    <t>10.1016/j.cmpb.2025.108950</t>
  </si>
  <si>
    <t>http://dx.doi.org/10.1016/j.cmpb.2025.108950</t>
  </si>
  <si>
    <t>5IG1C</t>
  </si>
  <si>
    <t>40694936</t>
  </si>
  <si>
    <t>WOS:001536314600002</t>
  </si>
  <si>
    <t>Nasr, MA; Omar, S; Elkheir, ASA; Nasr, MA; Nabil, N; Soliman, SMS</t>
  </si>
  <si>
    <t>Background Mass-like pulmonary consolidations &gt;= 3 cm pose a persistent diagnostic dilemma, as malignancy and pneumonia share overlapping CT features despite fundamentally different management. Although radiomics offers a quantitative approach, most published models lack multivendor external validation, formal radiologist benchmarking, and transparent reproducibility reporting.Objectives To develop and externally validate an explainable CT density-texture radiomics model differentiating mass-like pneumonia from pulmonary malignancy across multivendor CT systems, and to benchmark performance against blinded radiologist interpretation.Methods Consecutive adults with mass-like pulmonary lesions (&gt;= 3 cm) were prospectively recruited at three centres (January-March 2026). Of 183 assessed, 12 excluded, 171 enrolled. Centre A (n = 71) was the development cohort; Centres B + C (n = 100) the external validation cohort. A fixed 9-mm ROI was placed within the lesion; features were extracted using (PyRadiomics 3.1.0a2). 75 candidate features were provided to an XGBoost classifier. Two blinded radiologists independently reviewed 100 external cases.Results Internal cross-validation AUC was 0.713 +/- 0.120 (SD across 100 folds). The locked model achieved external AUC 0.887 (95% CI 0.816-0.948); sensitivity 0.839; specificity 0.841; Brier score 0.135; calibration slope 0.727; O/E ratio 1.076 (0.948-1.228). Decision curve analysis showed positive net benefit from threshold 0.10 to 0.80. In sensitivity analysis, performance was stable under ComBat scanner-batch harmonisation, with no significant difference from the unharmonised model (harmonised AUC 0.801; DeLong p = 0.130). Inter-rater reproducibility was excellent for dominant first-order features (median ICC 0.946). Radiologist AUC significantly higher by DeLong (p = 0.001-0.002); binary classification errors not significantly different by McNemar (p = 0.629-1.000).Conclusion In this exploratory multicentre cohort, an explainable CT radiomics model achieved an external AUC of 0.887, with reproducible ROI placement, stable performance across scanner settings in sensitivity analysis, and positive net benefit across a wide range of decision thresholds. Radiologist AUC remained significantly higher. The model is therefore proof-of-concept: a research-stage adjunct intended to support, not replace, expert radiologist interpretation, and one that requires larger independent validation and recalibration before any clinical role can be claimed.</t>
  </si>
  <si>
    <t>Nasr, Mohamed Afifi; Omar, Suzan; Elkheir, Asmaa S. A.; Nasr, Mai Afifi; Nabil, Nashwa; Soliman, Sara Mansour Saad</t>
  </si>
  <si>
    <t>Nasr, MA (corresponding author), Benha Univ, Fac Med, Dept Radiol, Banha, Egypt.; Omar, S (corresponding author), Menoufia Univ, Fac Med, Dept Radiol Intervent Radiol &amp; Med Imaging, Shibin Al Kawm, Egypt.</t>
  </si>
  <si>
    <t>sara.saad@fmed.bu.edu.eg; asmaasaadabuelkheir87@gmail.com; maeeafifi@yahoo.com; suzan2012omar@gmail.com; mohamed.afifi@fmed.bu.edu.eg; nashwa.nabil@fmed.bu.edu.eg</t>
  </si>
  <si>
    <t>[Nasr, Mohamed Afifi; Soliman, Sara Mansour Saad] Benha Univ, Fac Med, Dept Radiol, Banha, Egypt; [Omar, Suzan] Menoufia Univ, Fac Med, Dept Radiol Intervent Radiol &amp; Med Imaging, Shibin Al Kawm, Egypt; [Elkheir, Asmaa S. A.] Kafrelsheikh Univ, Fac Med, Dept Chest Dis, Kafrelsheikh Governorate, Egypt; [Nasr, Mai Afifi] Benha Univ, Fac Med, Dept Internal Med, Banha, Egypt; [Nabil, Nashwa] Benha Univ, Fac Med, Dept Community Environm &amp; Occupat Med, Banha, Egypt</t>
  </si>
  <si>
    <t>Egyptian Knowledge Bank (EKB); Benha University; Egyptian Knowledge Bank (EKB); Benha University; Egyptian Knowledge Bank (EKB); Benha University</t>
  </si>
  <si>
    <t>CT density-texture radiomics to differentiate mass-like pneumonia from malignancy: an explainable artificial intelligence and machine learning approach</t>
  </si>
  <si>
    <t>EGYPTIAN JOURNAL OF RADIOLOGY AND NUCLEAR MEDICINE</t>
  </si>
  <si>
    <t>Radiomics; Lung consolidation; XGBoost; Explainable artificial intelligence; Pulmonary malignancy</t>
  </si>
  <si>
    <t>2090-4762</t>
  </si>
  <si>
    <t>EGYPT J RADIOL NUC M</t>
  </si>
  <si>
    <t>Egypt. J. Radiol. Nucl. Med.</t>
  </si>
  <si>
    <t>AUG 14 2026</t>
  </si>
  <si>
    <t>170</t>
  </si>
  <si>
    <t>10.1186/s43055-026-01841-w</t>
  </si>
  <si>
    <t>http://dx.doi.org/10.1186/s43055-026-01841-w</t>
  </si>
  <si>
    <t>MT1YZ</t>
  </si>
  <si>
    <t>WOS:001850291000003</t>
  </si>
  <si>
    <t>Hong, Q; Zakaria, LQ; Tiun, S</t>
  </si>
  <si>
    <t>Automated depression assessment is critical for scalable mental healthcare but faces dual challenges: the lack of clinical interpretability in "black-box" deep learning models and the excessive computational cost of large-scale fusion architectures. To bridge this gap, we propose NS-Dep-KAN, a novel neuro-symbolic framework that harmonizes DSM-5-guided reasoning with Kolmogorov-Arnold Networks (KANs). Our approach leverages a Large Language Model (LLM) to extract symbolic symptom evidence aligned with diagnostic criteria, which then guides the aggregation of multimodal features from frozen pretrained encoders (WavLM and Qwen). Unlike traditional Multi-Layer Perceptrons, the proposed KAN prediction head employs learnable B-spline activation functions to capture complex nonlinear symptom-severity mappings with extreme parameter efficiency. Evaluations on the DAIC-WOZ benchmark demonstrate that NS-Dep-KAN achieves state-of-the-art performance among audio-text models (MAE 2.69, 13.5% improvement over the three-modality baseline MSGAF at MAE 3.11), with only similar to 4.9 K trainable parameters. Moreover, the framework offers inherent interpretability, revealing granular symptom contribution profiles that align with clinical intuition. This work establishes a path toward explainable trustworthy AI for mental health screening.</t>
  </si>
  <si>
    <t>Hong, Qiong; Zakaria, Lailatul Qadri; Tiun, Sabrina</t>
  </si>
  <si>
    <t>Hong, Q; Zakaria, LQ (corresponding author), Univ Kebangsaan Malaysia, Fac Informat Sci &amp; Technol, Bangi 43600, Malaysia.</t>
  </si>
  <si>
    <t>p136396@siswa.ukm.edu.my; lailatul.qadri@ukm.edu.my</t>
  </si>
  <si>
    <t>Universiti Kebangsaan Malaysia [GGP-2020-014]</t>
  </si>
  <si>
    <t>Universiti Kebangsaan Malaysia (Universiti Kebangsaan Malaysia)</t>
  </si>
  <si>
    <t>This work was supported by Universiti Kebangsaan Malaysia (UKM) under internal grant GGP-2020-014.</t>
  </si>
  <si>
    <t>[Hong, Qiong; Zakaria, Lailatul Qadri; Tiun, Sabrina] Univ Kebangsaan Malaysia, Fac Informat Sci &amp; Technol, Bangi 43600, Malaysia</t>
  </si>
  <si>
    <t>Universiti Kebangsaan Malaysia</t>
  </si>
  <si>
    <t>NS-Dep-KAN: An Explainable Neuro-Symbolic Framework with Kolmogorov-Arnold Networks for DSM-Guided Depression Assessment</t>
  </si>
  <si>
    <t>INFORMATION</t>
  </si>
  <si>
    <t>depressionassessment; neuro-symbolic AI; Kolmogorov-Arnold Networks; explainable AI; clinical knowledge</t>
  </si>
  <si>
    <t>AUDIO</t>
  </si>
  <si>
    <t>tiun, sabrina/M-4315-2019; Zakaria, Lailatul/AAP-6017-2020</t>
  </si>
  <si>
    <t>2078-2489</t>
  </si>
  <si>
    <t>Information</t>
  </si>
  <si>
    <t>516</t>
  </si>
  <si>
    <t>10.3390/info17060516</t>
  </si>
  <si>
    <t>http://dx.doi.org/10.3390/info17060516</t>
  </si>
  <si>
    <t>Computer Science, Information Systems</t>
  </si>
  <si>
    <t>KA6YH</t>
  </si>
  <si>
    <t>WOS:001802465500001</t>
  </si>
  <si>
    <t>Altalhi, SH; Alzahrani, SM</t>
  </si>
  <si>
    <t>Background/Objectives: Conventional workflows, peripheral blood smears, and bone marrow assessment supplemented by LDI-PCR, molecular cytogenetics, and array-CGH, are expert-driven in the face of biological and imaging variability. Methods: We propose an AI pipeline that integrates convolutional neural networks (CNNs) and transfer learning-based models with two explainable AI (XAI) approaches, LIME and Grad-Cam, to deliver both high diagnostic accuracy and transparent rationale. Seven public sources were curated into a unified benchmark (66,550 images) covering ALL, AML, CLL, CML, and healthy controls; images were standardized, ROI-cropped, and split with stratification (80/10/10). We fine-tuned multiple backbones (DenseNet-121, MobileNetV2, VGG16, InceptionV3, ResNet50, Xception, and a custom CNN) and evaluated the accuracy and F1-score, benchmarking against the recent literature. Results: On the five-class task (ALL/AML/CLL/CML/Healthy), MobileNetV2 achieved 97.9% accuracy/F1, with DenseNet-121 reaching 97.66% F1. On ALL subtypes (Benign, Early, Pre, Pro) and across tasks, DenseNet121 and MobileNetV2 were the most reliable, achieving state-of-the-art accuracy with the strongest, nucleus-centric explanations. Conclusions: XAI analyses (LIME, Grad-CAM) consistently localized leukemic nuclei and other cell-intrinsic morphology, aligning saliency with clinical cues and model performance. Compared with baselines, our approach matched or exceeded accuracy while providing stronger, corroborated interpretability on a substantially larger and more diverse dataset.</t>
  </si>
  <si>
    <t>Altalhi, Shahd H.; Alzahrani, Salha M.</t>
  </si>
  <si>
    <t>Alzahrani, SM (corresponding author), Taif Univ, Coll Comp &amp; Informat Technol, Dept Comp Sci, Taif 21944, Saudi Arabia.</t>
  </si>
  <si>
    <t>s44580237@students.tu.edu.sa; s.zahrani@tu.edu.sa</t>
  </si>
  <si>
    <t>Taif University, Saudi Arabia [TU-DSPP-2025-55]</t>
  </si>
  <si>
    <t>Taif University, Saudi Arabia (Taif University)</t>
  </si>
  <si>
    <t>This research was funded by Taif University, Saudi Arabia, Project No. (TU-DSPP-2025-55).</t>
  </si>
  <si>
    <t>[Altalhi, Shahd H.; Alzahrani, Salha M.] Taif Univ, Coll Comp &amp; Informat Technol, Dept Comp Sci, Taif 21944, Saudi Arabia</t>
  </si>
  <si>
    <t>Taif University</t>
  </si>
  <si>
    <t>Demystifying Deep Learning Decisions in Leukemia Diagnostics Using Explainable AI</t>
  </si>
  <si>
    <t>Explainable Artificial Intelligence (XAI); Acute Lymphoblastic Leukemia (ALL); Acute Myeloid Leukemia (AML); Chronic Lymphocytic Leukemia (CLL); Chronic Myeloid Leukemia (CML)</t>
  </si>
  <si>
    <t>Alzahrani, Salha/HJG-6032-2022; ALTALHI, SHAHD/LMO-4360-2024</t>
  </si>
  <si>
    <t>JAN 9 2026</t>
  </si>
  <si>
    <t>10.3390/diagnostics16020212</t>
  </si>
  <si>
    <t>http://dx.doi.org/10.3390/diagnostics16020212</t>
  </si>
  <si>
    <t>CP6ND</t>
  </si>
  <si>
    <t>41594188</t>
  </si>
  <si>
    <t>WOS:001671436800001</t>
  </si>
  <si>
    <t>Chaudhary, M; Alam, MA; Zafar, S; Shakil, KA; Wani, MA; Alshuhri, S; Abubeker, KM</t>
  </si>
  <si>
    <t>AI algorithms, in drug discovery, support target identification by recognizing biological patterns and molecular interactions linked to disease mechanisms. They further aid in lead compound optimization, virtual screening of large chemical libraries, and do drug design, thereby reducing time and cost constraints traditionally associated with laboratory-based approaches. This research proposes a novel framework that integrates the Framingham Heart Study (FHS)-a gold standard longitudinal dataset in cardiovascular research-with advanced machine learning (ML), deep learning (DL), and explainable artificial intelligence (XAI) techniques to predict the risk of death or survival probability based on cardiovascular risk factors and to enhance pharmaceutical marketing precision. The study leverages structured data from FHS, encompassing risk factors such as age, cholesterol levels, blood pressure, smoking status, and diabetes incidence, to model predictive relationships that inform patient-specific therapeutic interventions. Using reliability-centric ensemble ML approaches like random forest and XG Boost, alongside DL architectures including feedforward neural networks, the approach uncovers non-linear patterns and latent associations in patient behavior and treatment outcomes. To address the opacity often associated with complex models, XAI methods such as SHAP values and LIME are deployed to render outputs interpretable, thus aligning with medical ethics and regulatory standards. The results and Explainable AI methods, such as SHAP and LIME that are employed to interpret complex model predictions and ensure transparency for stakeholders, demonstrate how the insights can be translated into evidence-based pharmaceutical marketing mix modeling, supporting targeted interventions, efficient market segmentation, and personalized patient engagement strategies. The proposed approach bridges the gap between clinical research and marketing strategy, offering a data-driven pathway to enhance decision-making in the pharmaceutical sector while maintaining patient-centered practices. In this study, multiple machine learning and deep learning models, including support vector machine (SVM), random forest, XGBoost, logistic regression, feed forward neural network (FFNN), and multi-layer perceptron (MLP), were systematically evaluated for predicting cardiovascular disease outcomes using the Framingham Heart Study dataset. The SVM model demonstrated superior performance, achieving the highest test accuracy (96.65%), precision (96.55%), recall (87.50%), F1 score (91.80%), and ROC AUC (99.00%), outperforming all other baseline and deep learning models. In contrast, the FFNN and MLP models exhibited moderate performance, with final test accuracies of approximately 79.88% and 95.98%, respectively. The ensemble base learners, including XGBoost, random forest, and logistic regression, achieved lower accuracies (ranging from 71% to 79%) and reduced recall rates, indicating limitations in correctly identifying high-risk cases. Interpretability through LIME further validated the SVM's robust decision boundaries and its alignment with clinically significant risk factors. Overall, the comparative results establish the SVM as the most reliable and generalizable predictive model for early cardiovascular risk stratification in the Framingham cohort.</t>
  </si>
  <si>
    <t>Chaudhary, Meghna; Alam, M. Afshar; Zafar, Sherin; Shakil, Kashish Ara; Wani, Mudasir Ahmad; Alshuhri, Sulieman; Abubeker, Kiliyanal Muhammedkunju</t>
  </si>
  <si>
    <t>Zafar, S (corresponding author), Jamia Hamdard, SEST, Dept CSE, New Delhi, India.; Wani, MA (corresponding author), Imam Mohammad Ibn Saud Islamic Univ IMSIU, Coll Comp &amp; Informat Sci, Riyadh 13318, Saudi Arabia.</t>
  </si>
  <si>
    <t>sherin.zafar@jamiahamdard.ac.in; mawani@imamu.edu.sa</t>
  </si>
  <si>
    <t>Princess Nourah bint Abdulrahman University</t>
  </si>
  <si>
    <t>The authors would like to acknowledge the Princess Nourah bint Abdulrahman University Researchers Supporting Project number (PNURSP2026R757), Princess Nourah bint Abdulrahman University, Riyadh, Saudi Arabia.</t>
  </si>
  <si>
    <t>[Chaudhary, Meghna; Alam, M. Afshar; Zafar, Sherin] Jamia Hamdard, SEST, Dept CSE, New Delhi, India; [Shakil, Kashish Ara] Princess Nourah bint Abdulrahman Univ, Coll Comp &amp; Informat Sci, Dept Comp Sci, POB 84428, Riyadh 11671, Saudi Arabia; [Wani, Mudasir Ahmad; Alshuhri, Sulieman] Imam Mohammad Ibn Saud Islamic Univ IMSIU, Coll Comp &amp; Informat Sci, Riyadh 13318, Saudi Arabia; [Abubeker, Kiliyanal Muhammedkunju] Amal Jyothi Coll Engn Autonomous, Dept Elect &amp; Commun Engn, Kanjirappally, Kerala, India</t>
  </si>
  <si>
    <t>Jamia Hamdard University; Princess Nourah bint Abdulrahman University; Imam Mohammad Ibn Saud Islamic University (IMSIU)</t>
  </si>
  <si>
    <t>AI-driven integration of Framingham Heart Study data with machine learning, deep learning, and explainable AI for enhanced pharmaceutical marketing</t>
  </si>
  <si>
    <t>Framingham Heart Study; Machine learning (ML); Deep learning (DL); Explainable artificial intelligence (XAI); Pharmaceutical marketing; Marketing mix modeling; Healthcare data analytics; Predictive analytics; Data-driven decision making</t>
  </si>
  <si>
    <t>BIG DATA; ARTIFICIAL-INTELLIGENCE; PREDICTION; MEDICINE; DISEASE</t>
  </si>
  <si>
    <t>Alshuhri, Sulieman/PDX-4128-2025; Wani, Mudasir/GLR-9853-2022; Chaudhary, Meghna/NYT-1002-2025; shakil, Kashish Ara/ABK-8677-2022</t>
  </si>
  <si>
    <t>shakil, Kashish Ara/0000-0003-2323-5104</t>
  </si>
  <si>
    <t>APR 9 2026</t>
  </si>
  <si>
    <t>17219</t>
  </si>
  <si>
    <t>10.1038/s41598-026-45770-0</t>
  </si>
  <si>
    <t>http://dx.doi.org/10.1038/s41598-026-45770-0</t>
  </si>
  <si>
    <t>JA2JC</t>
  </si>
  <si>
    <t>41957161</t>
  </si>
  <si>
    <t>WOS:001784520300002</t>
  </si>
  <si>
    <t>Bartlett, B</t>
  </si>
  <si>
    <t>Data Stewardship is a novel governance mechanism in the context of artificial intelligence (AI) development in healthcare. This paper examines whether the conceptual tool of stewardship can remedy inadequacies of 'AI ethics' which has fundamental problems of accountability, legitimacy and trustworthiness. A modern secular conceptual explanation of stewardship involves taking a balanced account of the interests of society, and the core element of answerability. This conception of stewardship lends itself to legal mechanisms involving fiduciary duties, which introduces accountability mechanisms into AI development. The separation of AI development from the permanent enclosure of health data presents a useful lever to counter unethical behaviour and ensure societal engagement. Stewardship offers some promise to remedy the inadequacies of AI ethics, but there are risks that a narrow technical conception of data stewardship, without fiduciary duties and decoupled from beneficiaries, will be insufficient to drive the required fundamental change.</t>
  </si>
  <si>
    <t>Bartlett, Benjamin</t>
  </si>
  <si>
    <t>Bartlett, B (corresponding author), Univ Manchester, Ctr Social Ethics &amp; Policy, Dept Law, Manchester, England.</t>
  </si>
  <si>
    <t>benjamin.bartlett@manchester.ac.uk</t>
  </si>
  <si>
    <t>[Bartlett, Benjamin] Univ Manchester, Ctr Social Ethics &amp; Policy, Dept Law, Manchester, England</t>
  </si>
  <si>
    <t>University of Manchester</t>
  </si>
  <si>
    <t>Towards Accountable, Legitimate and Trustworthy AI in Healthcare: Enhancing AI Ethics with Effective Data Stewardship</t>
  </si>
  <si>
    <t>NEW BIOETHICS-A MULTIDISCIPLINARY JOURNAL OF BIOTECHNOLOGY AND THE BODY</t>
  </si>
  <si>
    <t>Artificial intelligence; data stewardship; AI ethics; data trusts</t>
  </si>
  <si>
    <t>RACIAL BIAS; PERFORMANCE</t>
  </si>
  <si>
    <t>Bartlett, Benjamin/0000-0002-1908-7068</t>
  </si>
  <si>
    <t>2050-2877</t>
  </si>
  <si>
    <t>2050-2885</t>
  </si>
  <si>
    <t>NEW BIOETH</t>
  </si>
  <si>
    <t>New Bioeth.</t>
  </si>
  <si>
    <t>OCT 1 2024</t>
  </si>
  <si>
    <t>285</t>
  </si>
  <si>
    <t>309</t>
  </si>
  <si>
    <t>10.1080/20502877.2025.2482282</t>
  </si>
  <si>
    <t>http://dx.doi.org/10.1080/20502877.2025.2482282</t>
  </si>
  <si>
    <t>7GG9W</t>
  </si>
  <si>
    <t>40135972</t>
  </si>
  <si>
    <t>WOS:001454339600001</t>
  </si>
  <si>
    <t>Seethi, VDR; Lacasse, Z; Chivte, P; Bland, J; Kadkol, SS; Gaillard, ER; Bharti, P; Alhoori, H</t>
  </si>
  <si>
    <t>Current artificial intelligence (AI) applications for the diagnosis of coronavirus disease 2019 (COVID-19) often lack a biological foundation in the decision-making process. In this study, we have employed AI for COVID-19 diagnosis using mass spectrometry (MS) data and leveraged explainable AI (X-AI) to explain the decision -making process on a local (per-sample) and global (all samples) basis. We first assessed eight machine learning models with five feature engineering techniques using a five-fold stratified cross-validation. The best accuracy was achieved by Random Forest (RF) classifier using the ratio of areas under the curve (AUC) from the MS data as features. These features were chosen on the basis of tentatively representing both human and viral proteins in human gargle samples. We evaluated the RF classifier on a 70% - 30% train-test split strategy of 152 human gargle samples, yielding an accuracy of 94.12% on the test dataset. Employing X-AI, we further interpreted the RF model using shapely additive explanations (SHAP) and feature importance techniques, including permutation and impurity-based feature importances. With these interpretation models offering a local and global explanation for the machine learning model decisions, we devised a straightforward, three -stage X-AI framework that can enable medical practitioners to understand the mechanisms of a black-box AI model. To the medical practitioner, this instills trust in the AI model by providing the rationales for its decisions.</t>
  </si>
  <si>
    <t>Seethi, Venkata Devesh Reddy; Lacasse, Zane; Chivte, Prajkta; Bland, Joshua; Kadkol, Shrihari S.; Gaillard, Elizabeth R.; Bharti, Pratool; Alhoori, Hamed</t>
  </si>
  <si>
    <t>Seethi, VDR (corresponding author), Northern Illinois Univ, 1425 W Lincoln Hwy, De Kalb, IL 60115 USA.</t>
  </si>
  <si>
    <t>gaillard@niu.edu; skadkol@uic.edu; pratool.bharti@intel.com; alhoori@niu.edu; dseethi@niu.edu; pchivte@niu.edu; jbland3@uic.edu; zlacasse1@niu.edu</t>
  </si>
  <si>
    <t>Northern Illinois University's Molecular Analysis Core; Shimadzu Scientific Instruments</t>
  </si>
  <si>
    <t>This work was supported by Northern Illinois University's Molecular Analysis Core which was established with support from Shimadzu Scientific Instruments.</t>
  </si>
  <si>
    <t>[Seethi, Venkata Devesh Reddy; Lacasse, Zane; Chivte, Prajkta; Gaillard, Elizabeth R.; Bharti, Pratool; Alhoori, Hamed] Northern Illinois Univ, 1425 W Lincoln Hwy, De Kalb, IL 60115 USA; [Bland, Joshua; Kadkol, Shrihari S.] Univ Illinois, 840 S Wood St, Chicago, IL 60612 USA</t>
  </si>
  <si>
    <t>Northern Illinois University; University of Illinois System; University of Illinois Chicago; University of Illinois Chicago Hospital</t>
  </si>
  <si>
    <t>An explainable AI approach for diagnosis of COVID-19 using MALDI-ToF mass spectrometry</t>
  </si>
  <si>
    <t>COVID-19 testing; Explainable AI; Machine learning; RT-PCR test; Mass spectrometry; MALDI-ToF</t>
  </si>
  <si>
    <t>Alhoori, Hamed/B-8106-2009; Bharti, Pratool/AAJ-2489-2021; Gaillard, Elizabeth/M-2627-2019; Chivte, Prajkta/ABD-3123-2021</t>
  </si>
  <si>
    <t>LaCasse, Zane/0000-0002-1347-0752; Alhoori, Hamed/0000-0002-4733-6586; Seethi, Venkata Devesh Reddy/0000-0002-7400-7518</t>
  </si>
  <si>
    <t>236</t>
  </si>
  <si>
    <t>121226</t>
  </si>
  <si>
    <t>10.1016/j.eswa.2023.121226</t>
  </si>
  <si>
    <t>http://dx.doi.org/10.1016/j.eswa.2023.121226</t>
  </si>
  <si>
    <t>U1YV9</t>
  </si>
  <si>
    <t>WOS:001082839300001</t>
  </si>
  <si>
    <t>Osa-Sanchez, A; Balaha, HM; Mahmoud, A; Sewelam, A; Ghazal, M; Garcia-Zapirain, B; El-Baz, A</t>
  </si>
  <si>
    <t>Age-related macular degeneration (AMD) is a leading cause of vision loss in older people and is characterized by subtle retinal changes that make early identification difficult. Previous studies have demonstrated the efficacy of Vision Transformers (ViTs) in classifying medical images by successfully detecting retinal disorders such as AMD. This paper addresses multiple shortcomings in conventional AMD diagnostic techniques by exploring the detection and explanation of various AMD subtypes from numerical features extracted with a ViT model from fundus images through cascaded artificial intelligence (AI) models using transformers, convolutional neural networks (CNNs), and multilayer perceptrons (MLPs). The data were preprocessed to recognize intricate disease-related patterns. The best test results using the cascade method for each model type show that the MLP model achieved an accuracy of 91.86% (with a sensitivity of 92.22% and a specificity of 95.74%). The Transformer model achieved its highest accuracy of 83.72% (with a sensitivity of 83.86% and a specificity of 89.74%). The CNN model demonstrated the best performance, with an accuracy of 94.19% (with a sensitivity of 93.84% and a specificity of 96.00%). This work helps clinicians interpret AMD cases and supports decision-making revealing hidden features of AMD that are not visible to the human eye. Future research will focus on improving these systems by expanding the databases in aggregate and incorporating multimodal data.</t>
  </si>
  <si>
    <t>Osa-Sanchez, Ainhoa; Magdy Balaha, Hossam; Mahmoud, Ali; Sewelam, Ashraf; Ghazal, Mohammed; Garcia-Zapirain, Begonya; El-Baz, Ayman</t>
  </si>
  <si>
    <t>El-Baz, A (corresponding author), Univ Louisville, JB Speed Sch Engn, Dept Bioengn, Louisville, KY 40292 USA.</t>
  </si>
  <si>
    <t>aselba01@louisville.edu</t>
  </si>
  <si>
    <t>[Osa-Sanchez, Ainhoa; Magdy Balaha, Hossam; Mahmoud, Ali; El-Baz, Ayman] Univ Louisville, JB Speed Sch Engn, Dept Bioengn, Louisville, KY 40292 USA; [Osa-Sanchez, Ainhoa; Garcia-Zapirain, Begonya] Univ Deusto, eVIDA Res Grp, Bilbao 48007, Spain; [Sewelam, Ashraf] Mansoura Univ, Fac Med, Ophthalmol Dept, Mansoura 35516, Egypt; [Ghazal, Mohammed] Abu Dhabi Univ, Elect Comp &amp; Biomed Engn Dept, Abu Dhabi, U Arab Emirates</t>
  </si>
  <si>
    <t>University of Louisville; University of Deusto; Egyptian Knowledge Bank (EKB); Mansoura University; Abu Dhabi University</t>
  </si>
  <si>
    <t>Explainable AI-Based Approach for Age-Related Macular Degeneration (AMD) Detection via Fundus Imaging</t>
  </si>
  <si>
    <t>Retina; Solid modeling; Artificial intelligence; Transformers; Accuracy; Sensitivity; Feature extraction; Aging; Medical diagnostic imaging; Deep learning; Age-related macular degeneration (AMD); computer aided diagnosis (CAD); deep learning (DL); eXplainable artificial intelligence (XAI)</t>
  </si>
  <si>
    <t>Ghazal, Mohammed/AAC-6689-2019; El-Baz, Ayman/AAC-6689-2019; Garcia-Zapirain, Begonya/L-5619-2014; Balaha, Hossam/Z-1960-2018; Osa Sanchez, Ainhoa/HJY-6229-2023</t>
  </si>
  <si>
    <t>Ghazal, Mohammed/0000-0002-9045-6698; Ghazal, Mohammed/0000-0002-9045-6698; El-Baz, Ayman/0000-0001-7264-1323; Garcia-Zapirain, Begonya/0000-0002-9356-1186; Balaha, Hossam/0000-0002-0686-4411; Osa Sanchez, Ainhoa/0000-0001-5871-168X</t>
  </si>
  <si>
    <t>341</t>
  </si>
  <si>
    <t>360</t>
  </si>
  <si>
    <t>10.1109/ACCESS.2024.3522862</t>
  </si>
  <si>
    <t>http://dx.doi.org/10.1109/ACCESS.2024.3522862</t>
  </si>
  <si>
    <t>R2A9Q</t>
  </si>
  <si>
    <t>WOS:001389554800043</t>
  </si>
  <si>
    <t>Maliagkani, E; Georgalas, I; Datseris, I; Papageorgiou, E; Apostolopoulos, ID</t>
  </si>
  <si>
    <t>This study presents a two-phase framework for selecting clinically plausible explainable artificial intelligence (XAI) heatmaps for retinal optical coherence tomography (OCT) classification. A six-class Swin Transformer model was trained and validated using a combined dataset consisting of a subset of the public OCT-C8 dataset and private data from a Greek tertiary hospital and externally evaluated on an independent dataset from a private ophthalmological institute. Diagnostic performance was high, achieving 97% accuracy in cross-validation and 91.82% on external evaluation. In Phase 1, one ophthalmologist and one artificial intelligence (AI) specialist independently assessed 100 heatmaps per method based on visual quality and anatomical plausibility, reducing the candidate methods to three. In Phase 2, 21 specialists evaluated the selected methods across multiple cases using a five-point Likert scale reflecting agreement between highlighted regions and the model diagnosis. The proposed Token contRAST map (TRAST) achieved the highest ratings, followed by Gradient-weighted Class Activation Mapping (Grad-CAM++), while Cosine-Grad Fusion Map (CGFM) showed the lowest performance. These findings reflect clinical plausibility rather than direct model interpretability and indicate that effective XAI in OCT imaging requires not only technical performance but also structured expert evaluation. The proposed framework provides a practical approach for selecting explanation methods suitable for clinical use in ophthalmology.</t>
  </si>
  <si>
    <t>Maliagkani, Eirini; Georgalas, Ilias; Datseris, Ioannis; Papageorgiou, Elpiniki; Apostolopoulos, Ioannis D.</t>
  </si>
  <si>
    <t>Maliagkani, E (corresponding author), Natl &amp; Kapodistrian Univ Athens, Gen Hosp Athens G Gennimatas, Dept Ophthalmol 1, Athens 11527, Greece.</t>
  </si>
  <si>
    <t>eirini.maliagani@gmail.com; jodats13@me.com; iapostolopoulos@uth.gr; elpinikipapageorgiou@uth.gr; igeorgalas@yahoo.com</t>
  </si>
  <si>
    <t>[Maliagkani, Eirini; Georgalas, Ilias] Natl &amp; Kapodistrian Univ Athens, Gen Hosp Athens G Gennimatas, Dept Ophthalmol 1, Athens 11527, Greece; [Datseris, Ioannis] OMMA Ophthalmol Inst Athens, Athens 11525, Greece; [Papageorgiou, Elpiniki; Apostolopoulos, Ioannis D.] Univ Thessaly, Dept Energy Syst, Artificial Intelligence Computat Methods &amp; Technol, Gaiopolis Campus, Larisa 41500, Greece</t>
  </si>
  <si>
    <t>National &amp; Kapodistrian University of Athens; University of Thessaly</t>
  </si>
  <si>
    <t>Clinician-Centered Evaluation Framework for Explainable AI Heatmaps in OCT-Based Retinal Disease Classification</t>
  </si>
  <si>
    <t>JOURNAL OF IMAGING</t>
  </si>
  <si>
    <t>explainable artificial intelligence; optical coherence tomography; swin transformer; model interpretability; heatmaps; clinical evaluation; clinical plausibility; evaluation framework; ophthalmology; retinal disease classification</t>
  </si>
  <si>
    <t>Papageorgiou, Elpiniki/AAG-7122-2020; Apostolopoulos, Ioannis/AAK-3000-2020; Georgalas, Ilias/AAD-5946-2019; Maliagkani, Eirini/OYE-1634-2025</t>
  </si>
  <si>
    <t>Maliagkani, Eirini/0009-0008-3679-8807</t>
  </si>
  <si>
    <t>2313-433X</t>
  </si>
  <si>
    <t>J IMAGING</t>
  </si>
  <si>
    <t>J. Imaging</t>
  </si>
  <si>
    <t>MAY 16 2026</t>
  </si>
  <si>
    <t>211</t>
  </si>
  <si>
    <t>10.3390/jimaging12050211</t>
  </si>
  <si>
    <t>http://dx.doi.org/10.3390/jimaging12050211</t>
  </si>
  <si>
    <t>Imaging Science &amp; Photographic Technology</t>
  </si>
  <si>
    <t>IL8BV</t>
  </si>
  <si>
    <t>42188249</t>
  </si>
  <si>
    <t>WOS:001774724400001</t>
  </si>
  <si>
    <t>Khamparia, A; Singh, C; Gupta, D</t>
  </si>
  <si>
    <t>Neuromuscular disorders consist of a broad range of disease that affects muscles and nerves, which often lead to significant disability. To effectively manage these diseases, early diagnosis is crucial, but gold standard techniques such as electromyography and genetic testing are invasive, time-consuming, and costly. However, ultrasound, being non-invasive and cost-efficient can be a reliable alternative, but manual interpretation is a major limitation of this method. Our study presents a deep learning-based approach to automate the diagnosis of neuromuscular disorders.Our study leveraged Convolutional Neural Networks (CNNs) for feature extraction, combined with dense network for the classification task. To address the black-box nature of deep learning models, Local Interpretable Model-Agnostic Explanations (LIME) was employed, which segments that part of ultrasound images that influence the prediction. The proposed model achieved an accuracy of 94% with and a ROC-AUC score of 0.97, an F1 score of 0.80, a precision of 0.83 and a recall of 0.77 which demonstrates the ability of model to accurately differentiate between the healthy and pathological muscle ultrasound images. The interpretability mechanism (LIME) was successfully able to segment those part of ultrasound images that were influencing the model's prediction giving insights into prediction mechanism and enhancing trust on model. Our approach eliminates the need of image segmentation and need for manual feature extraction by employing end to end Convolutional Neural Network (CNN) model achieving 94% accuracy with balanced precision and recall. Also, we employed explainable mechanism which enhances the trust on the model which make it more adaptable for clinical applications. Our study presents a promising deep-learning based alternate for the diagnostic of neuromuscular disorder using ultrasound images with high accuracy.The integration of an interpretability mechanism enhances the trust on model making it suitable for integration in clinical applications. By automating the diagnostic mechanism neuromuscular disorders can be detected early which will help in strategize the management of neuromuscular disorders eventually enhancing the patient health.</t>
  </si>
  <si>
    <t>Khamparia, Aditya; Singh, Chandan; Gupta, Deepak</t>
  </si>
  <si>
    <t>Khamparia, A (corresponding author), Babasaheb Bhimrao Ambedkar Univ, Dept Comp Sci, Lucknow, Uttar Pradesh, India.</t>
  </si>
  <si>
    <t>aditya.khamparia88@gmail.com</t>
  </si>
  <si>
    <t>Department of Science and Technology, India [SP/YO/2021/1759]</t>
  </si>
  <si>
    <t>Department of Science and Technology, India (Department of Science &amp; Technology (India))</t>
  </si>
  <si>
    <t>This work was supported by the Young Scientist and Technologist Grant from Department of Science and Technology, India [Grant No.: SP/YO/2021/1759].</t>
  </si>
  <si>
    <t>[Khamparia, Aditya; Singh, Chandan] Babasaheb Bhimrao Ambedkar Univ, Dept Comp Sci, Lucknow, Uttar Pradesh, India; [Gupta, Deepak] Maharaja Agrasen Inst Technol, Dept Comp Sci &amp; Engn, Delhi, India</t>
  </si>
  <si>
    <t>Babasaheb Bhimrao Ambedkar University; Maharaja Agrasen Institute of Technology</t>
  </si>
  <si>
    <t>NMDNet: Explainable AI driven neuro muscular detection and classification using deep learning networks</t>
  </si>
  <si>
    <t>INTELLIGENT DECISION TECHNOLOGIES-NETHERLANDS</t>
  </si>
  <si>
    <t>Neuromuscular disorders; deep learning; convolutional neural networks; ultrasound imaging; LIME; AI interpretability; automated diagnosis</t>
  </si>
  <si>
    <t>Khamparia, Aditya/Y-7616-2018; Gupta, Deepak/AAV-2728-2020; Singh, Chandan/LMQ-0428-2024</t>
  </si>
  <si>
    <t>Gupta, Deepak/0000-0002-3019-7161</t>
  </si>
  <si>
    <t>1872-4981</t>
  </si>
  <si>
    <t>1875-8843</t>
  </si>
  <si>
    <t>INTELL DECIS TECHNOL</t>
  </si>
  <si>
    <t>Intell. Decis. Technol.-Neth.</t>
  </si>
  <si>
    <t>572</t>
  </si>
  <si>
    <t>584</t>
  </si>
  <si>
    <t>10.1177/18724981251391747</t>
  </si>
  <si>
    <t>http://dx.doi.org/10.1177/18724981251391747</t>
  </si>
  <si>
    <t>GZ5CU</t>
  </si>
  <si>
    <t>WOS:001614528300001</t>
  </si>
  <si>
    <t>Türkis, FC; Varol, B; Golcuk, Y; Karakoyun, ÖF</t>
  </si>
  <si>
    <t>Rhabdomyolysis is a severe condition with high morbidity and mortality, driven by complications like acute kidney injury. Early risk stratification remains challenging as traditional scores fail to capture complex data patterns. This study lays the foundation for an explainable AI (XAI)-based clinical decision support system (CDSS) by developing a machine learning model to predict the composite outcome of renal replacement therapy or 90-day mortality. Using routinely available admission data from 1031 adults, we applied multivariate imputation, Boruta feature selection, and ADASYN for class imbalance. The CatBoost model achieved the highest discrimination (AUC = 0.942, 95% CI: 0.904-0.980), accuracy (0.913), and maintained good calibration (Brier score = 0.080). Shapley additive explanations (SHAP) identified creatinine, troponin T, and albumin as key predictors, validating clinical plausibility and enabling instance-level explanations for CDSS deployment. Decision-curve analysis confirmed superior net benefit against treat-all or treat-none strategies across clinically relevant thresholds. We propose a framework for integrating this interpretable model into electronic health records to provide real-time risk scores at the point of care. Calibration drift in older adults highlights the need for age-specific refinement, underscoring the value of transparent, evaluable AI in clinical informatics.</t>
  </si>
  <si>
    <t>Cantas Turkis, Fulden; Varol, Bugra; Golcuk, Yalcin; Karakoyun, Omer Faruk</t>
  </si>
  <si>
    <t>Varol, B (corresponding author), Istanbul Aydin Univ, Fac Med, Dept Biostat, Istanbul, Turkiye.</t>
  </si>
  <si>
    <t>bugravarol87@gmail.com</t>
  </si>
  <si>
    <t>[Cantas Turkis, Fulden] Mugla Sitki Kocman Univ, Dept Biostat, Mugla, Turkiye; [Varol, Bugra] Istanbul Aydin Univ, Fac Med, Dept Biostat, Istanbul, Turkiye; [Golcuk, Yalcin] Mugla Sitki Kocman Univ, Dept Emergency Med, Mugla, Turkiye; [Karakoyun, Omer Faruk] Mugla Training &amp; Res Hosp, Emergency Med Serv, Mugla, Turkiye</t>
  </si>
  <si>
    <t>Mugla Sitki Kocman University; Istanbul Aydin University; Mugla Sitki Kocman University</t>
  </si>
  <si>
    <t>Toward an explainable AI-Based clinical decision support system for predicting adverse outcomes in Rhabdomyolysis</t>
  </si>
  <si>
    <t>INFORMATICS FOR HEALTH &amp; SOCIAL CARE</t>
  </si>
  <si>
    <t>Rhabdomyolysis; Clinical Decision Support Systems; explainable artificial intelligence; predictive modeling; acute kidney injury</t>
  </si>
  <si>
    <t>Cantas Turkis, Fulden/A-5130-2015; Varol, Bugra/PLC-5919-2026; karakoyun, ömer/AEZ-7293-2022</t>
  </si>
  <si>
    <t>1753-8157</t>
  </si>
  <si>
    <t>1753-8165</t>
  </si>
  <si>
    <t>INFORM HEALTH SOC CA</t>
  </si>
  <si>
    <t>Inform. Health Soc. Care</t>
  </si>
  <si>
    <t>10.1080/17538157.2026.2628838</t>
  </si>
  <si>
    <t>http://dx.doi.org/10.1080/17538157.2026.2628838</t>
  </si>
  <si>
    <t>DT9TK</t>
  </si>
  <si>
    <t>41693049</t>
  </si>
  <si>
    <t>WOS:001692014600001</t>
  </si>
  <si>
    <t>Gipiskis, R; Tsai, CW; Kurasova, O</t>
  </si>
  <si>
    <t>Explainable AI (XAI) has found numerous applications in computer vision. While image classification-based explainability techniques have garnered significant attention, their counterparts in semantic segmentation have been relatively neglected. Given the prevalent use of image segmentation, ranging from medical to industrial deployments, these techniques warrant a systematic look. In this paper, we present the first comprehensive survey on XAI in semantic image segmentation. We analyze and categorize the literature based on application categories and domains, as well as the evaluation metrics and datasets used. We also propose a taxonomy for interpretable semantic segmentation, and discuss potential challenges and future research directions. (c) 2024 The Author(s). Published by Elsevier B.V. on behalf of The Korean Institute of Communications and Information Sciences. This is an open access article under the CC BY license (http://creativecommons.org/licenses/by/4.0/).</t>
  </si>
  <si>
    <t>Gipiskis, Rokas; Tsai, Chun-Wei; Kurasova, Olga</t>
  </si>
  <si>
    <t>Gipiskis, R (corresponding author), Vilnius Univ, Inst Data Sci &amp; Digital Technol, Vilnius, Lithuania.</t>
  </si>
  <si>
    <t>rokas.gipiskis@mif.vu.lt</t>
  </si>
  <si>
    <t>Na-tional Science and Technology Council of Taiwan, R.O.C. [NSTC111-2222-E-110-006-MY3, NSTC112-2628-E-110-001-MY3, NSTC113-2634-F-110-001-MBK]</t>
  </si>
  <si>
    <t>Na-tional Science and Technology Council of Taiwan, R.O.C.</t>
  </si>
  <si>
    <t>The authors would like to thank the editor and anonymous reviewers for their valuable comments and suggestions on the paper. This work was supported in part by the National Science and Technology Council of Taiwan, R.O.C., under Contract NSTC111-2222-E-110-006-MY3, NSTC112-2628-E-110-001-MY3, and NSTC113-2634-F-110-001-MBK.</t>
  </si>
  <si>
    <t>[Gipiskis, Rokas; Kurasova, Olga] Vilnius Univ, Inst Data Sci &amp; Digital Technol, Vilnius, Lithuania; [Tsai, Chun-Wei] Natl Sun Yat Sen Univ, Dept Comp Sci &amp; Engn, Kaohsiung, Taiwan</t>
  </si>
  <si>
    <t>Vilnius University; National Sun Yat Sen University</t>
  </si>
  <si>
    <t>Explainable AI (XAI) in image segmentation in medicine, industry, and beyond: A survey</t>
  </si>
  <si>
    <t>ICT EXPRESS</t>
  </si>
  <si>
    <t>XAI; Interpretable AI; Interpretability; Image segmentation; Semantic segmentation</t>
  </si>
  <si>
    <t>NEURAL-NETWORKS; ALGORITHMS; MODELS; MRI</t>
  </si>
  <si>
    <t>Kurasova, Olga/N-4349-2017; Gipiškis, Rokas/HZK-3385-2023</t>
  </si>
  <si>
    <t>Kurasova, Olga/0000-0002-0570-1741; Gipiškis, Rokas/0000-0001-5166-0920</t>
  </si>
  <si>
    <t>2405-9595</t>
  </si>
  <si>
    <t>ICT Express</t>
  </si>
  <si>
    <t>1331</t>
  </si>
  <si>
    <t>1354</t>
  </si>
  <si>
    <t>10.1016/j.icte.2024.09.008</t>
  </si>
  <si>
    <t>http://dx.doi.org/10.1016/j.icte.2024.09.008</t>
  </si>
  <si>
    <t>Computer Science, Information Systems; Telecommunications</t>
  </si>
  <si>
    <t>T7U1Q</t>
  </si>
  <si>
    <t>WOS:001406999900001</t>
  </si>
  <si>
    <t>He, SC; Wei, MQ; Meng, DY; Wang, ZY; Yang, G; Wang, ZH</t>
  </si>
  <si>
    <t>To improve and even reverse sarcopenia in elderly people, this study developed a self-determined sequence exercise program consisting of strength training exercise, Yijinjing exercise (a traditional Chinese exercise), and hybrid strength training with Yijinjing exercise. Ninety-four community-dwelling older adults screened for sarcopenia using the Asian Working Group for Sarcopenia criteria were randomly assigned to 24 weeks of a control group (CG, n = 30), self-determined sequence exercise program group (SDSG, n = 34) or strength training group (STG, n = 30). The study examined the effects of three interventions on participantsL3 skeletal muscle fat density, L3 skeletal muscle fat area, L3 skeletal muscle density, L3 skeletal muscle area, muscle fat infiltration, relative skeletal muscle mass index, and grip strength using a repeated-measures ANOVA to evaluate the experimental data. To evaluate the real effect of this model in reversing sarcopenia after the intervention, nine classification models were trained. Significant interaction effects were observed with grip strength, RSMI, L3 SMD, and L3 SMA. At the 24th week, participants' grip strength, L3 SMFA, L3 SMA, and RSMI were improved significantly in the SDSG and STG. The SDSG achieved significantly greater RSMI and grip strength than the STG and CG after the intervention. The self-determined sequence exercise program exhibited better performance than the single type of exercise modality in reversing sarcopenia and improving older adults' skeletal muscle area. Consequently, the stacking model is feasible to make a prediction as to whether or not sarcopenia may be reversed in older adults.</t>
  </si>
  <si>
    <t>He, Shichun; Wei, Meiqi; Meng, Deyu; Wang, Ziyi; Yang, Guang; Wang, Ziheng</t>
  </si>
  <si>
    <t>Yang, G; Wang, ZH (corresponding author), Northeast Normal Univ, Chinese Ctr Exercise Epidemiol, Renmin St, Changchun 130024, Jilin, Peoples R China.; Wang, ZH (corresponding author), Intelligent Lancet LLC, AI Grp, Sacramento, CA 95816 USA.; Wang, ZH (corresponding author), Waseda Univ, Grad Sch Human Sci, Tokorozawa, Saitama 3591192, Japan.</t>
  </si>
  <si>
    <t>wangzy179@nenu.edu.cn; wangzh654@nenu.edu.cn; mengdy539@nenu.edu.cn; wei0q106@nenu.edu.cn; yangg100@nenu.edu.cn; hesc103@nenu.edu.cn</t>
  </si>
  <si>
    <t>Fundamental Research Funds for the Central Universities [135222026]</t>
  </si>
  <si>
    <t>Fundamental Research Funds for the Central Universities (Fundamental Research Funds for the Central Universities)</t>
  </si>
  <si>
    <t>The Fundamental Research Funds for the Central Universities: Number 135222026.</t>
  </si>
  <si>
    <t>[He, Shichun; Wei, Meiqi; Meng, Deyu; Wang, Ziyi; Yang, Guang; Wang, Ziheng] Northeast Normal Univ, Chinese Ctr Exercise Epidemiol, Renmin St, Changchun 130024, Jilin, Peoples R China; [Wang, Ziheng] Intelligent Lancet LLC, AI Grp, Sacramento, CA 95816 USA; [Wang, Ziheng] Waseda Univ, Grad Sch Human Sci, Tokorozawa, Saitama 3591192, Japan</t>
  </si>
  <si>
    <t>Northeast Normal University - China; Waseda University</t>
  </si>
  <si>
    <t>Self-determined sequence exercise program for elderly with sarcopenia: A Randomized controlled trial with clinical assistance from explainable artificial intelligence</t>
  </si>
  <si>
    <t>ARCHIVES OF GERONTOLOGY AND GERIATRICS</t>
  </si>
  <si>
    <t>Sarcopenia; Markov chain; Explainable machine learning; Exercise intervention; Chinese traditional exercise</t>
  </si>
  <si>
    <t>LEAN BODY-MASS; PROGNOSTIC VALUE; COLON-CANCER; TOXICITY; SURVIVAL; AGE</t>
  </si>
  <si>
    <t>Yang, Guang/PBU-9325-2025; Wang, Ziheng/JWP-3488-2024</t>
  </si>
  <si>
    <t>deyu, Meng/0000-0002-3270-9829; Wei, Meiqi/0009-0003-8299-6242; Wang, Ziheng/0000-0002-3953-0493; wang, ziyi/0009-0006-8253-8614</t>
  </si>
  <si>
    <t>0167-4943</t>
  </si>
  <si>
    <t>1872-6976</t>
  </si>
  <si>
    <t>ARCH GERONTOL GERIAT</t>
  </si>
  <si>
    <t>Arch. Gerontol. Geriatr.</t>
  </si>
  <si>
    <t>119</t>
  </si>
  <si>
    <t>105317</t>
  </si>
  <si>
    <t>10.1016/j.archger.2023.105317</t>
  </si>
  <si>
    <t>http://dx.doi.org/10.1016/j.archger.2023.105317</t>
  </si>
  <si>
    <t>Geriatrics &amp; Gerontology</t>
  </si>
  <si>
    <t>GQ3P3</t>
  </si>
  <si>
    <t>38176122</t>
  </si>
  <si>
    <t>WOS:001154098800001</t>
  </si>
  <si>
    <t>Ding, XT; Xing, C</t>
  </si>
  <si>
    <t>Artificial intelligence (AI) is emerging as a valuable assistant in healthcare and can help alleviate the burden on overstretched medical systems. Yet, despite comparable or superior performance, AI doctors are often trusted less than their human counterparts. To identify the mechanisms underlying this trust disparity, we conducted four studies (N = 1040). Study 1 utilized self-report measures to provide initial correlational evidence for both mediations. Studies 2a and 2b employed experimental designs to establish causal mediating effects. Study 3 explored a potential boundary condition for the mediation. The results revealed that, subjective understanding and perceived epistemic authority mediated the effect of doctor type (AI vs. human) on trust. Specifically, compared to human doctors, individuals experienced greater subjective difficulty in understanding the diagnostic process of AI, and they perceived AI doctors as possessing lower epistemic authority. These ultimately led to the lower levels of trust in AI doctors. Moreover, social proof moderated the mediating effect of subjective understanding but not that of perceived epistemic authority. These findings support and enrich the three-layered model of trust in automation, and offer practical guidance for the development of trustworthy AI doctors.</t>
  </si>
  <si>
    <t>Ding, Xiaotong; Xing, Cai</t>
  </si>
  <si>
    <t>Xing, C (corresponding author), Renmin Univ China, Dept Psychol, Beijing 100872, Peoples R China.</t>
  </si>
  <si>
    <t>cxing@ruc.edu.cn</t>
  </si>
  <si>
    <t>National Natural Science Foundation of China [72473144]; People's Psychology Innovation Research Fund of the Department of Psychology at Renmin University of China</t>
  </si>
  <si>
    <t>National Natural Science Foundation of China (National Natural Science Foundation of China (NSFC)); People's Psychology Innovation Research Fund of the Department of Psychology at Renmin University of China</t>
  </si>
  <si>
    <t>This work was supported by National Natural Science Foundation of China, Grant No. 72473144 and the People's Psychology Innovation Research Fund of the Department of Psychology at Renmin University of China.</t>
  </si>
  <si>
    <t>[Ding, Xiaotong; Xing, Cai] Renmin Univ China, Dept Psychol, Beijing 100872, Peoples R China</t>
  </si>
  <si>
    <t>Renmin University of China</t>
  </si>
  <si>
    <t>Trust in AI vs. human doctors: The roles of subjective understanding, perceived epistemic authority and social proof</t>
  </si>
  <si>
    <t>ACTA PSYCHOLOGICA</t>
  </si>
  <si>
    <t>Trust; AI doctor; Subjective understanding; Epistemic authority; Social proof</t>
  </si>
  <si>
    <t>AUTOMATION</t>
  </si>
  <si>
    <t>Ding, Xiaotong/PNG-5684-2026; Xing, Cai/AHH-9189-2022</t>
  </si>
  <si>
    <t>0001-6918</t>
  </si>
  <si>
    <t>1873-6297</t>
  </si>
  <si>
    <t>ACTA PSYCHOL</t>
  </si>
  <si>
    <t>Acta Psychol.</t>
  </si>
  <si>
    <t>105945</t>
  </si>
  <si>
    <t>10.1016/j.actpsy.2025.105945</t>
  </si>
  <si>
    <t>http://dx.doi.org/10.1016/j.actpsy.2025.105945</t>
  </si>
  <si>
    <t>Psychology, Experimental</t>
  </si>
  <si>
    <t>H9885</t>
  </si>
  <si>
    <t>41270561</t>
  </si>
  <si>
    <t>WOS:001626098000001</t>
  </si>
  <si>
    <t>Paddo, AR; Purkayastha, S; Newsome, J; Trivedi, H; Gichoya, JW</t>
  </si>
  <si>
    <t>This paper presents an in-depth analysis of the Emory Health AI (Artificial Intelligence) Bias Datathon held in August 2023, providing insights into the experiences gained during the event. The datathon, focusing on health-related issues, attracted diverse participants, including professionals, researchers, and students from various backgrounds. The paper discusses the preparation, organization, and execution of the datathon, detailing the registration process, team formulation, dataset creation, and logistical aspects. We also explore the achievements and personal experiences of participants, highlighting their resilience, dedication, and innovative contributions. The findings include a breakdown of participant demographics, responses to post-event surveys, and participant backgrounds. Observing the trends, we believe the lessons learned, and the overall impact of the Emory Health AI Bias Datathon on the participants and the field of health data science will contribute significantly in organizing future datathons.</t>
  </si>
  <si>
    <t>Paddo, Atika Rahman; Purkayastha, Saptarshi; Newsome, Janice; Trivedi, Hari; Gichoya, Judy Wawira</t>
  </si>
  <si>
    <t>Paddo, AR (corresponding author), Indiana Univ Indianapolis, Dept BioHlth Informat, 535 Michigan St, Indianapolis, IN 46202 USA.</t>
  </si>
  <si>
    <t>saptpurk@iu.edu; hari.trivedi@emory.edu; judywawira@emory.edu; atika.rahman5331@gmail.com</t>
  </si>
  <si>
    <t>National Science Foundation; Amazon Web Services</t>
  </si>
  <si>
    <t>National Science Foundation (National Science Foundation (NSF)); Amazon Web Services</t>
  </si>
  <si>
    <t>We extend our appreciation to Amazon Web Services (AWS) for providing the infrastructure that supported the computational aspects timely and efficiently and was useful for all the participants in the datathon. Special gratitude is extended to the data contributors whose valuable input and datasets significantly enriched the scope of different problem statements of the datathon. We also acknowledge the research groups that generously shared pretrained embeddings. We acknowledge Moorehouse Medical School for co-hosting the datathon alongside HITI Lab at Emory University for arranging the environment for contributors to work during datathon days. We also express our special gratitude to Dr. Alistair Johnson for his outstanding efforts and guidance in preparing the datasets for participants and assisting in mapping the Emory data with MIMIC-IV.</t>
  </si>
  <si>
    <t>[Paddo, Atika Rahman; Purkayastha, Saptarshi] Indiana Univ Indianapolis, Dept BioHlth Informat, 535 Michigan St, Indianapolis, IN 46202 USA; [Newsome, Janice; Trivedi, Hari; Gichoya, Judy Wawira] Emory Univ, Sch Med, Dept Radiol, 100 Woodruff Circle, Atlanta, GA 30322 USA</t>
  </si>
  <si>
    <t>Indiana University System; Indiana University Indianapolis; Emory University</t>
  </si>
  <si>
    <t>Innovating Challenges and Experiences in Emory Health AI Bias Datathon: Experience Report</t>
  </si>
  <si>
    <t>JOURNAL OF IMAGING INFORMATICS IN MEDICINE</t>
  </si>
  <si>
    <t>Datathon; Healthcare innovation; Participant experiences; Post-event survey</t>
  </si>
  <si>
    <t>Trivedi, Hari/ABX-2140-2022; Purkayastha, Saptarshi/ORJ-7317-2025; Gichoya, Judy/E-1657-2011</t>
  </si>
  <si>
    <t>Paddo, Atika Rahman/0000-0001-7068-8726; Purkayastha, Saptarshi/0000-0003-3625-534X; Gichoya, Judy/0000-0002-1097-316X</t>
  </si>
  <si>
    <t>2948-2925</t>
  </si>
  <si>
    <t>2948-2933</t>
  </si>
  <si>
    <t>J IMAGING INFORM MED</t>
  </si>
  <si>
    <t>J. Imaging Inform. Med.</t>
  </si>
  <si>
    <t>4293</t>
  </si>
  <si>
    <t>4302</t>
  </si>
  <si>
    <t>10.1007/s10278-024-01367-5</t>
  </si>
  <si>
    <t>http://dx.doi.org/10.1007/s10278-024-01367-5</t>
  </si>
  <si>
    <t>DD1KT</t>
  </si>
  <si>
    <t>40000544</t>
  </si>
  <si>
    <t>WOS:001431094600001</t>
  </si>
  <si>
    <t>Prabhudesai, S; Hauth, J; Guo, DK; Rao, AR; Banovic, N; Huan, X</t>
  </si>
  <si>
    <t>Deep Neural Networks (DNNs) can provide clinicians with fast and accurate predictions that are highly valuable for high-stakes medical decision-making, such as in brain tumor segmentation and treatment planning. However, these models largely lack transparency about the uncertainty in their predictions, potentially giving clinicians a false sense of reliability that may lead to grave consequences in patient care. Growing calls for Transparent and Responsible AI have promoted Uncertainty Quantification (UQ) to capture and communicate uncertainty in a systematic and principled manner. However, traditional Bayesian UQ methods remain prohibitively costly for large, million-dimensional tumor segmentation DNNs such as the U-Net. In this work, we discuss a computationally-efficient UQ approach via the partially Bayesian neural networks (pBNN). In pBNN, only a single layer, strategically selected based on gradient-based sensitivity analysis, is targeted for Bayesian inference. We illustrate the effectiveness of pBNN in capturing the full uncertainty for a 7.8-million parameter U-Net. We also demonstrate how practitioners and model developers can use the pBNN's predictions to better understand the model's capabilities and behavior.</t>
  </si>
  <si>
    <t>Prabhudesai, Snehal; Hauth, Jeremiah; Guo, Dingkun; Rao, Arvind; Banovic, Nikola; Huan, Xun</t>
  </si>
  <si>
    <t>Prabhudesai, S (corresponding author), Univ Michigan, Dept Comp Sci &amp; Engn, Ann Arbor, MI 48109 USA.</t>
  </si>
  <si>
    <t>snehalbp@umich.edu</t>
  </si>
  <si>
    <t>University of Michigan (UM) Michigan Institute for Computational Discovery and Engineering (MICDE) Catalyst Grant Enabling Tractable Uncertainty Quantification for High-Dimensional Predictive AI Systems in Computational Medicine; CCSG Bioinformatics Shared Resource [5 P30 CA046592]; American Cancer Society [RSG-16-005-01]; UM Precision Health Investigator Award; NCI Grant [R37-CA214955]; U.S. Department of Energy, Office of Science, Office of Advanced Scientific Computing Research [DE-SC0021397, DE-SC0021398]; U.S. Department of Energy (DOE) [DE-SC0021398, DE-SC0021397] Funding Source: U.S. Department of Energy (DOE)</t>
  </si>
  <si>
    <t>University of Michigan (UM) Michigan Institute for Computational Discovery and Engineering (MICDE) Catalyst Grant Enabling Tractable Uncertainty Quantification for High-Dimensional Predictive AI Systems in Computational Medicine; CCSG Bioinformatics Shared Resource; American Cancer Society (American Cancer Society); UM Precision Health Investigator Award; NCI Grant (United States Department of Health &amp; Human Services, National Institutes of Health (NIH) - USA, NIH National Cancer Institute (NCI)); U.S. Department of Energy, Office of Science, Office of Advanced Scientific Computing Research (United States Department of Energy (DOE)); U.S. Department of Energy (DOE) (United States Department of Energy (DOE))</t>
  </si>
  <si>
    <t>SP, XH, and AR were partially supported by the University of Michigan (UM) Michigan Institute for Computational Discovery and Engineering (MICDE) Catalyst Grant Enabling Tractable Uncertainty Quantification for High-Dimensional Predictive AI Systems in Computational Medicine. AR was supported by CCSG Bioinformatics Shared Resource 5 P30 CA046592, a Research Scholar Grant from the American Cancer Society (RSG-16-005-01), and a UM Precision Health Investigator Award to AR (along with L. Rozek and M. Sartor). SP and AR were also partially supported by the NCI Grant R37-CA214955. JH, XH, and NB were supported in part by the U.S. Department of Energy, Office of Science, Office of Advanced Scientific Computing Research, under Award Numbers DE-SC0021397 and DE-SC0021398. This paper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t>
  </si>
  <si>
    <t>[Prabhudesai, Snehal; Banovic, Nikola] Univ Michigan, Dept Comp Sci &amp; Engn, Ann Arbor, MI 48109 USA; [Hauth, Jeremiah; Huan, Xun] Univ Michigan, Dept Mech Engn, Ann Arbor, MI USA; [Guo, Dingkun] Carnegie Mellon Univ, Robot Inst, Pittsburgh, PA USA; [Rao, Arvind] Michigan Med, Dept Computat Med &amp; Bioinformat, Ann Arbor, MI USA; [Rao, Arvind] Univ Michigan, Dept Radiat Oncol, Ann Arbor, MI USA</t>
  </si>
  <si>
    <t>University of Michigan System; University of Michigan; University of Michigan System; University of Michigan; Carnegie Mellon University; University of Michigan System; University of Michigan</t>
  </si>
  <si>
    <t>Lowering the computational barrier: Partially Bayesian neural networks for transparency in medical imaging AI</t>
  </si>
  <si>
    <t>FRONTIERS IN COMPUTER SCIENCE</t>
  </si>
  <si>
    <t>medical decision-making; Bayesian uncertainty; Responsible AI; transparency; tumor segmentation</t>
  </si>
  <si>
    <t>SEGMENTATION; UNCERTAINTY</t>
  </si>
  <si>
    <t>Banovic, Nikola/NHQ-1750-2025; Huan, Xun/A-3025-2017</t>
  </si>
  <si>
    <t>Banovic, Nikola/0000-0002-2790-3264; Huan, Xun/0000-0001-6544-2764</t>
  </si>
  <si>
    <t>2624-9898</t>
  </si>
  <si>
    <t>FRONT COMP SCI-SWITZ</t>
  </si>
  <si>
    <t>Front. Comput. Sci.-Switz</t>
  </si>
  <si>
    <t>FEB 15 2023</t>
  </si>
  <si>
    <t>1071174</t>
  </si>
  <si>
    <t>10.3389/fcomp.2023.1071174</t>
  </si>
  <si>
    <t>http://dx.doi.org/10.3389/fcomp.2023.1071174</t>
  </si>
  <si>
    <t>9K8CG</t>
  </si>
  <si>
    <t>WOS:000941089400001</t>
  </si>
  <si>
    <t>Colak, C; Yagin, FH; Algarni, A; Algarni, A; Al-Hashem, F; Ardigo, LP</t>
  </si>
  <si>
    <t>Background and Objectives: Liver cancer ranks among the leading causes of cancer-related mortality, necessitating the development of novel diagnostic methods. Deregulated lipid metabolism, a hallmark of hepatocarcinogenesis, offers compelling prospects for biomarker identification. This study aims to employ explainable artificial intelligence (XAI) to identify lipidomic biomarkers for liver cancer and to develop a robust predictive model for early diagnosis. Materials and Methods: This study included 219 patients diagnosed with liver cancer and 219 healthy controls. Serum samples underwent untargeted lipidomic analysis with LC-QTOF-MS. Lipidomic data underwent univariate and multivariate analyses, including fold change (FC), t-tests, PLS-DA, and Elastic Network feature selection, to identify significant biomarker candidate lipids. Machine learning models (AdaBoost, Random Forest, Gradient Boosting) were developed and evaluated utilizing these biomarkers to differentiate liver cancer. The AUC metric was employed to identify the optimal predictive model, whereas SHAP was utilized to achieve interpretability of the model's predictive decisions. Results: Notable alterations in lipid profiles were observed: decreased sphingomyelins (SM d39:2, SM d41:2) and increased fatty acids (FA 14:1, FA 22:2) and phosphatidylcholines (PC 34:1, PC 32:1). AdaBoost exhibited a superior classification performance, achieving an AUC of 0.875. SHAP identified PC 40:4 as the most efficacious lipid for model predictions. The SM d41:2 and SM d36:3 lipids were specifically associated with an increased risk of low-onset cancer and elevated levels of the PC 40:4 lipid. Conclusions: This study demonstrates that untargeted lipidomics, in conjunction with explainable artificial intelligence (XAI) and machine learning, may effectively identify biomarkers for the early detection of liver cancer. The results suggest that alterations in lipid metabolism are crucial to the progression of liver cancer and provide valuable insights for incorporating lipidomics into precision oncology.</t>
  </si>
  <si>
    <t>Colak, Cemil; Yagin, Fatma Hilal; Algarni, Abdulmohsen; Algarni, Ali; Al-Hashem, Fahaid; Ardigo, Luca Paolo</t>
  </si>
  <si>
    <t>Yagin, FH (corresponding author), Inonu Univ, Fac Med, Dept Biostat &amp; Med Informat, TR-44280 Malatya, Turkiye.; Ardigo, LP (corresponding author), NLA Univ Coll, Dept Teacher Educ, Linstows Gate 3, N-0166 Oslo, Norway.</t>
  </si>
  <si>
    <t>hilal.yagin@inonu.edu.tr; cemil.colak@inonu.edu.tr; a.algarni@kku.edu.sa; akafeer@kku.edu.sa; fahaid999@yahoo.com; luca.ardigo@nla.no</t>
  </si>
  <si>
    <t>King Khalid University [RGP1/369/45]; Deanship of Research and Graduate Studies at King Khalid University</t>
  </si>
  <si>
    <t>King Khalid University (King Khalid University); Deanship of Research and Graduate Studies at King Khalid University</t>
  </si>
  <si>
    <t>The authors extend their appreciation to the Deanship of Research and Graduate Studies at King Khalid University for funding this work through small group research under grant number: RGP1/369/45.</t>
  </si>
  <si>
    <t>[Colak, Cemil; Yagin, Fatma Hilal] Inonu Univ, Fac Med, Dept Biostat &amp; Med Informat, TR-44280 Malatya, Turkiye; [Algarni, Abdulmohsen] King Khalid Univ, Dept Comp Sci, Abha 61421, Saudi Arabia; [Algarni, Ali] King Khalid Univ, Coll Comp Sci, Dept Informat &amp; Comp Syst, Abha 61421, Saudi Arabia; [Al-Hashem, Fahaid] King Khalid Univ, Coll Med, Dept Physiol, Abha 61421, Saudi Arabia; [Ardigo, Luca Paolo] NLA Univ Coll, Dept Teacher Educ, Linstows Gate 3, N-0166 Oslo, Norway</t>
  </si>
  <si>
    <t>Inonu University; King Khalid University; King Khalid University; King Khalid University; NLA University College</t>
  </si>
  <si>
    <t>Untargeted Lipidomic Biomarkers for Liver Cancer Diagnosis: A Tree-Based Machine Learning Model Enhanced by Explainable Artificial Intelligence</t>
  </si>
  <si>
    <t>MEDICINA-LITHUANIA</t>
  </si>
  <si>
    <t>liver cancer; lipidomics; biomarkers; machine learning; SHAP; precision medicine</t>
  </si>
  <si>
    <t>METABOLISM</t>
  </si>
  <si>
    <t>ÇOLAK, Cemil/ABI-3261-2020; Algarni, Abdulmohsen/HRA-7138-2023; YAĞIN, Fatma Hilal/ABI-8066-2020; AL-Hashem, Fahaid/GPS-8057-2022; Ardigò, Luca Paolo/H-8955-2019; Algarni, Ali/KIL-6898-2024</t>
  </si>
  <si>
    <t>ÇOLAK, Cemil/0000-0001-5406-098X; Algarni, Abdulmohsen/0000-0002-7556-958X; YAĞIN, Fatma Hilal/0000-0002-9848-7958; Ardigò, Luca Paolo/0000-0001-7677-5070; Algarni, Ali/0009-0002-6718-517X</t>
  </si>
  <si>
    <t>1010-660X</t>
  </si>
  <si>
    <t>1648-9144</t>
  </si>
  <si>
    <t>Med. Lith.</t>
  </si>
  <si>
    <t>FEB 26 2025</t>
  </si>
  <si>
    <t>405</t>
  </si>
  <si>
    <t>10.3390/medicina61030405</t>
  </si>
  <si>
    <t>http://dx.doi.org/10.3390/medicina61030405</t>
  </si>
  <si>
    <t>0PE7V</t>
  </si>
  <si>
    <t>40142216</t>
  </si>
  <si>
    <t>WOS:001452719200001</t>
  </si>
  <si>
    <t>Knopp, MI; Warm, EJ; Weber, D; Kelleher, M; Kinnear, B; Schumacher, DJ; Santen, SA; Mendonça, E; Turner, L</t>
  </si>
  <si>
    <t>Background: The rapid trajectory of artificial intelligence (AI) development and advancement is quickly outpacing society's ability to determine its future role. As AI continues to transform various aspects of our lives, one critical question arises for medical education: what will be the nature of education, teaching, and learning in a future world where the acquisition, retention, and application of knowledge in the traditional sense are fundamentally altered by AI?Objective: The purpose of this perspective is to plan for the intersection of health care and medical education in the future. Methods: We used GPT-4 and scenario-based strategic planning techniques to craft 4 hypothetical future worlds influenced by AI's integration into health care and medical education. This method, used by organizations such as Shell and the Accreditation Council for Graduate Medical Education, assesses readiness for alternative futures and effectively manages uncertainty, risk, and opportunity. The detailed scenarios provide insights into potential environments the medical profession may face and lay the foundation for hypothesis generation and idea-building regarding responsible AI implementation.Results: The following 4 worlds were created using OpenAI's GPT model: AI Harmony, AI conflict, The world of Ecological Balance, and Existential Risk. Risks include disinformation and misinformation, loss of privacy, widening inequity, erosion of human autonomy, and ethical dilemmas. Benefits involve improved efficiency, personalized interventions, enhanced collaboration, early detection, and accelerated research.Conclusions: To ensure responsible AI use, the authors suggest focusing on 3 key areas: developing a robust ethical framework, fostering interdisciplinary collaboration, and investing in education and training. A strong ethical framework emphasizes patient safety, privacy, and autonomy while promoting equity and inclusivity. Interdisciplinary collaboration encourages cooperation among various experts in developing and implementing AI technologies, ensuring that they address the complex needs and challenges in health care and medical education. Investing in education and training prepares professionals and trainees with necessary skills and knowledge to effectively use and critically evaluate AI technologies. The integration of AI in health care and medical education presents a critical juncture between transformative advancements and significant risks. By working together to address both immediate and long-term risks and consequences, we can ensure that AI integration leads to a more equitable, sustainable, and prosperous future for both health care and medical education. As we engage with AI technologies, our collective actions will ultimately determine the state of the future of health care and medical education to harness AI's power while ensuring the safety and well-being of humanity.</t>
  </si>
  <si>
    <t>Knopp, Michelle, I; Warm, Eric J.; Weber, Danielle; Kelleher, Matthew; Kinnear, Benjamin; Schumacher, Daniel J.; Santen, Sally A.; Mendonca, Eneida; Turner, Laurah</t>
  </si>
  <si>
    <t>Turner, L (corresponding author), Univ Cincinnati, Coll Med, Dept Med Educ, Cincinnati, OH 45221 USA.</t>
  </si>
  <si>
    <t>turnela@ucmail.uc.edu</t>
  </si>
  <si>
    <t>[Knopp, Michelle, I; Warm, Eric J.] Univ Cincinnati, Coll Med, Dept Internal Med, Cincinnati, OH USA; [Weber, Danielle; Kelleher, Matthew] Univ Cincinnati, Coll Med, Dept Internal Med &amp; Pediat, Cincinnati, OH USA; [Kinnear, Benjamin; Schumacher, Daniel J.; Mendonca, Eneida] Univ Cincinnati, Coll Med, Dept Pediat, Cincinnati, OH USA; [Santen, Sally A.; Turner, Laurah] Univ Cincinnati, Coll Med, Dept Med Educ, Cincinnati, OH 45221 USA</t>
  </si>
  <si>
    <t>University System of Ohio; University of Cincinnati; University System of Ohio; University of Cincinnati; University System of Ohio; University of Cincinnati; University System of Ohio; University of Cincinnati</t>
  </si>
  <si>
    <t>AI-Enabled Medical Education: Threads of Change, Promising Futures, and Risky Realities Across Four Potential Future Worlds</t>
  </si>
  <si>
    <t>JMIR MEDICAL EDUCATION</t>
  </si>
  <si>
    <t>artificial intelligence; medical education; scenario planning; future of healthcare; ethics and AI; future; scenario; ChatGPT; generative; GPT-4; ethic; ethics; ethical; strategic planning; Open-AI; OpenAI; privacy; autonomy; autonomous</t>
  </si>
  <si>
    <t>Mendonca, Eneida/J-8895-2016; Knopp, Michelle I/MGW-0273-2025; Kinnear, Benjamin/LLM-3865-2024</t>
  </si>
  <si>
    <t>Weber, Danielle/0000-0002-4857-6936; Knopp, Michelle I/0000-0002-2584-1039; Schumacher, Daniel/0000-0001-5507-8452; Kinnear, Benjamin/0000-0003-0052-4130</t>
  </si>
  <si>
    <t>2369-3762</t>
  </si>
  <si>
    <t>JMIR MED EDUC</t>
  </si>
  <si>
    <t>JMIR Med. Educ.</t>
  </si>
  <si>
    <t>e50373</t>
  </si>
  <si>
    <t>10.2196/50373</t>
  </si>
  <si>
    <t>http://dx.doi.org/10.2196/50373</t>
  </si>
  <si>
    <t>Education, Scientific Disciplines</t>
  </si>
  <si>
    <t>Education &amp; Educational Research</t>
  </si>
  <si>
    <t>FM2Y2</t>
  </si>
  <si>
    <t>38145471</t>
  </si>
  <si>
    <t>WOS:001146163200001</t>
  </si>
  <si>
    <t>Vardhan, VH; Rahul, SG; Amirthalakshmi, TM; Venkatasubramanian, K</t>
  </si>
  <si>
    <t>Introduction Flatfoot, also known as pes planus, is a deformity of the foot characterized by a decrease or absence of the medial longitudinal arch, which may lead to postural and locomotion abnormalities.Methods This study presents a comparative analysis of handcrafted feature-based machine learning (LBP with Random Forest, Decision Tree, Logistic Regression) and deep learning models (InceptionResNetV2, ResNet101V2, DenseNet201, DenseNet169, InceptionV3, Xception) for flatfoot classification. Monte Carlo cross-validation was employed with subject-wise splitting. SHAP and Grad-CAM were used for explainability.Results Random Forest achieved 70% accuracy with LBP features. ResNet101V2-RMSprop achieved 92.86% +/- 2.82% mean accuracy and 98.21% best single-run accuracy. Deep features with Decision Tree achieved 97% accuracy, 95% recall, and 100% specificity.Discussion SHAP and Grad-CAM confirmed that the model focuses on clinically relevant regions: the medial longitudinal arch and calcaneus for pes planus, and the talus-navicular region for normal feet. The hybrid approach is suitable for clinical screening.</t>
  </si>
  <si>
    <t>Vardhan, V. Harsha; Rahul, S. G.; Amirthalakshmi, T. M.; Venkatasubramanian, K.</t>
  </si>
  <si>
    <t>Vardhan, VH; Rahul, SG (corresponding author), Amrita Vishwa Vidyapeetham, Amrita Sch Engn, Dept Elect &amp; Commun Engn, Chennai, India.</t>
  </si>
  <si>
    <t>harishvenkat2004@gmail.com; sg_rahul@ch.amrita.edu</t>
  </si>
  <si>
    <t>Sri Mata Amritanandamayi Devi (Amma), Chancellor, Amrita Vishwa Vidyapeetham</t>
  </si>
  <si>
    <t>The author(s) declared that financial support was received for this work and/or its publication. The authors gratefully acknowledge Sri Mata Amritanandamayi Devi (Amma), Chancellor, Amrita Vishwa Vidyapeetham, for her inspiration and for providing financial support for the Article Processing Charges (APC) of this publication.</t>
  </si>
  <si>
    <t>[Vardhan, V. Harsha; Rahul, S. G.; Amirthalakshmi, T. M.] Amrita Vishwa Vidyapeetham, Amrita Sch Engn, Dept Elect &amp; Commun Engn, Chennai, India; [Venkatasubramanian, K.] Mahindra Univ, Ecole Cent Sch Engn, Dept Elect &amp; Comp Engn, Hyderabad, India</t>
  </si>
  <si>
    <t>Amrita Vishwa Vidyapeetham; Amrita Vishwa Vidyapeetham Chennai; Mahindra University</t>
  </si>
  <si>
    <t>Explainable AI-based clinical decision support system for flatfoot classification using deep learning</t>
  </si>
  <si>
    <t>explainable AI; interpretable machine learning; local binary pattern; monte carlo cross validation; pes planus; RMSprop</t>
  </si>
  <si>
    <t>PLANUS</t>
  </si>
  <si>
    <t>JUL 29 2026</t>
  </si>
  <si>
    <t>1852739</t>
  </si>
  <si>
    <t>10.3389/fdgth.2026.1852739</t>
  </si>
  <si>
    <t>http://dx.doi.org/10.3389/fdgth.2026.1852739</t>
  </si>
  <si>
    <t>MM4DB</t>
  </si>
  <si>
    <t>WOS:001845695400001</t>
  </si>
  <si>
    <t>Canato, MC</t>
  </si>
  <si>
    <t>The governance of artificial intelligence (AI) in European healthcare reveals a structural paradox. While the EU Artificial Intelligence Act (AI Act) classifies most medical AI systems as high-risk and imposes extensive obligations on providers and deployers, the institutional mechanisms meant to enforce these obligations often remain merely advisory. This article conceptualizes this disjunction as the enforceability gap: the systemic mismatch between formal legal responsibility and the institutional capacity to exercise coercive authority. This paper, in bridging insights from accountability theory, risk governance, and digital constitutionalism, argues that enforceability constitutes the missing link between algorithmic authority and democratic legitimacy. Authority without enforceability, it contends, results in symbolic governance, where ethics boards simulate oversight without power to constrain decisions. To overcome this deficit, the paper proposes a model of enforceable accountability grounded in four pillars: legally empowered institutional boards with conditional veto powers; corporate and professional liability mechanisms; transparency and restorative-oriented frameworks; and participatory procedures embedding democratic deliberation. The paper's key innovation is to re-center hospitals as one-stop accountability hubs-integrated institutional loci where ethical review, legal compliance, and technical audit converge within a unified governance structure. By conceptualizing hospitals as active co-regulators rather than passive deployers, the paper demonstrates how enforceable accountability can be operationalized at the point of clinical implementation. In this perspective, addressing the enforceability gap is not solely a matter of regulatory refinement, but a structural condition for aligning high-risk AI governance with the rule-of-law requirements of the European digital order, ensuring that ethical obligations acquire effective legal force rather than remaining aspirational norms.</t>
  </si>
  <si>
    <t>Canato, Maria Carla</t>
  </si>
  <si>
    <t>Canato, MC (corresponding author), Univ Padua, Padua, Italy.</t>
  </si>
  <si>
    <t>mariacarla.canato@phd.unipd.it</t>
  </si>
  <si>
    <t>Universit degli Studi di Padova</t>
  </si>
  <si>
    <t>Open access funding provided by Universita degli Studi di Padova within the CRUI-CARE Agreement.</t>
  </si>
  <si>
    <t>[Canato, Maria Carla] Univ Padua, Padua, Italy</t>
  </si>
  <si>
    <t>University of Padua</t>
  </si>
  <si>
    <t>From ethics washing to enforceable accountability: hospitals as hubs of digital constitutionalism</t>
  </si>
  <si>
    <t>Artificial Intelligence Governance; Algorithmic Accountability; Healthcare AI; EU Artificial Intelligence Act; Enforceability Gap; Digital Constitutionalism</t>
  </si>
  <si>
    <t>AUG 2026</t>
  </si>
  <si>
    <t>7719</t>
  </si>
  <si>
    <t>7733</t>
  </si>
  <si>
    <t>10.1007/s00146-026-02980-4</t>
  </si>
  <si>
    <t>http://dx.doi.org/10.1007/s00146-026-02980-4</t>
  </si>
  <si>
    <t>NA5BT</t>
  </si>
  <si>
    <t>WOS:001719082500001</t>
  </si>
  <si>
    <t>Monem, S; Darwish, A; Hassanien, AE; Afify, HM</t>
  </si>
  <si>
    <t>Multi-drug therapy has become more common in recent years, especially among older people who have many illnesses. However, patients are put at risk when unanticipated drug-drug interactions (DDIs) result in negative reactions or serious toxicity. Predicting possible DDI by computational model improves the drug design process and minimizes unexpected drug interactions and research expenses. In this paper, the proposed model is constructed by a complete graph convolutional neural (GCN) network on publicly DDI data from the DrugBank, including 65 classes for DDI prediction. In this data, the number of samples is 37,264 for two drugs with three optimal features, including the chemical, target, and enzyme. This multi-classification model consists of three phases, including drug preprocessing, three layers of GCN, and a fully connected network. The findings confirmed the performance of this proposed model, achieving an accuracy of 95.12%, which is the best result compared with previous works on the same data. Although the data was imbalanced, this paper primary contribution was to enhance both the computational time and the classification evaluation metrics rather than other state-of-the-art models. Explainable artificial intelligence (XAI) is applied SHapley Additive exPlainations (SHAP) to the proposed model to avoid misclassification and produce easily comprehensible results. This proposed model will help to explore the possible drug hazards and support intelligent pharmaceutical management.</t>
  </si>
  <si>
    <t>Monem, Samar; Darwish, Ashraf; Hassanien, Aboul Ella; Afify, Heba M.</t>
  </si>
  <si>
    <t>Afify, HM (corresponding author), Cairo Univ, Sci Res Sch Egypt SRSEG, Cairo, Egypt.; Afify, HM (corresponding author), Higher Inst Engn Shorouk Acad, Syst &amp; Biomed Engn Dept, Al Shorouk City, Cairo, Egypt.</t>
  </si>
  <si>
    <t>hebaaffify@yahoo.com</t>
  </si>
  <si>
    <t>[Monem, Samar] Beni Suef Univ, Fac Sci, Math &amp; Comp Sci Dept, Bani Suwayf, Egypt; [Monem, Samar; Darwish, Ashraf; Hassanien, Aboul Ella; Afify, Heba M.] Cairo Univ, Sci Res Sch Egypt SRSEG, Cairo, Egypt; [Darwish, Ashraf] Obour Univ Sci &amp; Technol OUST, Fac Comp &amp; Artificial Intelligence, Cairo, Egypt; [Darwish, Ashraf] Ahlia Univ, Coll Informat Technol, Manama, Bahrain; [Darwish, Ashraf] Helwan Univ, Fac Sci, Helwan, Egypt; [Hassanien, Aboul Ella] Cairo Univ, Fac Comp &amp; Informat, Giza, Egypt; [Afify, Heba M.] Higher Inst Engn Shorouk Acad, Syst &amp; Biomed Engn Dept, Al Shorouk City, Cairo, Egypt</t>
  </si>
  <si>
    <t>Egyptian Knowledge Bank (EKB); Beni Suef University; Egyptian Knowledge Bank (EKB); Cairo University; Ahlia University Bahrain; Egyptian Knowledge Bank (EKB); Capital University - Egypt; Egyptian Knowledge Bank (EKB); Cairo University</t>
  </si>
  <si>
    <t>Multi-Classification of Drug-Drug interaction based on a complete graph convolutional neural network and explainable artificial intelligence</t>
  </si>
  <si>
    <t>JOURNAL OF BIOINFORMATICS AND COMPUTATIONAL BIOLOGY</t>
  </si>
  <si>
    <t>Drug-drug interactions (DDIs); graph convolutional neural (GCN); DrugBank; multi-classification; explainable artificial intelligence (XAI); SHapley Additive exPlainations (SHAP)</t>
  </si>
  <si>
    <t>Hassanien, Aboul Ella/O-5672-2014; Afify, Heba M/ITT-1383-2023</t>
  </si>
  <si>
    <t>Hassanien, Aboul Ella/0000-0002-9989-6681; Afify, Heba M/0000-0002-6279-0883</t>
  </si>
  <si>
    <t>WORLD SCIENTIFIC PUBL CO PTE LTD</t>
  </si>
  <si>
    <t>5 TOH TUCK LINK, SINGAPORE 596224, SINGAPORE</t>
  </si>
  <si>
    <t>0219-7200</t>
  </si>
  <si>
    <t>1757-6334</t>
  </si>
  <si>
    <t>J BIOINF COMPUT BIOL</t>
  </si>
  <si>
    <t>J. Bioinform. Comput. Biol.</t>
  </si>
  <si>
    <t>06</t>
  </si>
  <si>
    <t>2550021</t>
  </si>
  <si>
    <t>10.1142/S0219720025500210</t>
  </si>
  <si>
    <t>http://dx.doi.org/10.1142/S0219720025500210</t>
  </si>
  <si>
    <t>Biochemical Research Methods; Computer Science, Interdisciplinary Applications; Mathematical &amp; Computational Biology</t>
  </si>
  <si>
    <t>Biochemistry &amp; Molecular Biology; Computer Science; Mathematical &amp; Computational Biology</t>
  </si>
  <si>
    <t>Z1334</t>
  </si>
  <si>
    <t>41403225</t>
  </si>
  <si>
    <t>WOS:001642306400003</t>
  </si>
  <si>
    <t>Aktas, FA; Eken, A; Erogul, O</t>
  </si>
  <si>
    <t>Objective. Accurate classification of pain levels is essential for clinical monitoring, particularly in clinical populations with limited verbal communication. This study explores the feasibility of decoding pain from EEG using explainable deep learning. Approach. EEG signals from 50 subjects exposed to low and high pain stimuli were analyzed. A 1D convolutional neural network (CNN) was trained using leave-one-subject-out (LOSO) cross-validation. To enhance interpretability, DeepSHAP was applied to identify frequency-specific contributions of EEG features to the model's decisions. Main Results. The CNN achieved a classification accuracy of 95.85%, outperforming traditional classifiers (SVM, LDA, RF, etc.) on the same dataset. Explainability analysis showed that increased beta activity (14-15 Hz) was associated with high pain, while alpha (11-12 Hz) theta and delta bands correlated with lower pain states. Significance. This work demonstrates the potential of explainable deep learning in real-time, subject-independent pain decoding. The results support the integration of XAI techniques into EEG-based brain-computer interface (BCI) systems for objective pain monitoring.</t>
  </si>
  <si>
    <t>Aktas, Feyzi Alkim; Eken, Aykut; Erogul, Osman</t>
  </si>
  <si>
    <t>Aktas, FA (corresponding author), TOBB Univ Econ &amp; Technol, Dept Biomed Engn, Ankara, Turkiye.; Aktas, FA (corresponding author), Samsun Univ, Dept Biomed Engn, Samsun, Turkiye.</t>
  </si>
  <si>
    <t>feyzialkimaktas@etu.edu.tr</t>
  </si>
  <si>
    <t>[Aktas, Feyzi Alkim; Eken, Aykut; Erogul, Osman] TOBB Univ Econ &amp; Technol, Dept Biomed Engn, Ankara, Turkiye; [Aktas, Feyzi Alkim] Samsun Univ, Dept Biomed Engn, Samsun, Turkiye; [Eken, Aykut] Carl von Ossietzky Univ Oldenburg, Neuropsychol Lab, Neurocognit &amp; Funct Neurorehabil Grp, Oldenburg, Germany</t>
  </si>
  <si>
    <t>TOBB University of Economics &amp; Technology; Samsun University; Carl von Ossietzky Universitat Oldenburg</t>
  </si>
  <si>
    <t>Explainable AI for pain perception: subject-independent EEG decoding using DeepSHAP and CNNs</t>
  </si>
  <si>
    <t>BIOMEDICAL PHYSICS &amp; ENGINEERING EXPRESS</t>
  </si>
  <si>
    <t>pain decoding; EEG; deep learning; explainable AI; machine learning; LOSO; BCI</t>
  </si>
  <si>
    <t>HEAT PAIN; ELECTROENCEPHALOGRAPHY; FMRI</t>
  </si>
  <si>
    <t>EROGUL, Osman/AAW-3005-2021; Eken, Aykut/S-7559-2018</t>
  </si>
  <si>
    <t>EROGUL, Osman/0000-0002-4640-6570; Eken, Aykut/0000-0002-7023-7930</t>
  </si>
  <si>
    <t>2057-1976</t>
  </si>
  <si>
    <t>BIOMED PHYS ENG EXPR</t>
  </si>
  <si>
    <t>Biomed. Phys. Eng. Express</t>
  </si>
  <si>
    <t>015046</t>
  </si>
  <si>
    <t>10.1088/2057-1976/ae34b4</t>
  </si>
  <si>
    <t>http://dx.doi.org/10.1088/2057-1976/ae34b4</t>
  </si>
  <si>
    <t>CB6HT</t>
  </si>
  <si>
    <t>41499809</t>
  </si>
  <si>
    <t>WOS:001661915000001</t>
  </si>
  <si>
    <t>Tenepalli, D; Navamani, TM</t>
  </si>
  <si>
    <t>Heart disease remains a global health concern, demanding early and accurate prediction for improved patient outcomes. Machine learning offers promising tools, but existing methods face accuracy, class imbalance, and overfitting issues. In this work, we propose an efficient Explainable Recursive Feature Elimination with eXtreme Gradient Boosting (ERFEX) Framework for heart disease prediction. ERFEX leverages Explainable AI techniques to identify crucial features while addressing class imbalance issues. We implemented various machine learning algorithms within the ERFEX framework, utilizing Support Vector Machine-based Synthetic Minority Over-sampling Technique (SVMSMOTE) and SHapley Additive exPlanations (SHAP) for imbalanced class handling and feature selection with explainability. Among these models, Random Forest and XGBoost classifiers within the ERFEX framework achieved 100% training accuracy and 98.23% testing accuracy. Furthermore, SHAP analysis provided interpretable insights into feature importance, improving model trustworthiness. Thus, the findings of this work demonstrate the potential of ERFEX for accurate and explainable heart disease prediction, paving the way for improved clinical decision-making.</t>
  </si>
  <si>
    <t>Tenepalli, Deepika; Navamani, T. M.</t>
  </si>
  <si>
    <t>Navamani, TM (corresponding author), VIT Vellore, SCOPE, Vellore 632014, Tamil Nadu, India.</t>
  </si>
  <si>
    <t>[Tenepalli, Deepika; Navamani, T. M.] VIT Vellore, SCOPE, Vellore 632014, Tamil Nadu, India</t>
  </si>
  <si>
    <t>Vellore Institute of Technology (VIT); VIT Vellore</t>
  </si>
  <si>
    <t>Design and Development of an Efficient Explainable AI Framework for Heart Disease Prediction</t>
  </si>
  <si>
    <t>heart disease; explainable AI; XGBoost; SHAP; Machine learning</t>
  </si>
  <si>
    <t>Tenepalli, Deepika/0009-0004-0260-7647</t>
  </si>
  <si>
    <t>1494</t>
  </si>
  <si>
    <t>1503</t>
  </si>
  <si>
    <t>ZU2G0</t>
  </si>
  <si>
    <t>WOS:001277730000001</t>
  </si>
  <si>
    <t>Alsubai, S</t>
  </si>
  <si>
    <t>Introduction This paper presents a transfer learning approach for Autism Spectrum Disorder (ASD) detection using Deep Neural Networks (DNN) across three distinct datasets.Methods A baseline was established by training multiple machine learning and deep learning models on a toddler ASD screening dataset from Saudi Arabia, augmented with the Synthetic Minority Oversampling Technique (SMOTE) to address class imbalance. The DNN architecture featured regularization and dropout layers. The trained model was then leveraged by transferring learned knowledge to two additional ASD datasets. Model performance was analyzed through standard metrics and explainable AI techniques.Results The DNN architecture outperformed other models (i.e., LSTM and Attention LSTM). Transfer learning demonstrated improved performance with limited training data. Explainable AI techniques provided insights into key features for ASD classification across different populations.Discussion Results indicate the efficacy of transfer learning for cross-dataset ASD classification, suggesting the presence of common behavioral indicators despite demographic and data collection differences.</t>
  </si>
  <si>
    <t>Alsubai, Shtwai</t>
  </si>
  <si>
    <t>Alsubai, S (corresponding author), Prince Sattam bin Abdulaziz Univ, Coll Comp Engn &amp; Sci, Dept Comp Sci, Al Kharj, Saudi Arabia.; Alsubai, S (corresponding author), King Salman Ctr Disabil Res, Riyadh, Saudi Arabia.</t>
  </si>
  <si>
    <t>Sa.alsubai@psau.edu.sa</t>
  </si>
  <si>
    <t>King Salman Centre for Disability Research [KSRG-2024-357]</t>
  </si>
  <si>
    <t>King Salman Centre for Disability Research (King Salman Centre for Disability Research)</t>
  </si>
  <si>
    <t>The author(s) declared that financial support was received for this work and/or its publication. The authors extend their appreciation to the King Salman Centre for Disability Research for funding this work through Research Group No. KSRG-2024-357.</t>
  </si>
  <si>
    <t>[Alsubai, Shtwai] Prince Sattam bin Abdulaziz Univ, Coll Comp Engn &amp; Sci, Dept Comp Sci, Al Kharj, Saudi Arabia; [Alsubai, Shtwai] King Salman Ctr Disabil Res, Riyadh, Saudi Arabia</t>
  </si>
  <si>
    <t>Prince Sattam Bin Abdulaziz University; King Salman Centre for Disability Research</t>
  </si>
  <si>
    <t>Deep transfer learning and explainable AI framework for autism spectrum disorder detection across multiple datasets</t>
  </si>
  <si>
    <t>FRONTIERS IN NEUROLOGY</t>
  </si>
  <si>
    <t>ASD; cross-dataset validation; deep neural networks; explainable AI; healthcare; transfer learning</t>
  </si>
  <si>
    <t>Alsubai, Shtwai/ABW-9013-2022</t>
  </si>
  <si>
    <t>1664-2295</t>
  </si>
  <si>
    <t>FRONT NEUROL</t>
  </si>
  <si>
    <t>Front. Neurol.</t>
  </si>
  <si>
    <t>JAN 13 2026</t>
  </si>
  <si>
    <t>1617446</t>
  </si>
  <si>
    <t>10.3389/fneur.2025.1617446</t>
  </si>
  <si>
    <t>http://dx.doi.org/10.3389/fneur.2025.1617446</t>
  </si>
  <si>
    <t>CN8RH</t>
  </si>
  <si>
    <t>41607838</t>
  </si>
  <si>
    <t>WOS:001670230000001</t>
  </si>
  <si>
    <t>Mahapatra, D; Roy, S; Reyes, M</t>
  </si>
  <si>
    <t>The full clinical integration of deep learning models for medical image segmentation is significantly impeded by their inherent lack of transparency and explicit uncertainty quantification (UQ). In high-stakes medical contexts, clinicians demand not only precise segmentations but also explicit confidence measures, particularly within multi-modal imaging scenarios where effectively integrating diverse data streams while robustly quantifying their inherent uncertainties remains a profound challenge for trustworthy AI. This paper introduces a novel framework, Disentangled Generative Uncertainty-Aware Multi-Modal Diffusion Segmentation (D-GUMM-DS), engineered for robust multi-modal medical image segmentation. Our approach uniquely leverages Generative Artificial Intelligence (GenAI) approaches, specifically Denoising Diffusion Probabilistic Models (DDPMs), to inherently learn the underlying probability distribution of the data. Unlike traditional methods that apply UQ post-hoc to deterministic outputs, D-GUMM-DS directly integrates GenAI's probabilistic nature into a disentangled, adaptive, and uncertainty-aware fusion mechanism. This mechanism intelligently combines multi-modal features, dynamically adjusting their influence based on relevance and resolving ambiguities from data heterogeneity. By analyzing the divergence among multiple plausible segmentation samples generated from the model's learned distribution, we reliably derive comprehensive pixel-wise and global uncertainty estimates. We demonstrate that this principled generative paradigm yields highly accurate and robust segmentations, concurrently providing well-calibrated and clinically interpretable uncertainty maps, thereby fostering greater trust and significantly enhancing decision support in AI-driven medical image analysis.</t>
  </si>
  <si>
    <t>Mahapatra, Dwarikanath; Roy, Sudipta; Reyes, Mauricio</t>
  </si>
  <si>
    <t>Mahapatra, D (corresponding author), Khalifa Univ, Abu Dhabi, U Arab Emirates.</t>
  </si>
  <si>
    <t>dwarikanath.mahapatra@ku.ac.aeq</t>
  </si>
  <si>
    <t>Khalifa University of Science and Technology through the Faculty Startup [KU-INT-FSU-2026-8471000024]</t>
  </si>
  <si>
    <t>Khalifa University of Science and Technology through the Faculty Startup (Khalifa University of Science &amp; Technology)</t>
  </si>
  <si>
    <t>This research was funded by Khalifa University of Science and Technology through the Faculty Startup grant under Project ID: KU-INT-FSU-2026-8471000024.</t>
  </si>
  <si>
    <t>[Mahapatra, Dwarikanath] Khalifa Univ, Abu Dhabi, U Arab Emirates; [Mahapatra, Dwarikanath] Monash Univ, Fac IT, Melbourne, Australia; [Roy, Sudipta] Jio Univ, Navi Mumbai, India; [Reyes, Mauricio] Univ Bern, ARTORG Ctr Biomed Engn Res, Bern, Switzerland</t>
  </si>
  <si>
    <t>Khalifa University of Science &amp; Technology; Monash University; University of Bern</t>
  </si>
  <si>
    <t>Disentangled generative uncertainty-aware multi-modal diffusion segmentation of medical images</t>
  </si>
  <si>
    <t>Uncertainty quantification; Medical image segmentation; Generative AI; Multi-modal fusion; Adaptive fusion</t>
  </si>
  <si>
    <t>104122</t>
  </si>
  <si>
    <t>10.1016/j.media.2026.104122</t>
  </si>
  <si>
    <t>http://dx.doi.org/10.1016/j.media.2026.104122</t>
  </si>
  <si>
    <t>HX5JO</t>
  </si>
  <si>
    <t>42096954</t>
  </si>
  <si>
    <t>WOS:001765051000001</t>
  </si>
  <si>
    <t>Kilic, ME; Tufekcioglu, OA; Yilancioglu, YR; Turan, OE; Ozcan, EE</t>
  </si>
  <si>
    <t>PurposeThe study aimed to develop an interpretable machine learning system for detecting specific arrhythmias-namely ventricular ectopic beats, supraventricular ectopic beats, and atrial fibrillation-by integrating SHapley Additive exPlanations (SHAP) to enhance model transparency and clinical applicability.MethodsA retrospective analysis was performed using ECG data from the MIT-BIH Arrhythmia Database and a 3-channel Holter ECG dataset from the Dokuz Eyl &amp; uuml;l University Heart Rhythm Management Centre (DEUHRMC). Two models were implemented: a LightGBM classifier utilizing 12 features derived from heart rate variability and ECG morphology over 30-minute intervals, and a 1D Convolutional Neural Network (CNN) processing raw ECG segments centered on R peaks. Data were split into training (80%) and testing (20%) sets with 10-fold cross-validation, and class imbalance was addressed using oversampling techniques. SHAP analysis was applied to elucidate feature contributions in the LightGBM model.ResultsThe LightGBM model achieved an AUROC of 0.993 (95% CI: 0.990-0.996), precision between 90.10% and 99.90%, and an overall accuracy of 98.39%, outperforming the 1D CNN, which achieved an AUROC of 0.967 (95% CI: 0.960-0.974) and an accuracy of 97.06%. SHAP analysis identified heart rate variability and QRS morphology as key features, aligning with clinical expectations.ConclusionIntegrating SHAP with the LightGBM model substantially enhances the interpretability and potential clinical utility of arrhythmia detection systems. Future studies should validate these findings across diverse populations and further refine model transparency for routine clinical use.</t>
  </si>
  <si>
    <t>Kilic, Mustafa Eray; Tufekcioglu, Oguz Akif; Yilancioglu, Yigit Resit; Turan, Oguzhan Ekrem; Ozcan, Emin Evren</t>
  </si>
  <si>
    <t>Kilic, ME (corresponding author), Dokuz Eylul Univ, Fac Med, Dept Cardiol, 15Temmuz Saglik Sanat Yerleskesi Inciralti mahalle, Izmir, Turkiye.</t>
  </si>
  <si>
    <t>oguzhanekrem.turan@deu.edu.tr; oguztufek@gmail.com; yigit.yilancioglu@deu.edu.tr; eevren.ozcan@deu.edu.tr; mustafaeraykilic@gmail.com</t>
  </si>
  <si>
    <t>Algomedi; Dokuz Eylul University Heart Rhythm Management Centre (DEUHRMC)</t>
  </si>
  <si>
    <t>The authors acknowledge the assistance provided by generative AI tools while preparing this manuscript. Specifically, OpenAI's ChatGPT was used to enhance the language's clarity and precision. The tool was not utilized to generate substantive content, ideas, or to alter research data or results. All outputs generated by AI were thoroughly reviewed and validated by the authors. The use of AI adhered to ethical guidelines, ensuring that all research findings, conclusions, and intellectual contributions were solely those of the authors. Special thanks to the chief nurse at the Dokuz Eylul University Heart Rhythm Management Centre (DEUHRMC), Sevil Cin, for her invaluable support in data collection and ensuring the continuous ECG monitoring of study participants.</t>
  </si>
  <si>
    <t>[Kilic, Mustafa Eray; Yilancioglu, Yigit Resit; Turan, Oguzhan Ekrem; Ozcan, Emin Evren] Dokuz Eylul Univ, Fac Med, Dept Cardiol, 15Temmuz Saglik Sanat Yerleskesi Inciralti mahalle, Izmir, Turkiye; [Tufekcioglu, Oguz Akif] Dokuz Eylul Univ, Fac Engn, Dept Comp Engn, Izmir, Turkiye</t>
  </si>
  <si>
    <t>Dokuz Eylul University; Dokuz Eylul University</t>
  </si>
  <si>
    <t>Explainable AI for Specific Arrhythmia Detection: SHAP-Based Insights from Multi-Lead ECG Data</t>
  </si>
  <si>
    <t>JOURNAL OF MEDICAL AND BIOLOGICAL ENGINEERING</t>
  </si>
  <si>
    <t>Arrhythmia detection; Explainable AI; LightGBM; 1D CNN; SHAP; Multi-lead ECG</t>
  </si>
  <si>
    <t>YILANCIOGLU, Resit Yigit/GSJ-1019-2022; KILIÇ, Mustafa Eray/GQB-0568-2022; Ozcan, Emin Evren/CAA-3801-2022; TURAN, Oğuzhan Ekrem/AAQ-1672-2020</t>
  </si>
  <si>
    <t>Tüfekcioğlu, Oğuz Akif/0009-0001-1578-8190; YILANCIOGLU, Resit Yigit/0000-0001-5762-1383; KILIÇ, Mustafa Eray/0000-0002-0894-8790; Ozcan, Emin Evren/0000-0002-2198-9300</t>
  </si>
  <si>
    <t>1609-0985</t>
  </si>
  <si>
    <t>2199-4757</t>
  </si>
  <si>
    <t>J MED BIOL ENG</t>
  </si>
  <si>
    <t>J. Med. Biol. Eng.</t>
  </si>
  <si>
    <t>314</t>
  </si>
  <si>
    <t>324</t>
  </si>
  <si>
    <t>10.1007/s40846-025-00949-0</t>
  </si>
  <si>
    <t>http://dx.doi.org/10.1007/s40846-025-00949-0</t>
  </si>
  <si>
    <t>2CO5N</t>
  </si>
  <si>
    <t>WOS:001471192100001</t>
  </si>
  <si>
    <t>Ganie, SM; Malik, MB; Aadil, M; Muteeb, G; Farhan, M; Aatif, M</t>
  </si>
  <si>
    <t>Breast cancer is a serious health concern and one of the leading causes of cancer-related deaths among women worldwide. The early diagnosis of breast cancer is crucial for successful treatment and improved patient outcomes. Advanced computational techniques, particularly deep transfer learning have gained considerable attention for their effectiveness in medical image computing. Initially, six transfer learning models with different specifications are trained, validated and tested on the breast ultrasound image dataset. Additionally, a novel hybrid model, DRM-Net, is developed by stacking the top three TL models based on concatenation and flattening of deep dense layers. Various techniques, including image preprocessing, image masking, data augmentation, and hyperparameter tuning, are incorporated to enhance the overall performance of the considered models. The models are thoroughly evaluated using various standard metrics and statistical methods. Furthermore, to ensure transparent decision-making, the proposed model is interpreted using XAI-based class activation mapping (CAM) method with different versions. The proposed DRM-Net model demonstrated superior predictive performance compared to the other six transfer learning models. Among all the models, DRM-Net achieved the highest overall performance, with an accuracy of 96.71%, precision of 96%, recall of 97%, F1-score of 97%, and an AUC value of 99%, respectively. It also outperformed state-of-the-art similar studies in the literature. The experimental results demonstrate the potential utility of the hybrid DRM-Net model in improving the accuracy of breast cancer diagnosis, which could facilitate informed clinical decision-making. The proposed model can also be applied to other diseases where ultrasound imaging is available</t>
  </si>
  <si>
    <t>Ganie, Shahid Mohammad; Malik, Majid Bashir; Aadil, Mir; Muteeb, Ghazala; Farhan, Mohd; Aatif, Mohammad</t>
  </si>
  <si>
    <t>Ganie, SM (corresponding author), King Faisal Univ, Coll Appl Med Sci, Dept Hlth Informat Management &amp; Technol, Al Hasa 31982, Saudi Arabia.; Aatif, M (corresponding author), King Faisal Univ, Coll Appl Med Sci, Dept Publ Hlth, Al Hasa 31982, Saudi Arabia.</t>
  </si>
  <si>
    <t>maahmad@kfu.edu.sa; sganie@kfu.edu.sa</t>
  </si>
  <si>
    <t>Deanship of Scientific Research, King Faisal University [Grant Number XXXX]</t>
  </si>
  <si>
    <t>Deanship of Scientific Research, King Faisal University</t>
  </si>
  <si>
    <t>This work was funded by the Deanship of Scientific Research, Vice Presidency for Graduate Studies and Scientific Research, King Faisal University, Saudi Arabia, [Grant No: KFU253999].</t>
  </si>
  <si>
    <t>[Ganie, Shahid Mohammad] King Faisal Univ, Coll Appl Med Sci, Dept Hlth Informat Management &amp; Technol, Al Hasa 31982, Saudi Arabia; [Malik, Majid Bashir] BGSB Univ, Sch Math &amp; Comp Sci, Dept Comp Sci, Rajouri 185234, J&amp;K, India; [Aadil, Mir] Model Inst Engn &amp; Technol, Dept Comp Sci &amp; Engn, Jammu, J&amp;K, India; [Muteeb, Ghazala] King Faisal Univ, Coll Appl Med Sci, Dept Nursing, Al Hasa 31982, Saudi Arabia; [Farhan, Mohd] King Faisal Univ, Coll Sci, Dept Chem, Al Hasa 31982, Saudi Arabia; [Farhan, Mohd] King Faisal Univ, Dept Basic Sci, Al Hasa 31982, Saudi Arabia; [Aatif, Mohammad] King Faisal Univ, Coll Appl Med Sci, Dept Publ Hlth, Al Hasa 31982, Saudi Arabia</t>
  </si>
  <si>
    <t>King Faisal University; Model Institute of Engineering &amp; Technology; King Faisal University; King Faisal University; King Faisal University; King Faisal University</t>
  </si>
  <si>
    <t>Explainable AI based hybrid DRM-Net transfer learning model for breast cancer detection and classification using ultrasound images</t>
  </si>
  <si>
    <t>Breast cancer prediction; Ultrasound images; Transfer learning; Stacking model; XAI; Grad-CAM; Grad-CAM plus plus; Score-CAM; Friedman rank analysis; Post-hoc analysis</t>
  </si>
  <si>
    <t>Muteeb, Ghazala/C-1697-2016; Muteeb, Ghazala/C-1697-2016; Ganie, Shahid Mohammad/HHC-1726-2022; AATIF, MOHAMMAD/AAG-6489-2020; Farhan, Mohd/LNR-5940-2024; Aadil, Mir/KOZ-8848-2024</t>
  </si>
  <si>
    <t>Muteeb, Ghazala/0000-0002-3328-3559; Ganie, Shahid Mohammad/0000-0001-9925-0402; AATIF, MOHAMMAD/0000-0002-1748-2160; Farhan, Mohd/0000-0002-1519-9644; Aadil, Mir/0000-0002-6235-8556</t>
  </si>
  <si>
    <t>44170</t>
  </si>
  <si>
    <t>10.1038/s41598-025-27934-6</t>
  </si>
  <si>
    <t>http://dx.doi.org/10.1038/s41598-025-27934-6</t>
  </si>
  <si>
    <t>AA7KK</t>
  </si>
  <si>
    <t>41419544</t>
  </si>
  <si>
    <t>WOS:001643674900019</t>
  </si>
  <si>
    <t>Schönfelder, A; Eberlein-Gonska, M; Hülsken-Giesler, M; Jovy-Klein, F; Kather, JN; Kohoutek, E; Lennefer, T; Liebert, E; Lipprandt, M; Mathias, R; Muti, HS; Obergassel, J; Reibel, T; Rösler, U; Schneider, M; Schlicht, L; Schlieter, H; Schmieding, ML; Schweingruber, N; Sedlmayr, M; Strametz, R; Susec, B; Wekenborg, MK; Weicken, E; Weitz, K; Diehl, A; Gilbert, S</t>
  </si>
  <si>
    <t>The last years have seen an acceleration in the development and uptake of artificial intelligence (AI) systems by "early adopter" hospitals, caught between the pressures to "perform" and "transform" in a struggling health care system. This transformation has raised concerns among health care providers as their voices and location-specific workflows have often been overlooked, resulting in technologies that fail to integrate meaningfully into routine care and worsen rather than improve care processes. How can positive AI implementation be carried out in health care, aligned with European values? Based on a perspective that spans all stakeholders, we have created EURAID (European Responsible AI Development), a practical, human-centric framework for AI development and implementation based on agreed goals and values. We illustrate this approach through the co-development of a narrow-purpose "in-house" AI system, designed to help bridge the AI implementation gap in real-world clinical settings. This example is then expanded to address the broader challenges associated with complex, multiagent AI systems. By portraying all key stakeholders across the AI development life cycle and highlighting their roles and contributions within the process, real use cases, and methods for achieving iterative consensus, we offer a unique practical approach for safe and fast progress in hospital digital transformation in the AI age.</t>
  </si>
  <si>
    <t>Schoenfelder, Anett; Eberlein-Gonska, Maria; Huelsken-Giesler, Manfred; Jovy-Klein, Florian; Kather, Jakob Nikolas; Kohoutek, Elisabeth; Lennefer, Thomas; Liebert, Elisabeth; Lipprandt, Myriam; Mathias, Rebecca; Muti, Hannah Sophie; Obergassel, Julius; Reibel, Thomas; Rosler, Ulrike; Schneider, Moritz; Schlicht, Larissa; Schlieter, Hannes; Schmieding, Malte L.; Schweingruber, Nils; Sedlmayr, Martin; Strametz, Reinhard; Susec, Barbara; Wekenborg, Magdalena Katharina; Weicken, Eva; Weitz, Katharina; Diehl, Anke; Gilbert, Stephen</t>
  </si>
  <si>
    <t>Schönfelder, A (corresponding author), TUD Dresden Univ Technol, Else Kroener Fresenius Ctr Digital Hlth, Fac Med, Fetscherstr 74, D 01307 Dresden, Germany.; Schönfelder, A (corresponding author), TUD Dresden Univ Technol, Univ Hosp Carl Gustav Carus, Fetscherstr 74, D 01307 Dresden, Saxony, Germany.; Schönfelder, A (corresponding author), TUD Dresden Univ Technol, Univ Hosp Carl Gustav Carus, Fetscherstr 74, D-01307 Dresden, Saxony, Germany.</t>
  </si>
  <si>
    <t>anett.schoenfelder@ukdd.de</t>
  </si>
  <si>
    <t>European Commission under the Horizon Europe Program, as part of the project ASSESS-DHT [101137347]</t>
  </si>
  <si>
    <t>European Commission under the Horizon Europe Program, as part of the project ASSESS-DHT</t>
  </si>
  <si>
    <t>This work was supported by the European Commission under the Horizon Europe Program, as part of the project ASSESS-DHT (101137347) via funding to SG and RM. The views and opinions expressed herein are, however, the authors' responsibility only, and do not necessarily reflect those of the European Union, the United Kingdom, the European Health and Digital Executive Agency (HaDEA), UK Research and Innovation (UKRI), or the National Institutefor Health and Care Excellence (NICE); the European Union, United Kingdom, and granting authorities cannot be held responsible for the views, opinions, and information contained herein.</t>
  </si>
  <si>
    <t>[Schoenfelder, Anett; Kather, Jakob Nikolas; Mathias, Rebecca; Muti, Hannah Sophie; Wekenborg, Magdalena Katharina; Gilbert, Stephen] TUD Dresden Univ Technol, Else Kroener Fresenius Ctr Digital Hlth, Fac Med, Fetscherstr 74, D 01307 Dresden, Germany; [Schoenfelder, Anett; Kather, Jakob Nikolas; Mathias, Rebecca; Muti, Hannah Sophie; Wekenborg, Magdalena Katharina; Gilbert, Stephen] TUD Dresden Univ Technol, Univ Hosp Carl Gustav Carus, Fetscherstr 74, D 01307 Dresden, Saxony, Germany; [Eberlein-Gonska, Maria] Univ Hosp Carl Gustav Carus, Dresden, Germany; Univ Osnabruck, Inst Hlth Res &amp; Educ, Dept Nursing Sci, Osnabruck, Germany; [Jovy-Klein, Florian; Reibel, Thomas] Rhein Westfal TH Aachen, Inst Technol &amp; Innovat Management TIM, Aachen, Germany; [Kather, Jakob Nikolas] TUD Dresden Univ Technol, Fac Med, Dept Med 1, Dresden, Saxony, Germany; [Kather, Jakob Nikolas] Univ Hosp Heidelberg, Natl Ctr Tumor Dis NCT, Med Oncol, Heidelberg, Germany; [Kather, Jakob Nikolas] Univ Leeds, Leeds Inst Med Res St Jamess, Pathol &amp; Data Analyt, Leeds, England; [Kohoutek, Elisabeth] Luther Rechtsanwaltsgesellschaft mbH, Cologne, Germany; [Lennefer, Thomas] AOK Fed Assoc, Dept Prevent, Berlin, Germany; [Liebert, Elisabeth; Diehl, Anke] Univ Med Essen, Dept Digital Transformat, Essen, Germany; [Lipprandt, Myriam] Univ Hosp RWTH Aachen, Inst Med Informat, Aachen, North Rhine Wes, Germany; [Muti, Hannah Sophie] TUD Dresden Univ Technol, Fac Med, Dept Visceral Thorac &amp; Vasc Surg, Dresden, Germany; [Obergassel, Julius; Schweingruber, Nils] Univ Med Ctr Hamburg Eppendorf, Hamburg, Germany; [Rosler, Ulrike] Fed Inst Occupat Safety &amp; Hlth, Berlin, Germany; [Schneider, Moritz] German Social Accid Insurance, Inst Occupat Safety &amp; Hlth, St Augustin, Germany; [Schlicht, Larissa] Karlsruhe Inst Technol, Fac Humanities &amp; Social Sci, Karlsruhe, Germany; [Schlieter, Hannes; Gilbert, Stephen] TUD Dresden Univ Technol, Fac Business &amp; Econ, Dresden, Germany; [Schmieding, Malte L.] German Fed Minist Hlth, Berlin, Germany; [Sedlmayr, Martin] TUD Dresden Univ Technol, Inst Med Informat &amp; Biometry, Fac Med, Dresden, Germany; [Strametz, Reinhard] Wiesbaden Inst Healthcare Econ &amp; Patient Safety Wi, Wiesbaden, Germany; [Susec, Barbara] ver di, Berlin, Germany; [Weicken, Eva; Weitz, Katharina] Fraunhofer Heinrich Hertz Inst, Dept Artificial Intelligence, Berlin, Germany; [Schoenfelder, Anett] TUD Dresden Univ Technol, Univ Hosp Carl Gustav Carus, Fetscherstr 74, D-01307 Dresden, Saxony, Germany</t>
  </si>
  <si>
    <t>Technische Universitat Dresden; Technische Universitat Dresden; Carl Gustav Carus University Hospital; Technische Universitat Dresden; Carl Gustav Carus University Hospital; University Osnabruck; RWTH Aachen University; Technische Universitat Dresden; Ruprecht Karls University Heidelberg; Helmholtz Association; National Center for Tumor Diseases; German Cancer Research Center (DKFZ); University of Leeds; RWTH Aachen University; RWTH Aachen University Hospital; Technische Universitat Dresden; University of Hamburg; University Medical Center Hamburg-Eppendorf; Helmholtz Association; Karlsruhe Institute of Technology; Technische Universitat Dresden; Fraunhofer Gesellschaft; Technische Universitat Dresden; Carl Gustav Carus University Hospital</t>
  </si>
  <si>
    <t>Collaborative and Cooperative Hospital "In-House" Medical Device Development and Implementation in the AI Age: The European Responsible AI Development (EURAID) Framework Compatible With European Values</t>
  </si>
  <si>
    <t>AI Act; digital transformation; in-house medical device development; agentic AI; AI life cycle; artificial intelligence</t>
  </si>
  <si>
    <t>ARTIFICIAL-INTELLIGENCE; AUTOMATION</t>
  </si>
  <si>
    <t>Muti, Hannah/GQB-4044-2022; Kather, Jakob/D-4279-2015; Lipprandt, Myriam/D-7360-2016; Obergassel, Julius/AAK-9435-2020; Gilbert, Stephen/LZF-0032-2025; Schlicht, Larissa/JGD-7594-2023; Strametz, Reinhard/AAK-3234-2020; Wekenborg, Magdalena/JZD-2711-2024; /ABB-3612-2020</t>
  </si>
  <si>
    <t>Schneider, Moritz/0000-0003-1789-8593; Gilbert, Stephen/0000-0002-1997-1689; Sedlmayr, Martin/0000-0002-9888-8460; Schlicht, Larissa/0000-0002-2170-386X; Schlieter, Hannes/0000-0002-6513-9017</t>
  </si>
  <si>
    <t>159</t>
  </si>
  <si>
    <t>JAN 29 2026</t>
  </si>
  <si>
    <t>e80754</t>
  </si>
  <si>
    <t>10.2196/80754</t>
  </si>
  <si>
    <t>http://dx.doi.org/10.2196/80754</t>
  </si>
  <si>
    <t>DF1RH</t>
  </si>
  <si>
    <t>41608759</t>
  </si>
  <si>
    <t>WOS:001681962700001</t>
  </si>
  <si>
    <t>Vershinina, O; Sabbatinelli, J; Bonfigli, AR; Colombaretti, D; Giuliani, A; Krivonosov, M; Trukhanov, A; Franceschi, C; Ivanchenko, M; Olivieri, F</t>
  </si>
  <si>
    <t>Background Type 2 diabetes mellitus (T2DM) is a highly prevalent non-communicable chronic disease that substantially reduces life expectancy. Accurate estimation of all-cause mortality risk in T2DM patients is crucial for personalizing and optimizing treatment strategies.Methods This study analyzed a cohort of 554 patients (aged 40-87 years) with diagnosed T2DM over a maximum follow-up period of 16.8 years, during which 202 patients (36%) died. Key survival-associated features were identified, and multiple machine learning (ML) models were trained and validated to predict all-cause mortality risk. To improve model interpretability, Shapley additive explanations (SHAP) was applied to the best-performing model.Results The extra survival trees (EST) model, incorporating ten key features, demonstrated the best predictive performance. The model achieved a C-statistic of 0.776, with the area under the receiver operating characteristic curve (AUC) values of 0.86, 0.80, 0.841, and 0.826 for 5-, 10-, 15-, and 16.8-year all-cause mortality predictions, respectively. The SHAP approach was employed to interpret the model's individual decision-making processes.Conclusion The developed model exhibited strong predictive performance for mortality risk assessment. Its clinically interpretable outputs enable potential bedside application, improving the identification of high-risk patients and supporting timely treatment optimization.</t>
  </si>
  <si>
    <t>Vershinina, Olga; Sabbatinelli, Jacopo; Bonfigli, Anna Rita; Colombaretti, Dalila; Giuliani, Angelica; Krivonosov, Mikhail; Trukhanov, Arseniy; Franceschi, Claudio; Ivanchenko, Mikhail; Olivieri, Fabiola</t>
  </si>
  <si>
    <t>Vershinina, O (corresponding author), Lobachevsky State Univ, Inst Informat Technol Math &amp; Mech, Res Ctr Artificial Intelligence, Nizhnii Novgorod, Russia.; Vershinina, O (corresponding author), Lobachevsky State Univ, Inst Biogerontol, Nizhnii Novgorod, Russia.; Sabbatinelli, J (corresponding author), Univ Politecn Marche, Dept Clin &amp; Mol Sci DISCLIMO, Ancona, Italy.; Sabbatinelli, J (corresponding author), IRCCS, Clin Lab &amp; Precis Med, INRCA, Ancona, Italy.</t>
  </si>
  <si>
    <t>j.sabbatinelli@staff.univpm.it; olya.vershinina@itmm.unn.ru</t>
  </si>
  <si>
    <t>Ministry of Economic Development of the Russian Federation [139-15-2025-004, 000000C313925P3X0002]</t>
  </si>
  <si>
    <t>Ministry of Economic Development of the Russian Federation</t>
  </si>
  <si>
    <t>The author(s) declare financial support was received for the research and/or publication of this article. This work was supported by the Ministry of Economic Development of the Russian Federation (grant No 139-15-2025-004 dated 17.04.2025, agreement identifier 000000C313925P3X0002).</t>
  </si>
  <si>
    <t>[Vershinina, Olga; Krivonosov, Mikhail; Ivanchenko, Mikhail] Lobachevsky State Univ, Inst Informat Technol Math &amp; Mech, Res Ctr Artificial Intelligence, Nizhnii Novgorod, Russia; [Vershinina, Olga; Krivonosov, Mikhail; Franceschi, Claudio; Ivanchenko, Mikhail] Lobachevsky State Univ, Inst Biogerontol, Nizhnii Novgorod, Russia; [Sabbatinelli, Jacopo; Colombaretti, Dalila; Giuliani, Angelica; Olivieri, Fabiola] Univ Politecn Marche, Dept Clin &amp; Mol Sci DISCLIMO, Ancona, Italy; [Sabbatinelli, Jacopo] IRCCS, Clin Lab &amp; Precis Med, INRCA, Ancona, Italy; [Bonfigli, Anna Rita] IRCCS, Sci Direct, INRCA, Ancona, Italy; [Trukhanov, Arseniy] Natl Acad Act Longev, Mriya Life Inst, Moscow, Russia; [Olivieri, Fabiola] IRCCS, Adv Technol Ctr Aging Res, INRCA, Ancona, Italy</t>
  </si>
  <si>
    <t>Lobachevsky State University of Nizhni Novgorod; Lobachevsky State University of Nizhni Novgorod; Marche Polytechnic University; IRCCS INRCA; IRCCS INRCA; IRCCS INRCA</t>
  </si>
  <si>
    <t>Explainable artificial intelligence model predicting the risk of all-cause mortality in patients with type 2 diabetes mellitus</t>
  </si>
  <si>
    <t>FRONTIERS IN ENDOCRINOLOGY</t>
  </si>
  <si>
    <t>type 2 diabetes; all-cause mortality risk; predictive model; machine learning; explainable artificial intelligence</t>
  </si>
  <si>
    <t>COMPLICATIONS; VALIDATION; DURATION; PEOPLE</t>
  </si>
  <si>
    <t>Trukhanov, Arseniy/AAV-6037-2020; /AAJ-7282-2020; Bonfigli, Anna/J-7248-2016; Ivanchenko, Mikhail/J-7045-2013; Krivonosov, Mikhail/AAJ-5810-2020; Olivieri, Fabiola/K-6465-2016; Sabbatinelli, Jacopo/U-1851-2018; Giuliani, Angelica/AAB-9024-2019</t>
  </si>
  <si>
    <t>Sabbatinelli, Jacopo/0000-0001-9947-6778; Vershinina, Olga/0000-0002-3917-9592; Giuliani, Angelica/0000-0002-8477-8519</t>
  </si>
  <si>
    <t>1664-2392</t>
  </si>
  <si>
    <t>FRONT ENDOCRINOL</t>
  </si>
  <si>
    <t>Front. Endocrinol.</t>
  </si>
  <si>
    <t>OCT 17 2025</t>
  </si>
  <si>
    <t>1689312</t>
  </si>
  <si>
    <t>10.3389/fendo.2025.1689312</t>
  </si>
  <si>
    <t>http://dx.doi.org/10.3389/fendo.2025.1689312</t>
  </si>
  <si>
    <t>Endocrinology &amp; Metabolism</t>
  </si>
  <si>
    <t>9FC8A</t>
  </si>
  <si>
    <t>41180181</t>
  </si>
  <si>
    <t>WOS:001604858400001</t>
  </si>
  <si>
    <t>Carreras, J; Ikoma, H; Kikuti, YY; Nagase, S; Ito, A; Orita, M; Tomita, S; Tanigaki, Y; Nakamura, N; Masugi, Y</t>
  </si>
  <si>
    <t>Background/Objectives: The major question that confronts a pathologist when evaluating a lymph node biopsy is whether the process is benign or malignant, and the differential diagnosis between follicular lymphoma and reactive lymphoid tissue can be challenging. Methods: This study designed a convolutional neural network based on ResNet architecture to classify a large series of 221 cases, including 177 follicular lymphoma and 44 reactive lymphoid tissue/lymphoid hyperplasia, which were stained with hematoxylin and eosin (H&amp;E). Explainable artificial intelligence (XAI) methods were used for interpretability. Results: The series included 1,004,509 follicular lymphoma and 490,506 reactive lymphoid tissue image-patches at 224 x 244 x 3, and was partitioned into training (70%), validation (10%), and testing (20%) sets. The performance of the training (training and validation sets) had an accuracy of 99.81%. In the testing set, the performance metrics achieved an accuracy of 99.80% at the image-patch level for follicular lymphoma. The other performance parameters were precision (99.8%), recall (99.8%), false positive rate (0.35%), specificity (99.7%), and F1 score (99.9%). Interpretability was analyzed using three methods: grad-CAM, image LIME, and occlusion sensitivity. Additionally, hybrid partitioning was performed to avoid information leakage using a patient-level independent validation set that confirmed high classification performance. Conclusions: Narrow artificial intelligence (AI) can perform differential diagnosis between follicular lymphoma and reactive lymphoma tissue, but it is task-specific and operates within limited constraints. The trained ResNet convolutional neural network (CNN) may be used as transfer learning for larger series of cases and lymphoma diagnoses in the future.</t>
  </si>
  <si>
    <t>Carreras, Joaquim; Ikoma, Haruka; Kikuti, Yara Yukie; Nagase, Shunsuke; Ito, Atsushi; Orita, Makoto; Tomita, Sakura; Tanigaki, Yuki; Nakamura, Naoya; Masugi, Yohei</t>
  </si>
  <si>
    <t>Carreras, J (corresponding author), Tokai Univ, Sch Med, Dept Pathol, 143 Shimokasuya, Isehara, Kanagawa 2591193, Japan.</t>
  </si>
  <si>
    <t>tanigaki.yuki.s@tokai.ac.jp; joaquim.carreras@tokai.ac.jp; orita.makoto.k@tokai.ac.jp; ito.atsushi.s@tokai.ac.jp; yy-kikuti@tokai.ac.jp; masugi@tokai.ac.jp; sakura.t@tokai.ac.jp; ih3822@tokai.ac.jp; naoya@tokai.ac.jp</t>
  </si>
  <si>
    <t>Ministry of Education, Culture, Sports, Science and Technology of Japan (MEXT)</t>
  </si>
  <si>
    <t>Ministry of Education, Culture, Sports, Science and Technology of Japan (MEXT) (Ministry of Education, Culture, Sports, Science and Technology, Japan (MEXT))</t>
  </si>
  <si>
    <t>This research was funded by Ministry of Education, Culture, Sports, Science and Technology of Japan (MEXT) (grant number KAKEN 23K06454).</t>
  </si>
  <si>
    <t>[Carreras, Joaquim; Ikoma, Haruka; Kikuti, Yara Yukie; Nagase, Shunsuke; Ito, Atsushi; Orita, Makoto; Tomita, Sakura; Tanigaki, Yuki; Nakamura, Naoya; Masugi, Yohei] Tokai Univ, Sch Med, Dept Pathol, 143 Shimokasuya, Isehara, Kanagawa 2591193, Japan</t>
  </si>
  <si>
    <t>Tokai University</t>
  </si>
  <si>
    <t>Histological Image Classification Between Follicular Lymphoma and Reactive Lymphoid Tissue Using Deep Learning and Explainable Artificial Intelligence (XAI)</t>
  </si>
  <si>
    <t>follicular lymphoma; follicular hyperplasia; reactive lymphoid tissue; deep learning; convolutional neural network; artificial intelligence; explainable artificial intelligence</t>
  </si>
  <si>
    <t>ASSISTANTS; DIAGNOSIS; UPDATE; ALEXA</t>
  </si>
  <si>
    <t>Nagase, Shunsuke/AAG-3922-2020; Carreras, Joaquim/AAS-4272-2021</t>
  </si>
  <si>
    <t>Nagase, Shunsuke/0000-0002-6130-3879; TANIGAKI, YUKI/0009-0005-0542-2549; Carreras, Joaquim/0000-0002-6129-8299</t>
  </si>
  <si>
    <t>JUL 22 2025</t>
  </si>
  <si>
    <t>2428</t>
  </si>
  <si>
    <t>10.3390/cancers17152428</t>
  </si>
  <si>
    <t>http://dx.doi.org/10.3390/cancers17152428</t>
  </si>
  <si>
    <t>6AM9P</t>
  </si>
  <si>
    <t>40805131</t>
  </si>
  <si>
    <t>WOS:001548732600001</t>
  </si>
  <si>
    <t>Laios, A; Kalampokis, E; Mamalis, ME; Thangavelu, A; Hutson, R; Broadhead, T; Nugent, D; De Jong, D</t>
  </si>
  <si>
    <t>The Surgical Complexity Score (SCS) has been widely used to describe the surgical effort during advanced stage epithelial ovarian cancer (EOC) cytoreduction. Referring to a variety of multi-visceral resections, it best combines the numbers with the complexity of the sub-procedures. Nevertheless, not all potential surgical procedures are described by this score. Lately, the European Society for Gynaecological Oncology (ESGO) has established standard outcome quality indicators pertinent to achieving complete cytoreduction (CC0). There is a need to define what weight all these surgical sub-procedures comprising CC0 would be given. Prospectively collected data from 560 surgically cytoreduced advanced stage EOC patients were analysed at a UK tertiary referral centre.We adapted the structured ESGO ovarian cancer report template. We employed the eXtreme Gradient Boosting (XGBoost) algorithm to model a long list of surgical sub-procedures. We applied the Shapley Additive explanations (SHAP) framework to provide global (cohort) explainability. We used Cox regression for survival analysis and constructed Kaplan-Meier curves. The XGBoost model predicted CC0 with an acceptable accuracy (area under curve [AUC] = 0.70; 95% confidence interval [CI] = 0.63-0.76). Visual quantification of the feature importance for the prediction of CC0 identified upper abdominal peritonectomy (UAP) as the most important feature, followed by regional lymphadenectomies. The UAP best correlated with bladder peritonectomy and diaphragmatic stripping (Pearson's correlations &gt; 0.5). Clear inflection points were shown by pelvic and para-aortic lymph node dissection and ileocecal resection/right hemicolectomy, which increased the probability for CC0. When UAP was solely added to a composite model comprising of engineered features, it substantially enhanced its predictive value (AUC = 0.80, CI = 0.75-0.84). The UAP was predictive of poorer progression-free survival (HR = 1.76, CI 1.14-2.70, P: 0.01) but not overall survival (HR = 1.06, CI 0.56-1.99, P: 0.86). The SCS did not have significant survival impact. Machine Learning allows for operational feature selection by weighting the relative importance of those surgical sub-procedures that appear to be more predictive of CC0. Our study identifies UAP as the most important procedural predictor of CC0 in surgically cytoreduced advanced-stage EOC women. The classification model presented here can potentially be trained with a larger number of samples to generate a robust digital surgical reference in high output tertiary centres. The upper abdominal quadrants should be thoroughly inspected to ensure that CC0 is achievable.</t>
  </si>
  <si>
    <t>Laios, Alexandros; Kalampokis, Evangelos; Mamalis, Marios Evangelos; Thangavelu, Amudha; Hutson, Richard; Broadhead, Tim; Nugent, David; De Jong, Diederick</t>
  </si>
  <si>
    <t>Laios, A (corresponding author), St James Univ Hosp, Dept Gynaecol Oncol, Leeds LS9 7TF, England.</t>
  </si>
  <si>
    <t>a.laios@nhs.net; david.nugent@nhs.net; richard.hutson@nhs.net; bad22019@uom.edu.gr; amudhathangavelu@nhs.net; ekal@uom.edu.gr; tim.broadhead@nhs.net; diederick.dejong@nhs.net</t>
  </si>
  <si>
    <t>[Laios, Alexandros; Thangavelu, Amudha; Hutson, Richard; Broadhead, Tim; Nugent, David; De Jong, Diederick] St James Univ Hosp, Dept Gynaecol Oncol, Leeds LS9 7TF, England; [Kalampokis, Evangelos; Mamalis, Marios Evangelos] Univ Macedonia, Dept Business Adm, Informat Syst Lab, Thessaloniki 54636, Greece; [Kalampokis, Evangelos] Ctr Res &amp; Technol HELLAS CERTH, 6th km Charilaou Thermi Rd, Thessaloniki 57001, Greece</t>
  </si>
  <si>
    <t>Saint James's University Hospital; University of Macedonia; Centre for Research &amp; Technology Hellas</t>
  </si>
  <si>
    <t>Exploring the Potential Role of Upper Abdominal Peritonectomy in Advanced Ovarian Cancer Cytoreductive Surgery Using Explainable Artificial Intelligence</t>
  </si>
  <si>
    <t>epithelial ovarian cancer; complete cytoreduction; upper abdominal peritonectomy; machine learning; explainable artificial intelligence; survival</t>
  </si>
  <si>
    <t>QUALITY INDICATORS; EUROPEAN-SOCIETY; SURVIVAL; IMPACT</t>
  </si>
  <si>
    <t>Kalampokis, Evangelos/0000-0003-4416-8764; Hutson, Richard/0000-0002-8963-5517; de Jong, Diederick/0000-0003-0081-674X; Laios, Alexandros/0000-0002-4870-7393</t>
  </si>
  <si>
    <t>NOV 2023</t>
  </si>
  <si>
    <t>5386</t>
  </si>
  <si>
    <t>10.3390/cancers15225386</t>
  </si>
  <si>
    <t>http://dx.doi.org/10.3390/cancers15225386</t>
  </si>
  <si>
    <t>AB0W9</t>
  </si>
  <si>
    <t>38001646</t>
  </si>
  <si>
    <t>WOS:001115887900001</t>
  </si>
  <si>
    <t>Thurzo, A</t>
  </si>
  <si>
    <t>Rapid advances in artificial intelligence are transforming high-stakes fields like medicine and education while raising pressing ethical challenges. This paper introduces the Ethical Firewall Architecture-a comprehensive framework that embeds mathematically provable ethical constraints directly into AI decision-making systems. By integrating formal verification techniques, blockchain-inspired cryptographic immutability, and emotion-like escalation protocols that trigger human oversight when needed, the architecture ensures that every decision is rigorously certified to align with core human values before implementation. The framework also addresses emerging issues, such as biased value systems in large language models and the risks associated with accelerated AI learning. In addition, it highlights the potential societal impacts-including workforce displacement-and advocates for new oversight roles like the Ethical AI Officer. The findings suggest that combining rigorous mathematical safeguards with structured human intervention can deliver AI systems that perform efficiently while upholding transparency, accountability, and trust in critical applications.</t>
  </si>
  <si>
    <t>Thurzo, Andrej</t>
  </si>
  <si>
    <t>Thurzo, A (corresponding author), Comenius Univ, Fac Med, Dept Orthodont Regenerat &amp; Forens Dent, Bratislava 81499, Slovakia.; Thurzo, A (corresponding author), Comenius Univ, Fac Med, Dept Med Educ &amp; Simulat, Bratislava 81499, Slovakia.</t>
  </si>
  <si>
    <t>thurzo3@uniba.sk</t>
  </si>
  <si>
    <t>The Slovak Research and Development Agency [APVV-21-0173]; Slovak Research and Development Agency [(KEGA) 2023 054UK-42023]; Cultural and Educational Grant Agency of the Ministry of Education and Science of the Slovak Republic</t>
  </si>
  <si>
    <t>The Slovak Research and Development Agency (Slovak Research and Development Agency); Slovak Research and Development Agency (Slovak Research and Development Agency); Cultural and Educational Grant Agency of the Ministry of Education and Science of the Slovak Republic</t>
  </si>
  <si>
    <t>This research was funded by the Slovak Research and Development Agency grant APVV-21-0173 and the Cultural and Educational Grant Agency of the Ministry of Education and Science of the Slovak Republic (KEGA) 2023 054UK-42023.</t>
  </si>
  <si>
    <t>[Thurzo, Andrej] Comenius Univ, Fac Med, Dept Orthodont Regenerat &amp; Forens Dent, Bratislava 81499, Slovakia; [Thurzo, Andrej] Comenius Univ, Fac Med, Dept Med Educ &amp; Simulat, Bratislava 81499, Slovakia</t>
  </si>
  <si>
    <t>Comenius University Bratislava; Comenius University Bratislava</t>
  </si>
  <si>
    <t>Provable AI Ethics and Explainability in Medical and Educational AI Agents: Trustworthy Ethical Firewall</t>
  </si>
  <si>
    <t>ethical AI frameworks; Bayesian risk thresholds; human-centered oversight; medical AI governance; trust and accountability; general artificial intelligence; ChatGPT; deep research; provable AI ethics; explainable AI; medical AI; educational AI; cryptographic immutability; emergent value systems; ethical AI officer; AGI precursors</t>
  </si>
  <si>
    <t>Thurzo, Andrej/AAX-7034-2021</t>
  </si>
  <si>
    <t>Thurzo, Andrej/0000-0002-7810-5721</t>
  </si>
  <si>
    <t>MAR 25 2025</t>
  </si>
  <si>
    <t>1294</t>
  </si>
  <si>
    <t>10.3390/electronics14071294</t>
  </si>
  <si>
    <t>http://dx.doi.org/10.3390/electronics14071294</t>
  </si>
  <si>
    <t>1IF9Q</t>
  </si>
  <si>
    <t>WOS:001465649500001</t>
  </si>
  <si>
    <t>Goyal, N; Singh, T; Goraya, MS</t>
  </si>
  <si>
    <t>Visual intent detection is pivotal in advancing human-computer interaction, surveillance systems, autonomous vehicles, and assistive technologies. Practical applications include proactive user interfaces, driver and operator monitoring, patient and elder-care assistance, and safety-aware human-robot collaboration. Traditional approaches often rely on single-modal data, which limits their ability to capture the multifaceted nature of human intent. This study proposes a novel ensemble framework that integrates four specialized convolutional neural networks (CNNs) dedicated to classifying emotion, posture, gesture and eye gaze direction with a Transformerbased text classifier to accurately predict human intent. This work also proposes an intent classification matrix. By leveraging the strengths of CNNs in feature extraction and Transformers in contextual data processing, this method synthesizes diverse visual cues into a coherent representation of intent. The incorporation of explainable artificial intelligence (XAI) techniques, such as Gradient-weighted Class Activation Mapping (Grad-CAM) and Captum, enhances the interpretability of the associated models, providing transparency in the decision-making process. Key findings show that the cue-specific CNNs and the Transformer achieve strong accuracy with explicit cue-wise attributions. The Eimage CNN model for emotion classification reached 71.17 % training and 68.53 % testing accuracy (F1 = 0.18). For posture recognition, the Pimage CNN achieved 79.28 %/79.14 % (F1 = 0.23), while the Gestimage CNN attained 96.7 %/100 % (F1 = 1) for gestures. Custom eye gaze direction recognition model performed at 98.57 %/89.92 % (F1 = 0.90), and the Bidirectional Encoder Representations from Transformers (BERT) classifier achieved a perfect 100 %/100 % (F1 = 1). This research contributes to the field by addressing the need for comprehensive, multimodal, visual intent detection systems that are both accurate and explainable.</t>
  </si>
  <si>
    <t>Goyal, Naman; Singh, Tajinder; Goraya, Major Singh</t>
  </si>
  <si>
    <t>Goyal, N (corresponding author), St Longowal Inst Engn &amp; Technol, Sangrur, Punjab, India.</t>
  </si>
  <si>
    <t>tajindersingh@sliet.ac.in; majorsingh@sliet.ac.in; naman_pcs2105@sliet.ac.in</t>
  </si>
  <si>
    <t>[Goyal, Naman; Singh, Tajinder; Goraya, Major Singh] St Longowal Inst Engn &amp; Technol, Sangrur, Punjab, India</t>
  </si>
  <si>
    <t>Sant Longowal Institute of Engineering &amp; Technology (SLIET)</t>
  </si>
  <si>
    <t>Multi-modal ensemble framework of convolutional neural networks and transformers for visual intent detection using explainable artificial intelligence</t>
  </si>
  <si>
    <t>Multimodal human intent recognition; Convolutional neural networks; Transformers; Explainable artificial intelligence; Ensemble deep learning methods; Human computer interaction; Automatic surveillance; Autonomous vehicles</t>
  </si>
  <si>
    <t>RECOGNITION</t>
  </si>
  <si>
    <t>Goraya, Major Singh/Y-1831-2019</t>
  </si>
  <si>
    <t>Goraya, Major Singh/0000-0003-2487-5496; Goyal, Naman/0000-0001-5085-415X</t>
  </si>
  <si>
    <t>DEC 24 2025</t>
  </si>
  <si>
    <t>162</t>
  </si>
  <si>
    <t>D</t>
  </si>
  <si>
    <t>112657</t>
  </si>
  <si>
    <t>10.1016/j.engappai.2025.112657</t>
  </si>
  <si>
    <t>http://dx.doi.org/10.1016/j.engappai.2025.112657</t>
  </si>
  <si>
    <t>8UJ1O</t>
  </si>
  <si>
    <t>WOS:001597551700001</t>
  </si>
  <si>
    <t>Sekaran, K; Varghese, RP; Krishnan, S; Zayed, H; El Allali, A; Doss, GPC</t>
  </si>
  <si>
    <t>Background : The incidence rate of oropharyngeal squamous cell carcinoma (OPSCC) worldwide is alarming. In the clinical community, there is a pressing necessity to comprehend the etiology of the OPSCC to facilitate the administration of effective treatments. Methods : This study confers an integrative genomics approach for identifying key oncogenic drivers involved in the OPSCC pathogenesis. The dataset contains RNA -Sequencing (RNA-Seq) samples of 46 Human papillomavirus-positive head and neck squamous cell carcinoma and 25 normal Uvulopalatopharyngoplasty cases. The differential marker selection is performed between the groups with a log2FoldChange (FC) score of 2, adjusted p -value &lt; 0.01, and screened 714 genes. The Particle Swarm Optimization (PSO) algorithm selects the candidate gene subset, reducing the size to 73. The state-of-the-art machine learning algorithms are trained with the differentially expressed genes and candidate subsets of PSO. Results : The analysis of predictive models using Shapley Additive exPlanations revealed that seven genes significantly contribute to the model's performance. These include ECT2 , LAMC2 , and DSG2 , which predominantly influence differentiating between sample groups. They were followed in importance by FAT1 , PLOD2 , COL1A1 , and PLAU . The Random Forest and Bayes Net algorithms also achieved perfect validation scores when using PSO features. Furthermore, gene set enrichment analysis, protein -protein interactions, and disease ontology mining revealed a significant association between these genes and the target condition. As indicated by Shapley Additive exPlanations (SHAPs), the survival analysis of three key genes unveiled strong over -expression in the samples from "The Cancer Genome Atlas". Conclusions : Our findings elucidate critical oncogenic drivers in OPSCC, offering vital insights for developing targeted therapies and enhancing understanding its pathogenesis.</t>
  </si>
  <si>
    <t>Sekaran, Karthik; Varghese, Rinku Polachirakkal; Krishnan, Sasikumar; Zayed, Hatem; El Allali, Achraf; Doss, George Priya C.</t>
  </si>
  <si>
    <t>Doss, GPC (corresponding author), Vellore Inst Technol, Sch Biosci &amp; Technol, Vellore 632014, India.</t>
  </si>
  <si>
    <t>georgepriyadoss@vit.ac.in</t>
  </si>
  <si>
    <t>Indian Council of Medical Research (ICMR); Government of India agency [BMI/12 (13) /2021, 2021-6359, VIR/COVID-19/31/2021/ECD-I, 2021-5570]</t>
  </si>
  <si>
    <t>Indian Council of Medical Research (ICMR); Government of India agency</t>
  </si>
  <si>
    <t>The authors would like to thank the Vellore Institute of Technology, India authorities, for providing the necessary support in completing the manuscript. The authors acknowledge the Indian Council of Medical Research (ICMR), the Government of India agency, for the research grants (No. BMI/12 (13) /2021, ID No: 2021-6359) and (No. VIR/COVID-19/31/2021/ECD-I, ID. NO: 2021-5570).</t>
  </si>
  <si>
    <t>[Sekaran, Karthik; Varghese, Rinku Polachirakkal; Doss, George Priya C.] Vellore Inst Technol, Sch Biosci &amp; Technol, Vellore 632014, India; [Krishnan, Sasikumar] Vellore Inst Technol, Sch Elect Engn, Dept Sensor &amp; Biomed Technol, Vellore 632014, India; [Zayed, Hatem] Qatar Univ, Coll Hlth Sci, Dept Biomed Sci, QU Hlth, Doha 2713, Qatar; [El Allali, Achraf] Mohammed VI Polytech Univ, Coll Comp, Bioinformat Lab, Ben Guerir 43150, Morocco</t>
  </si>
  <si>
    <t>Vellore Institute of Technology (VIT); VIT Vellore; Vellore Institute of Technology (VIT); VIT Vellore; Qatar University; Mohammed VI Polytechnic University</t>
  </si>
  <si>
    <t>Dissecting Crucial Gene Markers Involved in HPV-Associated Oropharyngeal Squamous Cell Carcinoma from RNA-Sequencing Data through Explainable Artificial Intelligence</t>
  </si>
  <si>
    <t>biomarker discovery; explainable artificial intelligence; human papillomavirus; oropharyngeal squamous cell carcinoma; RNA-sequencing; shapley additive explanations</t>
  </si>
  <si>
    <t>HUMAN-PAPILLOMAVIRUS; CANCER; HEAD; BIOMARKERS; EXPRESSION; DIAGNOSIS; RISK</t>
  </si>
  <si>
    <t>POLACHIRAKKAL VARGHESE, RINKU/GLS-1978-2022; Zayed, Hatem/R-1800-2019; C, George Priya Doss/ABE-4676-2021; El Allali, Achraf/GLQ-7821-2022; Sekaran, Karthik/AAM-5430-2020</t>
  </si>
  <si>
    <t>POLACHIRAKKAL VARGHESE, RINKU/0000-0002-9474-6940; C, George Priya Doss/0000-0002-5971-8290; El Allali, Achraf/0000-0002-4561-2161; Sekaran, Karthik/0000-0002-1969-7632</t>
  </si>
  <si>
    <t>220</t>
  </si>
  <si>
    <t>10.31083/j.fbl2906220</t>
  </si>
  <si>
    <t>http://dx.doi.org/10.31083/j.fbl2906220</t>
  </si>
  <si>
    <t>XI5E1</t>
  </si>
  <si>
    <t>38940026</t>
  </si>
  <si>
    <t>WOS:001261057800029</t>
  </si>
  <si>
    <t>Yagin, FH; Yasar, S; Gormez, Y; Yagin, B; Pinar, A; Alkhateeb, A; Ardigò, LP</t>
  </si>
  <si>
    <t>Diabetic retinopathy (DR), a common ocular microvascular complication of diabetes, contributes significantly to diabetes-related vision loss. This study addresses the imperative need for early diagnosis of DR and precise treatment strategies based on the explainable artificial intelligence (XAI) framework. The study integrated clinical, biochemical, and metabolomic biomarkers associated with the following classes: non-DR (NDR), non-proliferative diabetic retinopathy (NPDR), and proliferative diabetic retinopathy (PDR) in type 2 diabetes (T2D) patients. To create machine learning (ML) models, 10% of the data was divided into validation sets and 90% into discovery sets. The validation dataset was used for hyperparameter optimization and feature selection stages, while the discovery dataset was used to measure the performance of the models. A 10-fold cross-validation technique was used to evaluate the performance of ML models. Biomarker discovery was performed using minimum redundancy maximum relevance (mRMR), Boruta, and explainable boosting machine (EBM). The predictive proposed framework compares the results of eXtreme Gradient Boosting (XGBoost), natural gradient boosting for probabilistic prediction (NGBoost), and EBM models in determining the DR subclass. The hyperparameters of the models were optimized using Bayesian optimization. Combining EBM feature selection with XGBoost, the optimal model achieved (91.25 +/- 1.88) % accuracy, (89.33 +/- 1.80) % precision, (91.24 +/- 1.67) % recall, (89.37 +/- 1.52) % F1-Score, and (97.00 +/- 0.25) % the area under the ROC curve (AUROC). According to the EBM explanation, the six most important biomarkers in determining the course of DR were tryptophan (Trp), phosphatidylcholine diacyl C42:2 (PC.aa.C42.2), butyrylcarnitine (C4), tyrosine (Tyr), hexadecanoyl carnitine (C16) and total dimethylarginine (DMA). The identified biomarkers may provide a better understanding of the progression of DR, paving the way for more precise and cost-effective diagnostic and treatment strategies.</t>
  </si>
  <si>
    <t>Yagin, Fatma Hilal; Yasar, Seyma; Gormez, Yasin; Yagin, Burak; Pinar, Abdulvahap; Alkhateeb, Abedalrhman; Ardigo, Luca Paolo</t>
  </si>
  <si>
    <t>Yasar, S; Yagin, B (corresponding author), Inonu Univ, Dept Biostat &amp; Med Informat, Fac Med, TR-44280 Malatya, Turkiye.</t>
  </si>
  <si>
    <t>yasingormez@cumhuriyet.edu.tr; hilal.yagin@inonu.edu.tr; aalkhate@lakeheadu.ca; burak.yagin@inonu.edu.tr; abdulvahappinar7@gmail.com; seyma.yasar@inonu.edu.tr; luca.ardigo@nla.no</t>
  </si>
  <si>
    <t>[Yagin, Fatma Hilal; Yasar, Seyma; Yagin, Burak; Pinar, Abdulvahap] Inonu Univ, Dept Biostat &amp; Med Informat, Fac Med, TR-44280 Malatya, Turkiye; [Gormez, Yasin] Sivas Cumhuriyet Univ, Fac Econ &amp; Adm Sci, Dept Management Informat Syst, TR-58140 Sivas, Turkiye; [Alkhateeb, Abedalrhman] Lakehead Univ, Comp Sci Dept, Thunder Bay, ON P7B 5E1, Canada; [Ardigo, Luca Paolo] NLA Univ Coll, Dept Teacher Educ, Linstows Gate 3, N-0166 Oslo, Norway</t>
  </si>
  <si>
    <t>Inonu University; Cumhuriyet University; Lakehead University; NLA University College</t>
  </si>
  <si>
    <t>Explainable Artificial Intelligence Paves the Way in Precision Diagnostics and Biomarker Discovery for the Subclass of Diabetic Retinopathy in Type 2 Diabetics</t>
  </si>
  <si>
    <t>METABOLITES</t>
  </si>
  <si>
    <t>type 2 diabetes; diabetic retinopathy; explainable artificial intelligence; biomarkers discovery; diagnostic; Bayesian optimization</t>
  </si>
  <si>
    <t>FEATURE-SELECTION; MACHINE; PHOSPHATIDYLCHOLINE</t>
  </si>
  <si>
    <t>PINAR, Abdulvahap/IYT-1191-2023; Yağın, Burak/AIC-0705-2022; YAĞIN, Fatma Hilal/ABI-8066-2020; görmez, yasin/JEF-8096-2023; Yaşar, Şeyma/ABI-8055-2020; Ardigò, Luca Paolo/H-8955-2019; Alkhateeb, Abedalrhman/HNP-4502-2023</t>
  </si>
  <si>
    <t>Yağın, Burak/0000-0001-6687-979X; YAĞIN, Fatma Hilal/0000-0002-9848-7958; görmez, yasin/0000-0001-8276-2030; Ardigò, Luca Paolo/0000-0001-7677-5070; Alkhateeb, Abedalrhman/0000-0002-1751-7570</t>
  </si>
  <si>
    <t>2218-1989</t>
  </si>
  <si>
    <t>Metabolites</t>
  </si>
  <si>
    <t>1204</t>
  </si>
  <si>
    <t>10.3390/metabo13121204</t>
  </si>
  <si>
    <t>http://dx.doi.org/10.3390/metabo13121204</t>
  </si>
  <si>
    <t>Biochemistry &amp; Molecular Biology</t>
  </si>
  <si>
    <t>DF3I2</t>
  </si>
  <si>
    <t>38132885</t>
  </si>
  <si>
    <t>WOS:001130571500001</t>
  </si>
  <si>
    <t>Jaradat, M; Awad, M</t>
  </si>
  <si>
    <t>Background: This systematic review compiles evidence and examines how various artificial intelligence (AI) approaches, including machine learning (ML), natural language processing (NLP), meta-heuristic optimization, and explainable AI (XAI), are utilized to predict and diagnose coronary artery disease (CAD). We aim to identify the most commonly used models, evaluate their performance, and explore how interpretability and optimization enhance their usefulness in clinical practice. Method: A thorough search was conducted across five major databases (PubMed, Scopus, IEEE Xplore, ACM Digital Library, and SpringerLink) to identify relevant studies published between January 2022 and August 2025, in accordance with the PRISMA guidelines. Dual independent reviewers performed study selection and data extraction. The quality of the included studies was evaluated using a checklist based on QUADAS-2. Data were collected on study characteristics, model types, validation methods, and performance metrics, which will be the cornerstone of the analysis. Results: Sixty-one studies met the inclusion criteria. ML and deep learning models demonstrated strong performance and achieved high accuracy in benchmark datasets, but showed limited clinical validation. Transformerbased models (e.g., BioBERT, ClinicalBERT) showed high efficacy for medical text analysis, but require substantial data and computational resources. Meta-heuristic algorithms (e.g., Genetic Algorithms, Particle Swarm Optimization) effectively improved model efficiency but were rarely applied to unstructured clinical narratives. XAI tools (e.g., SHAP, LIME) improved model transparency, though most studies highlight a need for more rigorous evaluation. Conclusion: Integrated ML, NLP, meta-heuristic optimization, and XAI hold significant promise in advancing the diagnosis of CAD by improving both accuracy and interpretability. However, challenges such as data scarcity, limited external validation, and a lack of standardized, clinician-centric explainability impede clinical adoption. Future research should focus on hybrid frameworks validated for large, diverse, and real-world datasets.</t>
  </si>
  <si>
    <t>Jaradat, Majdi; Awad, Mohammed</t>
  </si>
  <si>
    <t>Awad, M (corresponding author), Arab Amer Univ AAUP, Dept Comp Syst Engn, Jenin, Palestine.</t>
  </si>
  <si>
    <t>mohammed.awad@aaup.edu; m.saleh24@student.aaup.edu</t>
  </si>
  <si>
    <t>[Jaradat, Majdi] Arab Amer Univ AAUP, Dept Nat Engn &amp; Technol Sci, Jenin, Palestine; [Awad, Mohammed] Arab Amer Univ AAUP, Dept Comp Syst Engn, Jenin, Palestine</t>
  </si>
  <si>
    <t>Arab American University; Arab American University</t>
  </si>
  <si>
    <t>Explainable AI in Cardiology Diagnostics: A Systematic Review of Machine Learning, Meta-heuristic Optimization, and Clinical Text Mining for Coronary Artery Disease</t>
  </si>
  <si>
    <t>Coronaryarterydisease; Machinelearning; Naturallanguageprocessing; Meta-heuristicoptimization; explainable AI; Clinical narratives; Systematic review</t>
  </si>
  <si>
    <t>MODEL</t>
  </si>
  <si>
    <t>Jaradat, Majdi/0000-0003-4392-7597</t>
  </si>
  <si>
    <t>106321</t>
  </si>
  <si>
    <t>10.1016/j.ijmedinf.2026.106321</t>
  </si>
  <si>
    <t>http://dx.doi.org/10.1016/j.ijmedinf.2026.106321</t>
  </si>
  <si>
    <t>DL7CD</t>
  </si>
  <si>
    <t>41653696</t>
  </si>
  <si>
    <t>WOS:001686404300001</t>
  </si>
  <si>
    <t>Yasar, S; Yagin, FH; Melekoglu, R; Ardigò, LP</t>
  </si>
  <si>
    <t>Endometrial cancer, which is the most common gynaecological cancer in women after breast, colorectal and lung cancer, can be diagnosed at an early stage. The first aim of this study is to classify age, tumor grade, myometrial invasion and tumor size, which play an important role in the diagnosis and prognosis of endometrial cancer, with machine learning methods combined with explainable artificial intelligence. 20 endometrial cancer patients proteomic data obtained from tumor biopsies taken from different regions of EC tissue were used. The data obtained were then classified according to age, tumor size, tumor grade and myometrial invasion. Then, by using three different machine learning methods, explainable artificial intelligence was applied to the model that best classifies these groups and possible protein biomarkers that can be used in endometrial prognosis were evaluated. The optimal model for age classification was XGBoost with AUC (98.8%), for tumor grade classification was XGBoost with AUC (98.6%), for myometrial invasion classification was LightGBM with AUC (95.1%), and finally for tumor size classification was XGBoost with AUC (94.8%). By combining the optimal models and the SHAP approach, possible protein biomarkers and their expressions were obtained for classification. Finally, EWRS1 protein was found to be common in three groups (age, myometrial invasion, tumor size). This article's findings indicate that models have been developed that can accurately classify factors including age, tumor grade, and myometrial invasion all of which are critical for determining the prognosis of endometrial cancer as well as potential protein biomarkers associated with these factors. Furthermore, we were able to provide an analysis of how the quantities of the proteins suggested as biomarkers varied throughout the classes by combining the SHAP values with these ideal models.</t>
  </si>
  <si>
    <t>Yasar, Seyma; Yagin, Fatma Hilal; Melekoglu, Rauf; Ardigo, Luca Paolo</t>
  </si>
  <si>
    <t>Yasar, S; Yagin, FH (corresponding author), Inonu Univ, Med Fac, Dept Biostat &amp; Med Informat, Malatya, Turkiye.</t>
  </si>
  <si>
    <t>hilal.yagin@inonu.edu.tr; seyma.yasar@inonu.edu.tr</t>
  </si>
  <si>
    <t>[Yasar, Seyma; Yagin, Fatma Hilal] Inonu Univ, Med Fac, Dept Biostat &amp; Med Informat, Malatya, Turkiye; [Melekoglu, Rauf] Inonu Univ, Fac Med, Dept Obstet &amp; Gynecol, Malatya, Turkiye; [Ardigo, Luca Paolo] NLA Univ Coll, Dept Teacher Educ, Oslo, Norway</t>
  </si>
  <si>
    <t>Inonu University; Inonu University; NLA University College</t>
  </si>
  <si>
    <t>Integrating proteomics and explainable artificial intelligence: a comprehensive analysis of protein biomarkers for endometrial cancer diagnosis and prognosis</t>
  </si>
  <si>
    <t>FRONTIERS IN MOLECULAR BIOSCIENCES</t>
  </si>
  <si>
    <t>machine learning; explainable artificial intelligence; endometrium cancer; proteomic; biomarker</t>
  </si>
  <si>
    <t>SURVIVAL; TRENDS</t>
  </si>
  <si>
    <t>Ardigò, Luca/H-8955-2019; Yaşar, Şeyma/ABI-8055-2020; YAĞIN, Fatma Hilal/ABI-8066-2020; MELEKOGLU, RAUF/AAF-1614-2019</t>
  </si>
  <si>
    <t>YAĞIN, Fatma Hilal/0000-0002-9848-7958; MELEKOGLU, RAUF/0000-0001-7113-6691</t>
  </si>
  <si>
    <t>2296-889X</t>
  </si>
  <si>
    <t>FRONT MOL BIOSCI</t>
  </si>
  <si>
    <t>Front. Mol. Biosci.</t>
  </si>
  <si>
    <t>JUN 3 2024</t>
  </si>
  <si>
    <t>1389325</t>
  </si>
  <si>
    <t>10.3389/fmolb.2024.1389325</t>
  </si>
  <si>
    <t>http://dx.doi.org/10.3389/fmolb.2024.1389325</t>
  </si>
  <si>
    <t>UH7G4</t>
  </si>
  <si>
    <t>38894711</t>
  </si>
  <si>
    <t>WOS:001247224700001</t>
  </si>
  <si>
    <t>Hussein, M; Li, L; Falkner, KL; Buck, MJ; Diaz, PI; Hatzikirou, H</t>
  </si>
  <si>
    <t>Myocardial infarction (MI) is a major global health concern influenced by diverse risk factors. Despite growing evidence of oral-systemic connections, current MI models largely exclude oral health indicators, reflecting the longstanding separation between dental and medical paradigms. This study introduces a multidomain, interpretable machine learning framework that integrates detailed periodontal and oral hygiene variables, marking one of the first efforts to quantitatively incorporate these features into MI incidence identification. A population-based case-control dataset comprising 1,355 individuals and heterogeneous variables was used to train and evaluate seven supervised classifiers via nested cross-validation. Among them, XGBoost achieved the best performance (AUC = 0.88 +/- 0.01; F1 score = 0.74 +/- 0.03) and was further probability-calibrated using isotonic regression, yielding a mean Brier score of 0.14 +/- 0.01 and demonstrating well-aligned predicted probabilities. SHAP values confirmed the importance of conventional cardiovascular predictors, while several periodontal indicators such as mean clinical attachment loss, plaque index, and gingival bleeding emerged among the most influential features. Sex-stratified SHAP analysis revealed sex-specific patterns in the relative impact of oral features. Additionally, individual-level waterfall plots illustrated how oral inflammation may contribute independently or in combination with conventional factors to MI incidence identification. These findings support a systems-level view of periodontitis as a modifiable, biologically relevant factor in cardiovascular health and underscore the value of considering oral-health markers within screening and management frameworks.</t>
  </si>
  <si>
    <t>Hussein, Moemen; Li, Lu; Falkner, Karen L.; Buck, Michael J.; Diaz, Patricia I.; Hatzikirou, Haralampos</t>
  </si>
  <si>
    <t>Hatzikirou, H (corresponding author), Khalifa Univ, Math Dept, Abu Dhabi, U Arab Emirates.; Hatzikirou, H (corresponding author), Tech Univ Dresden, Ctr Informat Serv &amp; High Performance Comp, Dresden, Germany.</t>
  </si>
  <si>
    <t>haralampos.hatzikirou@ku.ac.ae</t>
  </si>
  <si>
    <t>Khalifa University of Science, Technology and Research [RIG-2023-051]; UAE-NIH Collaborative Research [AJF-NIH-25-KU]</t>
  </si>
  <si>
    <t>Khalifa University of Science, Technology and Research (Khalifa University of Science &amp; Technology); UAE-NIH Collaborative Research</t>
  </si>
  <si>
    <t>H.H. acknowledges support from the RIG-2023-051 Khalifa University grant.</t>
  </si>
  <si>
    <t>[Hussein, Moemen] Khalifa Univ, Dept Biomed Engn &amp; Biotechnol, Abu Dhabi, U Arab Emirates; [Hussein, Moemen] Alexandria Univ, Fac Engn, Dept Math Engn &amp; Phys, Alexandria, Egypt; [Li, Lu; Falkner, Karen L.; Buck, Michael J.; Diaz, Patricia I.] Univ Buffalo, UB Microbiome Ctr, Buffalo, NY USA; [Li, Lu; Diaz, Patricia I.] UNIV BUFFALO, SCH DENT MED,DEPT ORAL BIOL, BUFFALO, NY USA; [Buck, Michael J.] Univ Buffalo, Jacobs Sch Med &amp; Biomed Sci, Dept Biochem, Buffalo, NY USA; [Hatzikirou, Haralampos] Khalifa Univ, Math Dept, Abu Dhabi, U Arab Emirates; [Hatzikirou, Haralampos] Tech Univ Dresden, Ctr Informat Serv &amp; High Performance Comp, Dresden, Germany</t>
  </si>
  <si>
    <t>Khalifa University of Science &amp; Technology; Egyptian Knowledge Bank (EKB); Alexandria University; State University of New York (SUNY) System; University at Buffalo, SUNY; University at Albany, SUNY; State University of New York (SUNY) System; University at Buffalo, SUNY; University at Albany, SUNY; State University of New York (SUNY) System; University at Buffalo, SUNY; Khalifa University of Science &amp; Technology; Technische Universitat Dresden</t>
  </si>
  <si>
    <t>Multi-domain identification of myocardial infarction incidence using explainable AI: the overlooked role of periodontal health</t>
  </si>
  <si>
    <t>Periodontitis; Myocardial infarction; Explainable AI; Oral health; Periodontal disease; Preventive cardiology; Cardiovascular disease</t>
  </si>
  <si>
    <t>RISK; ASSOCIATION; DEFINITIONS; PREDICTION; DISEASE</t>
  </si>
  <si>
    <t>23612</t>
  </si>
  <si>
    <t>10.1038/s41598-026-59740-z</t>
  </si>
  <si>
    <t>http://dx.doi.org/10.1038/s41598-026-59740-z</t>
  </si>
  <si>
    <t>MA6ZZ</t>
  </si>
  <si>
    <t>42533016</t>
  </si>
  <si>
    <t>WOS:001837740000006</t>
  </si>
  <si>
    <t>gold; Green Accepted; Green Submitted</t>
  </si>
  <si>
    <t>Santamonica, A; Hortal, E; Larriba, Y; Rueda, C</t>
  </si>
  <si>
    <t>The electrocardiogram (ECG), a gold standard in cardiac diagnostics, is increasingly combined with Artificial Intelligence (AI) methods to enhance its clinical utility. However, many recent studies have prioritised performance over clinical interpretability by focusing on Deep Learning (DL) techniques, which offer limited explainability since they do not directly correlate with clinical features. This lack of transparency causes mistrust among physicians and hinders adoption in daily clinical practice. We developed novel, self-explainable features from the 3DFMMecg model parametrisation, enabling highly accurate and clinically interpretable ML classifiers for cardiovascular pathology diagnosis from 12-lead ECG signals. We evaluated our approach on PTB-XL+, a widely used dataset of annotated ECG recordings. Our framework outperforms existing feature-based methods in four out of six classification tasks, achieving macro-AUC between 0.88 and 0.95 and weighted macro-AUC between 0.90 and 0.95, comparable to and in some tasks surpassing DL approaches. We further show that the model maintains high diagnostic accuracy when using only three of the standard twelve ECG leads, with less than 6% loss in performance, enabling deployment in mobile, wearable, or resource-constrained environments. Feature importance analyses using SHapley Additive exPlanations (SHAP) confirm strong alignment between model predictions and established clinical markers, such as QRS width and T-wave amplitude parameters. These results underscore the potential of 3DFMMecg-based pipelines toward reliable, transparent, and accessible ECG-based diagnostic systems.</t>
  </si>
  <si>
    <t>Santamonica, Adolfo; Hortal, Enrique; Larriba, Yolanda; Rueda, Cristina</t>
  </si>
  <si>
    <t>Santamonica, A (corresponding author), Fac Sci &amp; Engn, Paul Henri Spaaklaan 1, NL-6229 GS Maastricht, Limburg, Netherlands.</t>
  </si>
  <si>
    <t>enrique.hortal@maastrichtuniversity.nl; a.fernandezsantamonica@student.maastrichtuniversity.nl; yolanda.larriba@uva.es; cristina.rueda@uva.es</t>
  </si>
  <si>
    <t>Spanish Ministry of Science, Innovation and Universities [PID2023-147839OB-I00]</t>
  </si>
  <si>
    <t>Spanish Ministry of Science, Innovation and Universities</t>
  </si>
  <si>
    <t>The authors gratefully acknowledge the financial support received from the Spanish Ministry of Science, Innovation and Universities [PID2023-147839OB-I00 to C.R. and Y.L.] .</t>
  </si>
  <si>
    <t>[Santamonica, Adolfo; Hortal, Enrique] Fac Sci &amp; Engn, Paul Henri Spaaklaan 1, NL-6229 GS Maastricht, Limburg, Netherlands; [Larriba, Yolanda; Rueda, Cristina] Fac Sci, Paseo Belen 7, Valladolid 47011, Castilla Y Leon, Spain</t>
  </si>
  <si>
    <t>Maastricht University</t>
  </si>
  <si>
    <t>Explainable AI for automatic heart disease diagnosis using 3DFMMecg features: A novel ECG-based approach</t>
  </si>
  <si>
    <t>ECG; Artificial intelligence; Machine learning; Classification; Diagnosis; Explainability; FMM models</t>
  </si>
  <si>
    <t>Hortal, Enrique/R-9176-2018; Larriba, Yolanda/AIB-4955-2022; Rueda Sabater, Cristina/HQY-3568-2023</t>
  </si>
  <si>
    <t>Hortal, Enrique/0000-0003-2119-4169; Larriba, Yolanda/0000-0003-0254-4928; Rueda Sabater, Cristina/0000-0001-9179-3154; Santamónica, Adolfo/0009-0002-2939-8182</t>
  </si>
  <si>
    <t>109085</t>
  </si>
  <si>
    <t>10.1016/j.bspc.2025.109085</t>
  </si>
  <si>
    <t>http://dx.doi.org/10.1016/j.bspc.2025.109085</t>
  </si>
  <si>
    <t>9WG3Q</t>
  </si>
  <si>
    <t>WOS:001616529000010</t>
  </si>
  <si>
    <t>Inamdar, MA; Gudigar, A; Raghavendra, U; Kaprekar, A; Salvi, M; Seoni, S; Menon, GR; Molinari, F; Acharya, UR</t>
  </si>
  <si>
    <t>Diagnosing ischemic stroke from computed tomography (CT) images is a highly challenging and detailed process that requires precise and careful analysis by a medical professional. Deep learning techniques offer an effective solution to this issue because of their remarkable performance. Nevertheless, most of those methods still lack the uncertainty quantification (UQ) and eXplainable artificial intelligence (XAI) features, which are essential for clinical practice and acceptance. We present TrustNet, a small but powerful convolutional neural network that uses Monte Carlo dropout and quantitative Grad-CAM. This technique helps visualize the issues related to two independent factors: uncertainty in the model's classification and inconsistency in recognizing the relevant visual features. The model was validated on a set of 2023 brain CT scans and compared with networks that are generally used for classification purposes. TrustNet was able to achieve an accuracy of 94.67%, with 100% specificity, 91.6% sensitivity, and 100% precision, competing against various conventional architectures. The introduction of the UQ and XAI methods led to a consistent performance enhancement over the baseline models by limiting the number incorrect predictions, which is crucial for stroke diagnosis. With this performance, our approach can also provide an explanation for the reasoning and estimate confidence, which is essential for model deployment. This method is an indispensable tool for eliminating diagnostic bias and thus controlling the safety of AI in the clinical workflow.</t>
  </si>
  <si>
    <t>Inamdar, Mahesh Anil; Gudigar, Anjan; Raghavendra, U.; Kaprekar, Aryaman; Salvi, Massimo; Seoni, Silvia; Menon, Girish R.; Molinari, Filippo; Acharya, U. R.</t>
  </si>
  <si>
    <t>Gudigar, A (corresponding author), Manipal Acad Higher Educ, Manipal Inst Technol, Manipal 576104, India.</t>
  </si>
  <si>
    <t>anjan.gudigar@manipal.edu</t>
  </si>
  <si>
    <t>Manipal Academy of Higher Education, Manipal</t>
  </si>
  <si>
    <t>Open access funding provided by Manipal Academy of Higher Education, Manipal</t>
  </si>
  <si>
    <t>[Inamdar, Mahesh Anil; Gudigar, Anjan; Raghavendra, U.; Kaprekar, Aryaman] Manipal Acad Higher Educ, Manipal Inst Technol, Manipal 576104, India; [Salvi, Massimo; Seoni, Silvia; Molinari, Filippo] Politecn Torino, Dept Elect &amp; Telecommun, PolitoBIOMed Lab, Biolab, Corso Duca Abruzzi 24, I-10129 Turin, Italy; [Menon, Girish R.] Manipal Acad Higher Educ, Kasturba Med Coll, Dept Neurosurg, Manipal 576104, India; [Acharya, U. R.] Univ Southern Queensland, Sch Math Phys &amp; Comp, Springfield, Qld 4300, Australia; [Acharya, U. R.] Univ Southern Queensland, Ctr Hlth Res, Springfield, Australia</t>
  </si>
  <si>
    <t>Manipal Academy of Higher Education (MAHE); Polytechnic University of Turin; Manipal Academy of Higher Education (MAHE); Kasturba Medical College, Manipal; University of Southern Queensland; University of Southern Queensland</t>
  </si>
  <si>
    <t>TrustNet: a lightweight network with integrated uncertainty quantification and quantitative explainable AI for ischemic stroke detection in CT images</t>
  </si>
  <si>
    <t>Ischemic stroke detection; Deep learning; eXplainable AI; Uncertainty quantification; Monte Carlo dropout</t>
  </si>
  <si>
    <t>Salvi, Massimo/AAJ-1394-2020; Inamdar, Mahesh/JNR-7321-2023; /AEP-5984-2022; Raghavendra, U/G-8634-2015</t>
  </si>
  <si>
    <t>Salvi, Massimo/0000-0001-7225-7401; Inaar, Mahesh/0000-0002-7487-3571; Kaprekar, Aryaman/0009-0005-1680-1616</t>
  </si>
  <si>
    <t>FEB 19 2026</t>
  </si>
  <si>
    <t>9861</t>
  </si>
  <si>
    <t>10.1038/s41598-026-37169-8</t>
  </si>
  <si>
    <t>http://dx.doi.org/10.1038/s41598-026-37169-8</t>
  </si>
  <si>
    <t>FP1HV</t>
  </si>
  <si>
    <t>41714698</t>
  </si>
  <si>
    <t>WOS:001724057900038</t>
  </si>
  <si>
    <t>Luong, TMT; Ho, NT; Hwu, YM; Lin, SY; Ho, JYP; Wang, RS; Lee, YX; Tan, SJ; Lee, YR; Huang, YL; Hsu, YC; Le, NQK; Tzeng, CR</t>
  </si>
  <si>
    <t>PurposeTo determine if an explainable artificial intelligence (XAI) model enhances the accuracy and transparency of predicting embryo ploidy status based on embryonic characteristics and clinical data.MethodsThis retrospective study utilized a dataset of 1908 blastocyst embryos. The dataset includes ploidy status, morphokinetic features, morphology grades, and 11 clinical variables. Six machine learning (ML) models including Random Forest (RF), Linear Discriminant Analysis (LDA), Logistic Regression (LR), Support Vector Machine (SVM), AdaBoost (ADA), and Light Gradient-Boosting Machine (LGBM) were trained to predict ploidy status probabilities across three distinct datasets: high-grade embryos (HGE, n = 1107), low-grade embryos (LGE, n = 364), and all-grade embryos (AGE, n = 1471). The model's performance was interpreted using XAI, including SHapley Additive exPlanations (SHAP) and Local Interpretable Model-agnostic Explanations (LIME) techniques.ResultsThe mean maternal age was 38.5 +/- 3.85 years. The Random Forest (RF) model exhibited superior performance compared to the other five ML models, achieving an accuracy of 0.749 and an AUC of 0.808 for AGE. In the external test set, the RF model achieved an accuracy of 0.714 and an AUC of 0.750 (95% CI, 0.702-0.796). SHAP's feature impact analysis highlighted that maternal age, paternal age, time to blastocyst (tB), and day 5 morphology grade significantly impacted the predictive model. In addition, LIME offered specific case-ploidy prediction probabilities, revealing the model's assigned values for each variable within a finite range.ConclusionThe model highlights the potential of using XAI algorithms to enhance ploidy prediction, optimize embryo selection as patient-centric consultation, and provides reliability and transparent insights into the decision-making process.</t>
  </si>
  <si>
    <t>Luong, Thi-My-Trang; Ho, Nguyen-Tuong; Hwu, Yuh-Ming; Lin, Shyr-Yeu; Ho, Jason Yen-Ping; Wang, Ruey-Sheng; Lee, Yi-Xuan; Tan, Shun-Jen; Lee, Yi-Rong; Huang, Yung-Ling; Hsu, Yi-Ching; Le, Nguyen-Quoc-Khanh; Tzeng, Chii-Ruey</t>
  </si>
  <si>
    <t>Le, NQK (corresponding author), Taipei Med Univ, AIBioMed Res Grp, Taipei, Taiwan.; Tzeng, CR (corresponding author), Taipei Fertil Ctr, Taipei, Taiwan.; Le, NQK (corresponding author), Taipei Med Univ, Coll Med, Profess Master Program Artificial Intelligence Med, Taipei, Taiwan.; Le, NQK (corresponding author), Taipei Med Univ, Res Ctr Artificial Intelligence Med, Taipei, Taiwan.; Le, NQK (corresponding author), Taipei Med Univ Hosp, Translat Imaging Res Ctr, Taipei, Taiwan.</t>
  </si>
  <si>
    <t>tzengcr@tmu.edu.tw; m142111003@tmu.edu.tw; khanhlee@tmu.edu.tw</t>
  </si>
  <si>
    <t>National Science and Technology Council, Taiwan [MOST111-2628-E-038-002-MY3]</t>
  </si>
  <si>
    <t>National Science and Technology Council, Taiwan</t>
  </si>
  <si>
    <t>The research leading to these results received funding from the National Science and Technology Council, Taiwan, under Grant Agreement number MOST111-2628-E-038-002-MY3.</t>
  </si>
  <si>
    <t>[Luong, Thi-My-Trang] Taipei Med Univ, Coll Med, Int Master Program Med, Taipei, Taiwan; [Luong, Thi-My-Trang; Le, Nguyen-Quoc-Khanh] Taipei Med Univ, AIBioMed Res Grp, Taipei, Taiwan; [Luong, Thi-My-Trang; Ho, Nguyen-Tuong; Hwu, Yuh-Ming; Lin, Shyr-Yeu; Ho, Jason Yen-Ping; Wang, Ruey-Sheng; Lee, Yi-Xuan; Tan, Shun-Jen; Lee, Yi-Rong; Huang, Yung-Ling; Hsu, Yi-Ching; Tzeng, Chii-Ruey] Taipei Fertil Ctr, Taipei, Taiwan; [Ho, Nguyen-Tuong] My Duc Hosp, IVFMD, Ho Chi Minh, Vietnam; [Le, Nguyen-Quoc-Khanh] Taipei Med Univ, Coll Med, Profess Master Program Artificial Intelligence Med, Taipei, Taiwan; [Le, Nguyen-Quoc-Khanh] Taipei Med Univ, Res Ctr Artificial Intelligence Med, Taipei, Taiwan; [Le, Nguyen-Quoc-Khanh] Taipei Med Univ Hosp, Translat Imaging Res Ctr, Taipei, Taiwan</t>
  </si>
  <si>
    <t>Taipei Medical University; Taipei Medical University; HOPE Research Center, My Duc Hospital; Taipei Medical University; Taipei Medical University; Taipei Medical University; Taipei Medical University Hospital</t>
  </si>
  <si>
    <t>Beyond black-box models: explainable AI for embryo ploidy prediction and patient-centric consultation</t>
  </si>
  <si>
    <t>JOURNAL OF ASSISTED REPRODUCTION AND GENETICS</t>
  </si>
  <si>
    <t>Embryo selection; Ploidy prediction; Explainable artificial intelligence; Machine learning; Preimplantation genetic testing</t>
  </si>
  <si>
    <t>AGE</t>
  </si>
  <si>
    <t>/AAW-8107-2021; Le, Nguyen Quoc Khanh/H-2057-2017</t>
  </si>
  <si>
    <t>Luong, Thi-My-Trang/0000-0001-6922-7519; Le, Nguyen Quoc Khanh/0000-0003-4896-7926; Ho, Tuong Nguyen/0000-0002-6561-1596</t>
  </si>
  <si>
    <t>SPRINGER/PLENUM PUBLISHERS</t>
  </si>
  <si>
    <t>233 SPRING ST, NEW YORK, NY 10013 USA</t>
  </si>
  <si>
    <t>1058-0468</t>
  </si>
  <si>
    <t>1573-7330</t>
  </si>
  <si>
    <t>J ASSIST REPROD GEN</t>
  </si>
  <si>
    <t>J. Assist. Reprod. Genet.</t>
  </si>
  <si>
    <t>SEP 2024</t>
  </si>
  <si>
    <t>2349</t>
  </si>
  <si>
    <t>2358</t>
  </si>
  <si>
    <t>10.1007/s10815-024-03178-7</t>
  </si>
  <si>
    <t>http://dx.doi.org/10.1007/s10815-024-03178-7</t>
  </si>
  <si>
    <t>JUL 2024</t>
  </si>
  <si>
    <t>Genetics &amp; Heredity; Obstetrics &amp; Gynecology; Reproductive Biology</t>
  </si>
  <si>
    <t>G1C6G</t>
  </si>
  <si>
    <t>38963605</t>
  </si>
  <si>
    <t>WOS:001263054900003</t>
  </si>
  <si>
    <t>Satapathy, SM; Paul, MG; Garg, A; Bhatnagar, S</t>
  </si>
  <si>
    <t>Cataracts, among the most prevalent eye disorders, result in diminished vision due to cloudiness in the eye's natural lens. Timely diagnosis is crucial for preventing irreversible damage. While effective, existing automated systems encounter difficulties like limited dataset variety, lack of interpretability, and suboptimal generalization in real-world scenarios. This study presents a novel deep learning-based method that incorporates Generative AI (GenAI) and Explainable AI (XAI) to enhance cataract detection. The proposed methodology leverages a fine-tuned InceptionResNetV2 with additional layers, trained on a hybrid dataset enriched by merging six open-source datasets, along with synthetic images generated via Generative Adversarial Networks (GANs). Class weights address data imbalance, while stratified K-Fold cross-validation ensures robust evaluation. Our system offers graphical interpretation through Gradient-weighted Class Activation Mapping (Grad-CAM) heatmaps, supporting clinical transparency and reliability. The model evaluation reports a mean K-Fold accuracy of 97.58% with a standard deviation of 0.0040, and a 95% confidence interval (CI) of (0.9702, 0.9814). On the external dataset, the model achieved an overall accuracy of 97%, an AUC of 0.9944, and for the cataract class, a precision of 96%, recall (sensitivity) of 94%, F1-score of 95%. Our method, by incorporating synthetic images and explainable AI, ensures enhanced data diversity, addresses class imbalance, reduced dependency on large annotated datasets, and offers greater interpretability that facilitates expert validation and builds stronger clinical trust, making it superior to existing cataract detection systems.</t>
  </si>
  <si>
    <t>Satapathy, Shashank Mouli; Paul, Mitali Gopinath; Garg, Anusha; Bhatnagar, Suhani</t>
  </si>
  <si>
    <t>Satapathy, SM (corresponding author), Vellore Inst Technol, Sch Comp Sci &amp; Engn, Vellore 632014, Tamil Nadu, India.</t>
  </si>
  <si>
    <t>paulmitali16@gmail.com; anushagarg2503@gmail.com; shashankmouli.s@vit.ac.in; suhanibhatnagar2706@gmail.com</t>
  </si>
  <si>
    <t>[Satapathy, Shashank Mouli; Paul, Mitali Gopinath; Garg, Anusha; Bhatnagar, Suhani] Vellore Inst Technol, Sch Comp Sci &amp; Engn, Vellore 632014, Tamil Nadu, India</t>
  </si>
  <si>
    <t>GAN-Enhanced Hybrid Deep Learning with Explainable AI for Automated Cataract Diagnosis</t>
  </si>
  <si>
    <t>Cataract; Artificial intelligence; Deep learning; XAI; GANs; Transfer learning</t>
  </si>
  <si>
    <t>Satapathy, Shashank Mouli/I-8359-2014</t>
  </si>
  <si>
    <t>123</t>
  </si>
  <si>
    <t>10.1007/s10916-025-02249-1</t>
  </si>
  <si>
    <t>http://dx.doi.org/10.1007/s10916-025-02249-1</t>
  </si>
  <si>
    <t>8CV3D</t>
  </si>
  <si>
    <t>41037142</t>
  </si>
  <si>
    <t>WOS:001585620900001</t>
  </si>
  <si>
    <t>Molchanova, N; Cagol, A; Ocampo-Pineda, M; Lu, PJ; Weigel, M; Chen, XJ; Beck, ES; Tsagkas, C; Reich, DS; Vanden Bulcke, C; Stölting, A; Borrelli, S; Maggi, P; Lugo, SB; Lemay, DR; Depeursinge, A; Granziera, C; Müller, H; Gordaliza, PM; Cuadra, MB</t>
  </si>
  <si>
    <t>Cortical lesions (CLs) have emerged as valuable biomarkers in multiple sclerosis (MS), offering high diagnostic specificity and prognostic relevance. However, their routine clinical integration remains limited due to subtle magnetic resonance imaging (MRI) appearance, challenges in expert annotation, and a lack of standardized automated methods. We present a multi-centric comparative study of CL detection and segmentation in MRI. A total of 656 MRI scans, including clinical trial and research data from four institutions, were acquired at 3T and 7T using MP2RAGE and MPRAGE sequences with expert-consensus annotations. We rely on the self-configuring nnU-Net framework, designed for medical imaging segmentation, and propose adaptations tailored to the improved CL detection. We evaluated model generalization through out-of-distribution testing, demonstrating promising lesion detection capabilities with an F1-score of 0.64 and 0.5 in and out of the domain, respectively. We also analyze internal model features and model errors for a better understanding of AI decision-making. Our study examines how data variability, lesion ambiguity, and protocol differences impact model performance, offering future recommendations to address these barriers to clinical adoption. Furthermore, we designed and implemented a medical expert questionnaire for better assessment of clinical value of the model predictions. To reinforce the reproducibility, the implementation and models will be publicly accessible and ready to use at GitHub and Zenodo.</t>
  </si>
  <si>
    <t>Molchanova, Nataliia; Cagol, Alessandro; Ocampo-Pineda, Mario; Lu, Po-Jui; Weigel, Matthias; Chen, Xinjie; Beck, Erin S.; Tsagkas, Charidimos; Reich, Daniel S.; Vanden Bulcke, Colin; Stolting, Anna; Borrelli, Serena; Maggi, Pietro; Lugo, Sebastian Baez; Lemay, Delphine Ribes; Depeursinge, Adrien; Granziera, Cristina; Muller, Henning; Gordaliza, Pedro M.; Cuadra, Meritxell Bach</t>
  </si>
  <si>
    <t>Molchanova, N (corresponding author), Lausanne Univ Hosp CHUV, Radiol Dept, Lausanne, Switzerland.</t>
  </si>
  <si>
    <t>nataliia.molchanova@unil.ch</t>
  </si>
  <si>
    <t>[Molchanova, Nataliia; Gordaliza, Pedro M.; Cuadra, Meritxell Bach] Univ Lausanne UNIL, Fac Biol &amp; Med, Lausanne, Switzerland; [Molchanova, Nataliia; Gordaliza, Pedro M.; Cuadra, Meritxell Bach] Lausanne Univ Hosp CHUV, Radiol Dept, Lausanne, Switzerland; [Molchanova, Nataliia; Depeursinge, Adrien; Muller, Henning] HES SO Valais Wallis Univ Appl Sci &amp; Arts Western, Inst Informat, Sch Management, MedGIFT, Sierre, Switzerland; [Molchanova, Nataliia; Gordaliza, Pedro M.; Cuadra, Meritxell Bach] CIBM Ctr Biomed Imaging, Lausanne, Switzerland; [Muller, Henning] Univ Geneva, Dept Radiol &amp; Med Informat, Geneva, Switzerland; [Cagol, Alessandro; Ocampo-Pineda, Mario; Lu, Po-Jui; Weigel, Matthias; Chen, Xinjie; Granziera, Cristina] Univ Hosp Basel, Dept Med &amp; Biomed Engn, Translat Imaging Neurol ThINK Basel, Basel, Switzerland; [Cagol, Alessandro; Ocampo-Pineda, Mario; Lu, Po-Jui; Weigel, Matthias; Chen, Xinjie; Granziera, Cristina] Univ Basel, Basel, Switzerland; [Cagol, Alessandro; Ocampo-Pineda, Mario; Lu, Po-Jui; Weigel, Matthias; Chen, Xinjie; Granziera, Cristina] Univ Hosp Basel, Multiple Sclerosis Ctr, Dept Neurol, Basel, Switzerland; [Cagol, Alessandro; Ocampo-Pineda, Mario; Lu, Po-Jui; Weigel, Matthias; Chen, Xinjie; Granziera, Cristina] Univ Hosp Basel, Res Ctr Clin Neuroimmunol &amp; Neurosci Basel RC2NB, Basel, Switzerland; [Weigel, Matthias] Univ Hosp Basel, Dept Radiol, Div Radiol Phys, Basel, Switzerland; [Cagol, Alessandro] Univ Genoa, Dipartimento Sci Salute, Genoa, Italy; [Beck, Erin S.; Tsagkas, Charidimos; Reich, Daniel S.] NINDS, Translat Neuroradiol Sect, NIH, Bethesda, MD USA; [Vanden Bulcke, Colin; Stolting, Anna; Borrelli, Serena; Maggi, Pietro] Catholic Univ Louvain, Neuroinflammat Imaging Lab NIL, Brussels, Belgium; [Borrelli, Serena] Univ Libre Bruxelles, Hop Erasme, Hop Univ Bruxelles, Dept Neurol, Brussels, Belgium; [Lugo, Sebastian Baez; Lemay, Delphine Ribes] Ecole Polytech Fed Lausanne EPFL, EPFLECAL Lab, Lausanne, Switzerland</t>
  </si>
  <si>
    <t>University of Lausanne; University of Lausanne; Centre Hospitalier Universitaire Vaudois (CHUV); University of Geneva; University of Basel; University of Basel; University of Basel; University of Basel; University of Basel; University of Genoa; National Institutes of Health (NIH) - USA; NIH National Institute of Neurological Disorders &amp; Stroke (NINDS); Universite Catholique Louvain; Universite Libre de Bruxelles; Swiss Federal Institutes of Technology Domain; Ecole Polytechnique Federale de Lausanne</t>
  </si>
  <si>
    <t>A comparative study of deep learning for cortical lesion MRI segmentation with explainability analysis in multiple sclerosis</t>
  </si>
  <si>
    <t>Multiple sclerosis; Cortical lesions; Segmentation; Detection; Magnetic resonance imaging; Brain; Deep learning; Trustworthy AI</t>
  </si>
  <si>
    <t>DIAGNOSIS</t>
  </si>
  <si>
    <t>Ribes, Delphine/LDF-7859-2024; Vanden Bulcke, Colin/KYQ-9681-2024; Stolting, Anna/NLN-5466-2025; Reich, Daniel/E-5701-2010; Beck, Erin/AAA-8399-2022; /AAZ-7142-2020; Maggi, Pietro/KXR-3405-2024; Borrelli, Serena/HIZ-7717-2022</t>
  </si>
  <si>
    <t>Stölting, Anna/0000-0003-0880-0267</t>
  </si>
  <si>
    <t>104007</t>
  </si>
  <si>
    <t>10.1016/j.nicl.2026.104007</t>
  </si>
  <si>
    <t>http://dx.doi.org/10.1016/j.nicl.2026.104007</t>
  </si>
  <si>
    <t>JE2CP</t>
  </si>
  <si>
    <t>42224860</t>
  </si>
  <si>
    <t>WOS:001787215700001</t>
  </si>
  <si>
    <t>Kumar, S; Das, A</t>
  </si>
  <si>
    <t>The incidence and mortality rate of breast cancer increases yearly by an average of 1.44 % and 0.23 %, respectively. Till 2021, there were 7.8 million women who had been diagnosed with breast cancer within 5 years. Biopsies of tumors are often expensive and invasive and raise the risk of serious complications like infection, excessive bleeding, and puncture damage to nearby tissues and organs. Early detection biomarkers are often variably expressed in different patients and may even be below the detection level at an early stage. Hence PBMC that shows alteration in gene profile as a result of interaction with tumor antigens may serve as a better early detection biomarker. Also, such alterations in immune gene profile in PBMCs are more prone to detection despite variability in different breast cancer mutants.This study aimed to identify potential diagnostic biomarkers for breast cancer using eXplainable Artificial Intelligence (XAI) on XGBoost machine learning (ML) models trained on a binary classification dataset containing the expression data of PBMCs from 252 breast cancer patients and 194 healthy women.After effectively adding SHAP values further into the XGBoost model, ten important genes related to breast cancer development were discovered to be effective potential biomarkers. Our studies showed that SVIP, BEND3, MDGA2, LEF1-AS1, PRM1, TEX14, MZB1, TMIGD2, KIT, and FKBP7 are key genes that impact model prediction. These genes may serve as early, non-invasive diagnostic and prognostic biomarkers for breast cancer patients.</t>
  </si>
  <si>
    <t>Kumar, Sunil; Das, Asmita</t>
  </si>
  <si>
    <t>Das, A (corresponding author), Delhi Technol Univ, Main Bawana Rd, Delhi 110042, India.</t>
  </si>
  <si>
    <t>asmita1710@gmail.com</t>
  </si>
  <si>
    <t>[Kumar, Sunil; Das, Asmita] Delhi Technol Univ, Dept Biotechnol, Delhi, India; [Das, Asmita] Delhi Technol Univ, Main Bawana Rd, Delhi 110042, India</t>
  </si>
  <si>
    <t>Delhi Technological University; Delhi Technological University</t>
  </si>
  <si>
    <t>Peripheral blood mononuclear cell derived biomarker detection using eXplainable Artificial Intelligence (XAI) provides better diagnosis of breast cancer</t>
  </si>
  <si>
    <t>Breast cancer; Peripheral blood mononuclear cells; XGBoost; EXplainable Artificial Intelligence; Biomarker</t>
  </si>
  <si>
    <t>C-KIT; IDENTIFICATION; PROTEIN; IMPACT; AI</t>
  </si>
  <si>
    <t>kumar, sunil/KQU-5914-2024</t>
  </si>
  <si>
    <t>kumar, sunil/0009-0004-6579-6019; Das, Asmita/0000-0001-9846-1005</t>
  </si>
  <si>
    <t>107867</t>
  </si>
  <si>
    <t>10.1016/j.compbiolchem.2023.107867</t>
  </si>
  <si>
    <t>http://dx.doi.org/10.1016/j.compbiolchem.2023.107867</t>
  </si>
  <si>
    <t>APR 2023</t>
  </si>
  <si>
    <t>E6BM9</t>
  </si>
  <si>
    <t>37030103</t>
  </si>
  <si>
    <t>WOS:000976374900001</t>
  </si>
  <si>
    <t>Cary, MP Jr; Grady, SD; McMillian-Bohler, J; Bessias, S; Silcox, C; Silva, S; Guilamo-Ramos, V; McCall, J; Sperling, J; Goldstein, BA</t>
  </si>
  <si>
    <t>Healthcare systems are increasingly integrating artificial intelligence and machine learning (AI/ML) tools into patient care, potentially influencing clinical decisions for millions. However, concerns are growing about these tools reinforcing systemic inequities. To address bias in AI/ML tools and promote equitable outcomes, guidelines for mitigating this bias and comprehensive workforce training programs are necessary. In response, we developed the multifaceted Human-Centered Use of Multidisciplinary AI for Next-Gen Education and Research (HUMAINE), informed by a comprehensive scoping review, training workshops, and a research symposium. The curriculum, which focuses on structural inequities in algorithms that contribute to health disparities, is designed to equip scientists with AI/ML competencies that allow them to effectively address these structural inequities and promote health equity. The curriculum incorporates the perspectives of clinicians, biostatisticians, engineers, and policymakers to harness AI's transformative potential, with the goal of building an inclusive ecosystem where cutting-edge technology and ethical AI governance converge to create a more equitable healthcare future for all. (c) 2025 The Author(s). Published by Elsevier Inc. This is an open access article under the CC BY-NC-ND license (http://creativecommons.org/licenses/by-nc-nd/4.0/).</t>
  </si>
  <si>
    <t>Cary Jr, Michael P.; Grady, Siobahn D.; McMillian-Bohler, Jacquelyn; Bessias, Sophia; Silcox, Christina; Silva, Susan; Guilamo-Ramos, Vincent; McCall, Jonathan; Sperling, Jessica; Goldstein, Benjamin A.</t>
  </si>
  <si>
    <t>Cary, MP Jr (corresponding author), Duke Univ, 307 Trent Dr, Durham, NC 27707 USA.</t>
  </si>
  <si>
    <t>michael.cary@duke.edu</t>
  </si>
  <si>
    <t>Duke Clinical and Translational Science Institute (CTSI); NIH Award [UL1TR002553]; Duke University Office of Faculty Development</t>
  </si>
  <si>
    <t>Duke Clinical and Translational Science Institute (CTSI) (Duke University); NIH Award (United States Department of Health &amp; Human Services, National Institutes of Health (NIH) - USA); Duke University Office of Faculty Development (Duke University)</t>
  </si>
  <si>
    <t>This work was funded in part by the Duke Clinical and Translational Science Institute (CTSI) and NIH Award UL1TR002553. The funder played no role in the study design, data collection, analysis, and interpretation of data, or writing of this paper. This work was also supported by a small grant award from the Duke University Office of Faculty Development.</t>
  </si>
  <si>
    <t>[McMillian-Bohler, Jacquelyn; Silva, Susan] Duke Univ, Sch Nursing, Durham, NC USA; [Grady, Siobahn D.] North Carolina Cent Univ, Lib &amp; Informat Sci, Durham, NC USA; [Bessias, Sophia; Silcox, Christina; McCall, Jonathan; Goldstein, Benjamin A.] Duke Univ, Sch Med, Duke AI Hlth, Durham, NC USA; [Guilamo-Ramos, Vincent] Johns Hopkins Sch Nursing, Inst Policy Solut, Washington, DC USA; [Sperling, Jessica] Duke Univ, Social Sci Res Inst, Durham, NC USA; [Goldstein, Benjamin A.] Duke Univ, Sch Med, Dept Biostat &amp; Bioinformat, Durham, NC USA</t>
  </si>
  <si>
    <t>Duke University; University of North Carolina; North Carolina Central University; Duke University; Duke University; Duke University</t>
  </si>
  <si>
    <t>Building competency in artificial intelligence and bias mitigation for nurse scientists and aligned health researchers</t>
  </si>
  <si>
    <t>NURSING OUTLOOK</t>
  </si>
  <si>
    <t>Artificial intelligence; Machine learning; Health equity; Healthcare disparities; Algorithmic bias; Workforce training; Ethics in AI; Social determinants of health; Structural racism</t>
  </si>
  <si>
    <t>NOMINAL GROUP</t>
  </si>
  <si>
    <t>Grady, Siobahn/ABI-4135-2022; Goldstein, Benjamin/ADR-2374-2022</t>
  </si>
  <si>
    <t>Grady, Siobahn/0000-0001-5453-5324; Guilamo-Ramos, Vincent/0000-0002-7125-1793; Silcox, Christina/0009-0006-5159-3581; cary, michael/0000-0002-7966-7515</t>
  </si>
  <si>
    <t>0029-6554</t>
  </si>
  <si>
    <t>1528-3968</t>
  </si>
  <si>
    <t>NURS OUTLOOK</t>
  </si>
  <si>
    <t>Nurs. Outlook</t>
  </si>
  <si>
    <t>MAY-JUN 2025</t>
  </si>
  <si>
    <t>102395</t>
  </si>
  <si>
    <t>10.1016/j.outlook.2025.102395</t>
  </si>
  <si>
    <t>http://dx.doi.org/10.1016/j.outlook.2025.102395</t>
  </si>
  <si>
    <t>2OP1N</t>
  </si>
  <si>
    <t>40318249</t>
  </si>
  <si>
    <t>WOS:001487597200001</t>
  </si>
  <si>
    <t>Nahar, N; Siam, SH; Bhowmik, J; Ripa, AN; Imam, MH; Woo, HJ; Osman, H; Khandaker, MU; Ahmed, SF</t>
  </si>
  <si>
    <t>Heart disease (HD) is still one of the most common causes of death around the world. Early detection is very important, but it is often hard to do because the symptoms are not specific and the models are not very clear. We propose a two-layer stacked ensemble that combines four base learners-Support Vector Machine, K-Nearest Neighbors, Na &amp; iuml;ve Bayes, and Decision Tree-with Logistic Regression as a meta-learner. This ensemble was trained on a balanced sample from five public HD datasets. The model outperforms standard baselines with 93.69% accuracy, 93% F1-score, and 94.7% AUC. To ensure that predictions are clinically interpretable, we offer global explainability through SHAP summaries, feature importance, and stacked plots, as well as ELi5 permutation-importance plots. Both identify ST slope and chest pain type as the most significant predictors, consistent with clinical understanding. We use LIME, ELi5 text explanations, SHAP force plots, and waterfall plots to illustrate how different features of a person affect their risk. We utilize SHAP interaction values to examine feature interactions and confirm nonlinear relationships using 1D and 2D partial-dependence plots. Finally, we generate counterfactual explanations to demonstrate minor, plausible changes based on domain knowledge that would affect a prediction. This is useful both for auditability and for conversations around patient-centred care. The framework combines global and local explainable artificial intelligence with strong predictive power to improve decision support and accuracy in HD risk assessment.</t>
  </si>
  <si>
    <t>Nahar, Nazmun; Siam, Sanjatul Hasan; Bhowmik, Joy; Ripa, Ayesha Nasrin; Imam, Md. Hasan; Woo, Haw Jiunn; Osman, Hamid; Khandaker, Mayeen Uddin; Ahmed, Shams Forruque</t>
  </si>
  <si>
    <t>Khandaker, MU (corresponding author), Sunway Univ, Fac Engn &amp; Technol, Appl Phys &amp; Radiat Technol Grp, CCDCU, Bandar Sunway, Selangor, Malaysia.; Khandaker, MU (corresponding author), Daffodil Int Univ, Fac Grad Studies, Dhaka, Bangladesh.; Khandaker, MU (corresponding author), Korea Univ, Coll Sci, Dept Phys, Seoul, South Korea.; Ahmed, SF (corresponding author), Sunway Univ, Sch Math Sci, Bandar Sunway Selangor, Darul Ehsan, Malaysia.; Ahmed, SF (corresponding author), Int Univ Business Agr &amp; Technol, Miyan Res Inst, Dhaka, Bangladesh.</t>
  </si>
  <si>
    <t>shams.f.ahmed@gmail.com; mayeenk@diu.edu.bd</t>
  </si>
  <si>
    <t>[Nahar, Nazmun; Siam, Sanjatul Hasan; Bhowmik, Joy; Ripa, Ayesha Nasrin; Imam, Md. Hasan] Noakhali Sci &amp; Technol Univ, Inst Informat Technol, Noakhali, Bangladesh; [Woo, Haw Jiunn] Univ Malaya, Ctr Ion, Fac Sci, Dept Phys, Kuala Lumpur, Malaysia; [Osman, Hamid] Taif Univ, Coll Appl Med Sci, Dept Radiol Sci, Taif, Saudi Arabia; [Khandaker, Mayeen Uddin] Sunway Univ, Fac Engn &amp; Technol, Appl Phys &amp; Radiat Technol Grp, CCDCU, Bandar Sunway, Selangor, Malaysia; [Khandaker, Mayeen Uddin] Daffodil Int Univ, Fac Grad Studies, Dhaka, Bangladesh; [Khandaker, Mayeen Uddin] Korea Univ, Coll Sci, Dept Phys, Seoul, South Korea; [Ahmed, Shams Forruque] Sunway Univ, Sch Math Sci, Bandar Sunway Selangor, Darul Ehsan, Malaysia; [Ahmed, Shams Forruque] Int Univ Business Agr &amp; Technol, Miyan Res Inst, Dhaka, Bangladesh</t>
  </si>
  <si>
    <t>Noakhali Science &amp; Technology University (NSTU); Universiti Malaya; Taif University; Sunway University; Daffodil International University; Korea University; Sunway University; International University of Business Agriculture &amp; Technology (IUBAT)</t>
  </si>
  <si>
    <t>Stacked Ensemble Model With Explainable AI for Early Detection of Heart Disease</t>
  </si>
  <si>
    <t>ANALYTICAL SCIENCE ADVANCES</t>
  </si>
  <si>
    <t>ensemble model; explainability; explainable artificial intelligence; heart disease; machine learning</t>
  </si>
  <si>
    <t>Osman, Hamid/AAZ-9735-2020; Ahmed, Shams Forruque/AAU-1353-2021; WOO, HAW JIUNN/R-1072-2017; Khandaker, Mayeen/F-5376-2011</t>
  </si>
  <si>
    <t>Osman, Hamid/0000-0001-5370-7358; Siam, Sanjatul Hasan/0009-0009-3454-3111; Ahmed, Shams Forruque/0000-0003-3360-3636; WOO, HAW JIUNN/0000-0002-1126-0153</t>
  </si>
  <si>
    <t>WILEY-V C H VERLAG GMBH</t>
  </si>
  <si>
    <t>WEINHEIM</t>
  </si>
  <si>
    <t>POSTFACH 101161, 69451 WEINHEIM, GERMANY</t>
  </si>
  <si>
    <t>2628-5452</t>
  </si>
  <si>
    <t>ANAL SCI ADV</t>
  </si>
  <si>
    <t>Anal. Sci. Adv.</t>
  </si>
  <si>
    <t>MAR 3 2026</t>
  </si>
  <si>
    <t>e70072</t>
  </si>
  <si>
    <t>10.1002/ansa.70072</t>
  </si>
  <si>
    <t>http://dx.doi.org/10.1002/ansa.70072</t>
  </si>
  <si>
    <t>Chemistry, Analytical</t>
  </si>
  <si>
    <t>EN7QD</t>
  </si>
  <si>
    <t>41783138</t>
  </si>
  <si>
    <t>WOS:001705455700001</t>
  </si>
  <si>
    <t>Pelekis, S; Koutroubas, T; Blika, A; Berdelis, A; Karakolis, E; Ntanos, C; Spiliotis, E; Askounis, D</t>
  </si>
  <si>
    <t>The rapid advancement of Artificial Intelligence (AI), particularly Machine Learning (ML) and Deep Learning (DL), has produced high-performance models widely used in various applications, ranging from image recognition and chatbots to autonomous driving and smart grid systems. However, security threats arise from the vulnerabilities of ML models to adversarial attacks and data poisoning, posing risks such as system malfunctions and decision errors. Meanwhile, data privacy concerns arise, especially with personal data being used in model training, which can lead to data breaches. This paper surveys the Adversarial Machine Learning (AML) landscape in modern AI systems, while focusing on the dual aspects of robustness and privacy. Initially, we explore adversarial attacks and defenses using comprehensive taxonomies. Subsequently, we investigate robustness benchmarks alongside open-source AML technologies and software tools that ML system stakeholders can use to develop robust AI systems. Lastly, we delve into the landscape of AML in four industry fields -automotive, digital healthcare, electrical power and energy systems (EPES), and Large Language Model (LLM)-based Natural Language Processing (NLP) systems- analyzing attacks, defenses, and evaluation concepts, thereby offering a holistic view of the modern AI-reliant industry and promoting enhanced ML robustness and privacy preservation in the future.</t>
  </si>
  <si>
    <t>Pelekis, Sotiris; Koutroubas, Thanos; Blika, Afroditi; Berdelis, Anastasis; Karakolis, Evangelos; Ntanos, Christos; Spiliotis, Evangelos; Askounis, Dimitris</t>
  </si>
  <si>
    <t>Pelekis, S (corresponding author), Natl Tech Univ Athens, Sch Elect &amp; Comp Engn, Decis Support Syst Lab, Athens, Greece.</t>
  </si>
  <si>
    <t>spelekis@epu.ntua.gr</t>
  </si>
  <si>
    <t>HORIZON EUROPE Framework Programme [101139198]; Smart Networks and Services Joint Undertaking (SNS JU) under the European Union's Horizon Europe research and innovation programme</t>
  </si>
  <si>
    <t>HORIZON EUROPE Framework Programme; Smart Networks and Services Joint Undertaking (SNS JU) under the European Union's Horizon Europe research and innovation programme</t>
  </si>
  <si>
    <t>This work is supported by the Smart Networks and Services Joint Undertaking (SNS JU) under the European Union's Horizon Europe research and innovation programme under Grant Agreement No 101139198, iTrust6G project. Views and opinions expressed are however those of the author(s) only and do not necessarily reflect those of the European Union or SNS-JU. Neither the European Union nor the granting authority can be held responsible for them.</t>
  </si>
  <si>
    <t>[Pelekis, Sotiris; Koutroubas, Thanos; Blika, Afroditi; Karakolis, Evangelos; Ntanos, Christos; Spiliotis, Evangelos; Askounis, Dimitris] Natl Tech Univ Athens, Sch Elect &amp; Comp Engn, Decis Support Syst Lab, Athens, Greece; [Berdelis, Anastasis] Superbo AI, Athens, Greece</t>
  </si>
  <si>
    <t>National Technical University of Athens</t>
  </si>
  <si>
    <t>Adversarial machine learning: a review of methods, tools, and critical industry sectors</t>
  </si>
  <si>
    <t>Adversarial machine learning; Adversarial robustness; Artificial intelligence; Autonomous driving; Cybersecurity; Deep Learning; Electrical energy and power systems; Energy; Healthcare; Large language models; Machine learning; Medical imaging; Natural language processing; Open-source; Privacy; Robust AI; Smart grid; Trustworthy AI</t>
  </si>
  <si>
    <t>POISONING ATTACKS; HEALTH-CARE; ROBUSTNESS; PRIVACY; PERTURBATIONS; MODELS; SECURE</t>
  </si>
  <si>
    <t>Ntanos, Christos/HGB-1379-2022; Spiliotis, Evangelos/AAB-6214-2019</t>
  </si>
  <si>
    <t>, Thanos Koutroubas/0009-0009-4966-2797; Ntanos, Christos/0000-0002-5162-6500; Pelekis, Sotiris/0000-0002-9259-9115; Spiliotis, Evangelos/0000-0002-1854-1206</t>
  </si>
  <si>
    <t>327</t>
  </si>
  <si>
    <t>MAY 3 2025</t>
  </si>
  <si>
    <t>226</t>
  </si>
  <si>
    <t>10.1007/s10462-025-11147-4</t>
  </si>
  <si>
    <t>http://dx.doi.org/10.1007/s10462-025-11147-4</t>
  </si>
  <si>
    <t>2EL3Y</t>
  </si>
  <si>
    <t>WOS:001480703000010</t>
  </si>
  <si>
    <t>Ali, S; Hassan, MA; Ahmad, H; Jai, A; Shafiq, B; Jiang, XQ; Ayday, E; Vaidya, J</t>
  </si>
  <si>
    <t>Modern healthcare analytics increasingly relies on complex AI-driven workflows operating over sensitive datasets across institutional boundaries. Ensuring secure, auditable, and policy-compliant execution of these workflows remains a significant challenge. Existing systems typically treat workflow generation, policy enforcement, and execution auditing as separate concerns, resulting in fragmented governance mechanisms. This article proposes a governance-aware workflow lifecycle architecture for AI-driven analytics workflows that integrates natural language workflow synthesis, blockchain-based policy enforcement, and auditable execution, embedding governance directly within the workflow lifecycle. In our framework, large language models translate user requests into executable analytics workflows represented using Business Process Model and Notation (BPMN). Access control policies defined in XACML are compiled into smart contracts that enforce policy compliance and record immutable audit logs on a blockchain. Sensitive datasets remain off-chain while metadata and compliance events are securely recorded. We implement a prototype platform for healthcare analytics demonstrating the generation and execution of survival analysis workflows. We further evaluate the robustness of LLM-generated workflows through an ablation study examining how prompt structure affects BPMN diagram correctness and completeness. Results highlight both the promise and limitations of automated workflow generation in regulated analytics environments. Our work demonstrates the feasibility of integrating governance mechanisms directly into AI workflow infrastructures, providing a foundation for secure and auditable analytics in sensitive domains.</t>
  </si>
  <si>
    <t>Ali, Shazer; Hassan, Muhammad Ali; Ahmad, Huzaifa; Jai, Aashish; Shafiq, Basit; Jiang, Xiaoqian; Ayday, Erman; Vaidya, Jaideep</t>
  </si>
  <si>
    <t>Vaidya, J (corresponding author), Rutgers State Univ, Newark, NJ 07102 USA.</t>
  </si>
  <si>
    <t>jsvaidya@rutgers.edu</t>
  </si>
  <si>
    <t>National Institutes of Health [R35GM134927, R01LM014520]; Higher Education Commission (HEC), Pakistan</t>
  </si>
  <si>
    <t>National Institutes of Health (United States Department of Health &amp; Human Services, National Institutes of Health (NIH) - USA, Office of the Administrator (NIH)); Higher Education Commission (HEC), Pakistan</t>
  </si>
  <si>
    <t>This work was supported in part by the National Institutes of Health under Award R35GM134927 and Award R01LM014520 and in part by the Higher Education Commission (HEC), Pakistan.</t>
  </si>
  <si>
    <t>[Ali, Shazer] Univ Texas Austin, Austin, TX 78712 USA; [Hassan, Muhammad Ali; Ahmad, Huzaifa; Jai, Aashish; Shafiq, Basit] Lahore Univ Management Sci, Lahore 54792, Pakistan; [Jiang, Xiaoqian] Univ Texas Hlth Sci Ctr Houston, Houston, TX 77225 USA; [Ayday, Erman] Case Western Reserve Univ, Euclid, OH 44106 USA; [Vaidya, Jaideep] Rutgers State Univ, Newark, NJ 07102 USA</t>
  </si>
  <si>
    <t>Governance-Aware AI Workflow Infrastructure for Secure and Policy-Compliant Healthcare Analytics</t>
  </si>
  <si>
    <t>IEEE OPEN JOURNAL OF THE COMPUTER SOCIETY</t>
  </si>
  <si>
    <t>Modeling; Authorization; Large language models; Medical services; Access control; Filtering; Filters; Smart contracts; Recording; Architecture; AI governance; blockchain; workflow generation; healthcare analytics; access control</t>
  </si>
  <si>
    <t>2644-1268</t>
  </si>
  <si>
    <t>IEEE OPEN J COMP SOC</t>
  </si>
  <si>
    <t>IEEE Open J. Comput. Soc.</t>
  </si>
  <si>
    <t>1377</t>
  </si>
  <si>
    <t>1388</t>
  </si>
  <si>
    <t>10.1109/OJCS.2026.3718448</t>
  </si>
  <si>
    <t>http://dx.doi.org/10.1109/OJCS.2026.3718448</t>
  </si>
  <si>
    <t>Computer Science, Hardware &amp; Architecture; Computer Science, Information Systems; Computer Science, Interdisciplinary Applications; Computer Science, Theory &amp; Methods; Engineering, Electrical &amp; Electronic</t>
  </si>
  <si>
    <t>MS9BH</t>
  </si>
  <si>
    <t>WOS:001850092600002</t>
  </si>
  <si>
    <t>Mirzaei, S; Mao, H; Al-Nima, RRO; Woo, WL</t>
  </si>
  <si>
    <t>Explainable Artificial Intelligence (XAI) evaluation has grown significantly due to its extensive adoption, and the catastrophic consequence of misinterpreting sensitive data, especially in the medical field. However, the multidisciplinary nature of XAI research resulted in diverse scholars possessing significant challenges in designing proper evaluation methods. This paper proposes a novel framework of a three-layered top-down approach on how to arrive at an optimal explainer, accenting the persistent need for consensus in XAI evaluation. This paper also investigates a critical comparative evaluation of explanations in both model agnostic and specific explainers including LIME, SHAP, Anchors, and TabNet, aiming to enhance the adaptability of XAI in a tabular domain. The results demonstrate that TabNet achieved the highest classification recall followed by TabPFN, and XGBoost. Additionally, this paper develops an optimal approach by introducing a novel measure of relative performance loss with emphasis on faithfulness and fidelity of global explanations by quantifying the extent to which a model's capabilities diminish when eliminating topmost features. This addresses a conspicuous gap in the lack of consensus among researchers regarding how global feature importance impacts classification loss, thereby undermining the trust and correctness of such applications. Finally, a practical use case on medical tabular data is provided to concretely illustrate the findings.</t>
  </si>
  <si>
    <t>Mirzaei, SeyedehRoksana; Mao, Hua; Al-Nima, Raid Rafi Omar; Woo, Wai Lok</t>
  </si>
  <si>
    <t>Woo, WL (corresponding author), Northumbria Univ, Dept Comp &amp; Informat Sci, Newcastle Upon Tyne NE1 8ST, England.</t>
  </si>
  <si>
    <t>seyedehroksana.mirzaei@northumbria.ac.uk; raidrafi3@ntu.edu.iq; hua.mao@northumbria.ac.uk; wailok.woo@northumbria.ac.uk</t>
  </si>
  <si>
    <t>Department of Computer and Information Sciences at Northumbria University; Flood and Coastal Innovation Programmes</t>
  </si>
  <si>
    <t>The authors of the submission would like to acknowledge feedback provided by Lucas Franca from the Department of Computer and Information Sciences at Northumbria University. The motivation of this work is part of the New Generation Flood Resilience (NGFR) project supported by the Flood and Coastal Innovation Programmes.</t>
  </si>
  <si>
    <t>[Mirzaei, SeyedehRoksana; Mao, Hua; Woo, Wai Lok] Northumbria Univ, Dept Comp &amp; Informat Sci, Newcastle Upon Tyne NE1 8ST, England; [Al-Nima, Raid Rafi Omar] Northern Tech Univ, Tech Engn Coll Mosul, Mosul 41001, Iraq</t>
  </si>
  <si>
    <t>Northumbria University; Northern Technical University</t>
  </si>
  <si>
    <t>Explainable AI Evaluation: A Top-Down Approach for Selecting Optimal Explanations for Black Box Models</t>
  </si>
  <si>
    <t>XAI; XAI evaluation; explainability; black boxes; explanation criteria; interpretability</t>
  </si>
  <si>
    <t>Al-Nima, Raid/F-7285-2019; Woo, Wai Lok/T-3662-2018</t>
  </si>
  <si>
    <t>Woo, Wai Lok/0000-0002-8698-7605; Mao, Hua/0000-0003-3198-6282</t>
  </si>
  <si>
    <t>JAN 2024</t>
  </si>
  <si>
    <t>10.3390/info15010004</t>
  </si>
  <si>
    <t>http://dx.doi.org/10.3390/info15010004</t>
  </si>
  <si>
    <t>GF4K2</t>
  </si>
  <si>
    <t>WOS:001151235200001</t>
  </si>
  <si>
    <t>Jang, JH; Jo, YY; Kang, S; Son, JM; Lee, HS; Kwon, JM; Lee, MS</t>
  </si>
  <si>
    <t>Generative Counterfactual Explainable Artificial Intelligence (XAI) offers a novel approach to understanding how AI models interpret electrocardiograms (ECGs). Traditional explanation methods focus on highlighting important ECG segments but often fail to clarify why these segments matter or how their alteration affects model predictions. In contrast, the proposed framework explores "what-if" scenarios, generating counterfactual ECGs that increase or decrease a model's predictive values. This approach has the potential to increase clinicians' trust specific changes-such as increased T wave amplitude or PR interval prolongation-influence the model's decisions. Through a series of validation experiments, the framework demonstrates its ability to produce counterfactual ECGs that closely align with established clinical knowledge, including characteristic alterations associated with potassium imbalances and atrial fibrillation. By clearly visualizing how incremental modifications in ECG morphology and rhythm affect artificial intelligence-applied ECG (AI-ECG) predictions, this generative counterfactual method moves beyond static attribution maps and has the potential to increase clinicians' trust in AI-ECG systems. As a result, this approach offers a promising path toward enhancing the explainability and clinical reliability of AI-based tools for cardiovascular diagnostics.</t>
  </si>
  <si>
    <t>Jang, Jong-Hwan; Jo, Yong-Yeon; Kang, Sora; Son, Jeong Min; Lee, Hak Seung; Kwon, Joon-myoung; Lee, Min Sung</t>
  </si>
  <si>
    <t>Lee, MS (corresponding author), Med AI Co Ltd, 38,Yeongdong Daero 85 Gil, Seoul, South Korea.; Lee, MS (corresponding author), Sejong Med Res Inst, Artificial Intelligence &amp; Big Data Res Ctr, Bucheon, South Korea.</t>
  </si>
  <si>
    <t>LYLM85@gmail.com</t>
  </si>
  <si>
    <t>Korea Health Technology R&amp;D Project through the Korea Health Industry Development Institute (KHIDI) - Ministry of Health &amp; Welfare, Republic of Korea [RS-2023-KH134607]</t>
  </si>
  <si>
    <t>Korea Health Technology R&amp;D Project through the Korea Health Industry Development Institute (KHIDI) - Ministry of Health &amp; Welfare, Republic of Korea</t>
  </si>
  <si>
    <t>This research was supported by a grant of the Korea Health Technology R&amp;D Project through the Korea Health Industry Development Institute (KHIDI), funded by the Ministry of Health &amp; Welfare, Republic of Korea (RS-2023-KH134607)</t>
  </si>
  <si>
    <t>[Jang, Jong-Hwan; Jo, Yong-Yeon; Kang, Sora; Son, Jeong Min; Lee, Hak Seung; Kwon, Joon-myoung; Lee, Min Sung] Med AI Co Ltd, 38,Yeongdong Daero 85 Gil, Seoul, South Korea; [Kang, Sora; Son, Jeong Min; Lee, Hak Seung; Kwon, Joon-myoung; Lee, Min Sung] Sejong Med Res Inst, Artificial Intelligence &amp; Big Data Res Ctr, Bucheon, South Korea</t>
  </si>
  <si>
    <t>A novel XAI framework for explainable AI-ECG using generative counterfactual XAI (GCX)</t>
  </si>
  <si>
    <t>AI-ECG; Explainable AI; XAI; Generative counterfactual XAI; Deep learning</t>
  </si>
  <si>
    <t>Lee, Hak Seung/NOF-1563-2025</t>
  </si>
  <si>
    <t>Lee, Hak Seung/0000-0002-2200-6601; Lee, Hak Seung/0000-0002-2200-6601</t>
  </si>
  <si>
    <t>JUL 2 2025</t>
  </si>
  <si>
    <t>23608</t>
  </si>
  <si>
    <t>10.1038/s41598-025-08080-5</t>
  </si>
  <si>
    <t>http://dx.doi.org/10.1038/s41598-025-08080-5</t>
  </si>
  <si>
    <t>4NE4E</t>
  </si>
  <si>
    <t>40604021</t>
  </si>
  <si>
    <t>WOS:001522003700015</t>
  </si>
  <si>
    <t>Nagendran, M; Festor, P; Komorowski, M; Gordon, AC; Faisal, AA</t>
  </si>
  <si>
    <t>We studied clinical AI-supported decision-making as an example of a high-stakes setting in which explainable AI (XAI) has been proposed as useful (by theoretically providing physicians with context for the AI suggestion and thereby helping them to reject unsafe AI recommendations). Here, we used objective neurobehavioural measures (eye-tracking) to see how physicians respond to XAI with N = 19 ICU physicians in a hospital's clinical simulation suite. Prescription decisions were made both pre- and post-reveal of either a safe or unsafe AI recommendation and four different types of simultaneously presented XAI. We used overt visual attention as a marker for where physician mental attention was directed during the simulations. Unsafe AI recommendations attracted significantly greater attention than safe AI recommendations. However, there was no appreciably higher level of attention placed onto any of the four types of explanation during unsafe AI scenarios (i.e. XAI did not appear to 'rescue' decision-makers). Furthermore, self-reported usefulness of explanations by physicians did not correlate with the level of attention they devoted to the explanations reinforcing the notion that using self-reports alone to evaluate XAI tools misses key aspects of the interaction behaviour between human and machine.</t>
  </si>
  <si>
    <t>Nagendran, Myura; Festor, Paul; Komorowski, Matthieu; Gordon, Anthony C.; Faisal, Aldo A.</t>
  </si>
  <si>
    <t>Faisal, AA (corresponding author), Imperial Coll London, UKRI Ctr Doctoral Training AI Healthcare, London, England.; Faisal, AA (corresponding author), Imperial Coll London, Brain &amp; Behav Lab, London, England.; Faisal, AA (corresponding author), Imperial Coll London, Dept Comp, London, England.; Faisal, AA (corresponding author), Univ Bayreuth, Inst Artificial &amp; Human Intelligence, Bayreuth, Germany.</t>
  </si>
  <si>
    <t>a.faisal@imperial.ac.uk</t>
  </si>
  <si>
    <t>RCUK | Engineering and Physical Sciences Research Council (EPSRC); University of York [03/19/07]; Lloyd's Register Foundation through the Assuring Autonomy International Programme [EP/S023283/1]; National Institute for Health Research (NIHR) Imperial Biomedical Research Centre (BRC) [RP-2015-06-018]; NIHR Research Professorship [EP/V025449/1]; UKRI Turing AI Fellowship; Engineering and Physical Sciences Research Council [EP/V025449/1] Funding Source: researchfish; National Institute for Health Research [RP-2015-06-018] Funding Source: researchfish; National Institutes of Health Research (NIHR) [RP-2015-06-018] Funding Source: National Institutes of Health Research (NIHR)</t>
  </si>
  <si>
    <t>RCUK | Engineering and Physical Sciences Research Council (EPSRC) (UK Research &amp; Innovation (UKRI), Engineering &amp; Physical Sciences Research Council (EPSRC)); University of York; Lloyd's Register Foundation through the Assuring Autonomy International Programme; National Institute for Health Research (NIHR) Imperial Biomedical Research Centre (BRC); NIHR Research Professorship; UKRI Turing AI Fellowship (UK Research &amp; Innovation (UKRI)); Engineering and Physical Sciences Research Council (UK Research &amp; Innovation (UKRI), Engineering &amp; Physical Sciences Research Council (EPSRC)); National Institute for Health Research (National Institutes of Health Research (NIHR)); National Institutes of Health Research (NIHR)</t>
  </si>
  <si>
    <t>This work was funded by the University of York and the Lloyd's Register Foundation through the Assuring Autonomy International Programme (Project Reference 03/19/07) and supported by the National Institute for Health Research (NIHR) Imperial Biomedical Research Centre (BRC). M.N. and P.F. are supported by the UKRI CDT in AI for Healthcare, http://ai4health.io (EP/S023283/1). A.C.G. is supported by an NIHR Research Professorship (RP-2015-06-018). A.A.F. is supported by a UKRI Turing AI Fellowship (EP/V025449/1).</t>
  </si>
  <si>
    <t>[Nagendran, Myura; Festor, Paul; Faisal, Aldo A.] Imperial Coll London, UKRI Ctr Doctoral Training AI Healthcare, London, England; [Nagendran, Myura; Komorowski, Matthieu; Gordon, Anthony C.] Imperial Coll London, Div Anaesthet Pain Med &amp; Intens Care, London, England; [Nagendran, Myura; Festor, Paul; Faisal, Aldo A.] Imperial Coll London, Brain &amp; Behav Lab, London, England; [Festor, Paul; Faisal, Aldo A.] Imperial Coll London, Dept Comp, London, England; [Faisal, Aldo A.] Univ Bayreuth, Inst Artificial &amp; Human Intelligence, Bayreuth, Germany</t>
  </si>
  <si>
    <t>Imperial College London; Imperial College London; Imperial College London; Imperial College London; University of Bayreuth</t>
  </si>
  <si>
    <t>Eye tracking insights into physician behaviour with safe and unsafe explainable AI recommendations</t>
  </si>
  <si>
    <t>SIMULATION</t>
  </si>
  <si>
    <t>Gordon, Anthony/A-3472-2012; Faisal, Aldo/A-2367-2009</t>
  </si>
  <si>
    <t>Gordon, Anthony/0000-0002-0419-547X; Komorowski, Matthieu/0000-0003-0559-5747; Faisal, Aldo/0000-0003-0813-7207; Nagendran, Myura/0000-0002-4656-5096</t>
  </si>
  <si>
    <t>AUG 2 2024</t>
  </si>
  <si>
    <t>202</t>
  </si>
  <si>
    <t>10.1038/s41746-024-01200-x</t>
  </si>
  <si>
    <t>http://dx.doi.org/10.1038/s41746-024-01200-x</t>
  </si>
  <si>
    <t>A5E4X</t>
  </si>
  <si>
    <t>39095449</t>
  </si>
  <si>
    <t>WOS:001282760400001</t>
  </si>
  <si>
    <t>Tuysuzoglu, G; Tokmak, ÖK</t>
  </si>
  <si>
    <t>Glioma grading, a critical task in neuro-oncology, plays a pivotal role in treatment planning and prognosis determination. This study investigates the glioma grade prediction performance of machine learning models based on clinical and molecular data, and how it can be improved by data balancing and feature selection methods. Moreover, a probabilistic multi-view learning model (P-MWM) is introduced to predict glioma grading using clinical and molecular features. In order to improve the model interpretability, the Shapley additive explanations (SHAP) method is used for analysing and interpreting the contribution of each feature to the grading. The study's contributions lie in the development of the P-MWM model, leveraging feature selection methods using ANOVA's f-test, addressing imbalanced data issues, using SMOTE and SMOTE-Tomek Links, and improving model interpretability through SHAP. The proposed P-MWM model was noted to enhance the overall model performance, leading to improvement, particularly in the decision tree (DT) model culminating in an accuracy of 86.8918%. The individual logistic regression (LR) model combined with feature selection and data balancing techniques outperformed the other experimental settings by achieving 87.8442% accuracy.</t>
  </si>
  <si>
    <t>Tuysuzoglu, Goksu; Tokmak, Ozge Kart</t>
  </si>
  <si>
    <t>Tokmak, ÖK (corresponding author), Dokuz Eylul Univ, Dept Comp Engn, TR-35390 Izmir, Turkiye.</t>
  </si>
  <si>
    <t>goksu.tuysuzoglu@deu.edu.tr; ozge@cs.deu.edu.tr</t>
  </si>
  <si>
    <t>[Tuysuzoglu, Goksu; Tokmak, Ozge Kart] Dokuz Eylul Univ, Dept Comp Engn, TR-35390 Izmir, Turkiye</t>
  </si>
  <si>
    <t>Dokuz Eylul University</t>
  </si>
  <si>
    <t>Predicting glioma grades: integrating clinical and molecular data with machine learning and explainable AI</t>
  </si>
  <si>
    <t>INTERNATIONAL JOURNAL OF INTELLIGENT ENGINEERING INFORMATICS</t>
  </si>
  <si>
    <t>glioma grading; model interpretability; machine learning; feature selection; imbalanced data handling</t>
  </si>
  <si>
    <t>CENTRAL-NERVOUS-SYSTEM; CLASSIFICATION; TUMORS; BRAIN</t>
  </si>
  <si>
    <t>Tüysüzoğlu, Göksu/HJH-7694-2023; Kart, Özge/HJI-8584-2023</t>
  </si>
  <si>
    <t>1758-8715</t>
  </si>
  <si>
    <t>1758-8723</t>
  </si>
  <si>
    <t>INT J INTELL ENG INF</t>
  </si>
  <si>
    <t>Int. J. Intell. Eng. Inform.</t>
  </si>
  <si>
    <t>10.1504/IJIEI.2024.10065857</t>
  </si>
  <si>
    <t>http://dx.doi.org/10.1504/IJIEI.2024.10065857</t>
  </si>
  <si>
    <t>L0Z9O</t>
  </si>
  <si>
    <t>WOS:001348104400001</t>
  </si>
  <si>
    <t>Kerz, E; Zanwar, S; Qiao, Y; Wiechmann, D</t>
  </si>
  <si>
    <t>Advances in artificial intelligence (AI) in general and Natural Language Processing (NLP) in particular are paving the new way forward for the automated detection and prediction of mental health disorders among the population. Recent research in this area has prioritized predictive accuracy over model interpretability by relying on deep learning methods. However, prioritizing predictive accuracy over model interpretability can result in a lack of transparency in the decision-making process, which is critical in sensitive applications such as healthcare. There is thus a growing need for explainable AI (XAI) approaches to psychiatric diagnosis and prediction. The main aim of this work is to address a gap by conducting a systematic investigation of XAI approaches in the realm of automatic detection of mental disorders from language behavior leveraging textual data from social media. In pursuit of this aim, we perform extensive experiments to evaluate the balance between accuracy and interpretability across predictive mental health models. More specifically, we build BiLSTM models trained on a comprehensive set of human-interpretable features, encompassing syntactic complexity, lexical sophistication, readability, cohesion, stylistics, as well as topics and sentiment/emotions derived from lexicon-based dictionaries to capture multiple dimensions of language production. We conduct extensive feature ablation experiments to determine the most informative feature groups associated with specific mental health conditions. We juxtapose the performance of these models against a "black-box" domain-specific pretrained transformer adapted for mental health applications. To enhance the interpretability of the transformers models, we utilize a multi-task fusion learning framework infusing information from two relevant domains (emotion and personality traits). Moreover, we employ two distinct explanation techniques: the local interpretable model-agnostic explanations (LIME) method and a model-specific self-explaining method (AGRAD). These methods allow us to discern the specific categories of words that the information-infused models rely on when generating predictions. Our proposed approaches are evaluated on two public English benchmark datasets, subsuming five mental health conditions (attention-deficit/hyperactivity disorder, anxiety, bipolar disorder, depression and psychological stress).</t>
  </si>
  <si>
    <t>Kerz, Elma; Zanwar, Sourabh; Qiao, Yu; Wiechmann, Daniel</t>
  </si>
  <si>
    <t>Kerz, E (corresponding author), Rhein Westfal TH Aachen, Dept English &amp; Amer Studies, Aachen, North Rhine Wes, Germany.; Wiechmann, D (corresponding author), Univ Amsterdam, Inst Log Language &amp; Computat, Amsterdam, Netherlands.</t>
  </si>
  <si>
    <t>elma.kerz@ifaar.rwth-aachen.de; d.wiechmann@uva.nl</t>
  </si>
  <si>
    <t>German Research Foundation [315280731]</t>
  </si>
  <si>
    <t>German Research Foundation (German Research Foundation (DFG))</t>
  </si>
  <si>
    <t>This work was supported by the German Research Foundation, under the grant 315280731.</t>
  </si>
  <si>
    <t>[Kerz, Elma; Zanwar, Sourabh; Qiao, Yu] Rhein Westfal TH Aachen, Dept English &amp; Amer Studies, Aachen, North Rhine Wes, Germany; [Wiechmann, Daniel] Univ Amsterdam, Inst Log Language &amp; Computat, Amsterdam, Netherlands</t>
  </si>
  <si>
    <t>RWTH Aachen University; University of Amsterdam</t>
  </si>
  <si>
    <t>Toward explainable AI (XAI) for mental health detection based on language behavior</t>
  </si>
  <si>
    <t>FRONTIERS IN PSYCHIATRY</t>
  </si>
  <si>
    <t>artificial intelligence; explainable AI (XAI); automated mental health detection; machine learning; deep learning; natural language processing; digital NLP-derived biomarkers; digital phenotyping</t>
  </si>
  <si>
    <t>DISORDERS; WORDS</t>
  </si>
  <si>
    <t>1664-0640</t>
  </si>
  <si>
    <t>FRONT PSYCHIATRY</t>
  </si>
  <si>
    <t>Front. Psychiatry</t>
  </si>
  <si>
    <t>DEC 7 2023</t>
  </si>
  <si>
    <t>1219479</t>
  </si>
  <si>
    <t>10.3389/fpsyt.2023.1219479</t>
  </si>
  <si>
    <t>http://dx.doi.org/10.3389/fpsyt.2023.1219479</t>
  </si>
  <si>
    <t>Psychiatry</t>
  </si>
  <si>
    <t>CY5S2</t>
  </si>
  <si>
    <t>38144474</t>
  </si>
  <si>
    <t>WOS:001128811400001</t>
  </si>
  <si>
    <t>Mohanty, PK; Francis, SAJ; Barik, RK; Reddy, KHK; Roy, DS; Saikia, MJ</t>
  </si>
  <si>
    <t>Multi-disease conditions strain the body's defenses, complicating recovery and increasing mortality risk. Therefore, effective concurrent prevention of multiple diseases is essential for mitigating complications and improving overall well-being. Explainable artificial intelligence (XAI) with an advanced multimodal large language model (LLM) can create an interactive system enabling the general public to engage in natural language without any specialized knowledge prerequisites. Counterfactual explanation, an XAI method, offers valuable insights by suggesting adjustments to patient features to minimize disease risks. However, addressing multiple diseases simultaneously poses challenging barriers. This article proposes an interactive multi-disease prevention system that uses Google Gemini Pro, a multimodal LLM, and a non-dominated sorting genetic algorithm, namely NSGA-II, to overcome such problems. This system recommends changes in feature values to concurrently minimize the risk of diseases such as heart attacks and diabetes. The system facilitates personalized feature value selection, significantly reducing disease attack probabilities to as low as possible. Such an approach holds the potential to simultaneously address the unresolved issue of preventing and managing multiple diseases for the general public.</t>
  </si>
  <si>
    <t>Mohanty, Prasant Kumar; Francis, Sharmila Anand John; Barik, Rabindra Kumar; Reddy, K. Hemant Kumar; Roy, Diptendu Sinha; Saikia, Manob Jyoti</t>
  </si>
  <si>
    <t>Saikia, MJ (corresponding author), Univ Memphis, Biomed Sensors &amp; Syst Lab, Memphis, TN 38152 USA.; Saikia, MJ (corresponding author), Univ Memphis, Elect &amp; Comp Engn Dept, Memphis, TN 38152 USA.</t>
  </si>
  <si>
    <t>msaikia@memphis.edu</t>
  </si>
  <si>
    <t>Biomedical Sensors &amp; Systems Lab at the University of Memphis, Memphis, TN, United States</t>
  </si>
  <si>
    <t>This research and article processing charges were funded by the Biomedical Sensors &amp; Systems Lab at the University of Memphis, Memphis, TN, United States. The funder had a role in study design, data collection and analysis, decision to publish, and preparation of the manuscript.</t>
  </si>
  <si>
    <t>[Mohanty, Prasant Kumar; Roy, Diptendu Sinha] Natl Inst Technol Meghalaya, Dept Comp Sci &amp; Engn, Shillong, Meghalaya, India; King Khalid Univ, Dept Comp Sci, Rijal Almaa, Abha, Saudi Arabia; [Barik, Rabindra Kumar] KIIT Deemed Univ, Sch Comp Applicat, Bhubaneswar, Odisha, India; [Reddy, K. Hemant Kumar] VIT AP Univ, Dept Comp Sci &amp; Engn, Amaravati, Andhra Pradesh, India; [Saikia, Manob Jyoti] Univ Memphis, Biomed Sensors &amp; Syst Lab, Memphis, TN 38152 USA; [Saikia, Manob Jyoti] Univ Memphis, Elect &amp; Comp Engn Dept, Memphis, TN 38152 USA</t>
  </si>
  <si>
    <t>National Institute of Technology (NIT System); National Institute of Technology Meghalaya; King Khalid University; Kalinga Institute of Industrial Technology (KIIT); VIT-AP University; University of Memphis; University of Memphis</t>
  </si>
  <si>
    <t>IMPACT: an interactive multi-disease prevention and counterfactual treatment system using explainable AI and a multimodal LLM</t>
  </si>
  <si>
    <t>LLM; Explainable AI; Large language model; NSGA-II; Healthcare; Treatment</t>
  </si>
  <si>
    <t>Barik, Rabindra/G-6004-2014; Anand, Sharmila/L-8560-2019; REDDY, K HEMANT KUMAR/AAD-3894-2022; Saikia, Manob Jyoti/Q-6279-2018; Mohanty, Prasant Kumar/KVZ-1740-2024</t>
  </si>
  <si>
    <t>REDDY, K HEMANT KUMAR/0000-0003-2492-3312; Saikia, Manob Jyoti/0000-0001-6656-4333; Mohanty, Prasant Kumar/0000-0001-5947-2043</t>
  </si>
  <si>
    <t>APR 29 2025</t>
  </si>
  <si>
    <t>e2839</t>
  </si>
  <si>
    <t>10.7717/peerj-cs.2839</t>
  </si>
  <si>
    <t>http://dx.doi.org/10.7717/peerj-cs.2839</t>
  </si>
  <si>
    <t>2EE2K</t>
  </si>
  <si>
    <t>40567730</t>
  </si>
  <si>
    <t>WOS:001480517000001</t>
  </si>
  <si>
    <t>Novielli, P; Baldi, S; Romano, D; Magarelli, M; Diacono, D; Di Bitonto, P; Nannini, G; Di Gloria, L; Bellotti, R; Amedei, A; Tangaro, S</t>
  </si>
  <si>
    <t>The clinical adenoma - carcinoma progression represents a well-established framework for understanding colorectal cancer (CRC) development, although the molecular mechanisms underlying this transition remain only partially understood. Increasing evidence suggests the gut microbiome (GM) as a key modulator of colorectal carcinogenesis, positioning microbial profiling as a promising avenue for noninvasive risk stratification and early detection. In this study, Machine Learning (ML) classifiers integrated with eXplainable Artificial Intelligence (XAI) techniques were employed to identify microbiome-derived biomarkers predictive of CRC and adenomatous lesions. The models were trained on 16S rRNA sequencing data from 453 patients and evaluated through cross-validation, achieving AU-ROC and AU-PRC scores of 0.71 and 0.67, respectively. External validation on an independent Italian cohort ($n = 43$n=43) yielded AU-ROC and AU-PRC scores of 0.70 and 0.89, respectively. XAI-based interpretation revealed consistent microbial signatures across datasets. In detail, taxa belonging to the Fusobacterium and Peptostreptococcus genera were associated with increased CRC risk, whereas the Eubacterium eligens group was identified as a robust negative predictor. Beyond classification, patient-level explanations enabled by XAI facilitated the identification of adenoma subgroups exhibiting microbiome profiles converging toward those of CRC, suggesting the presence of transitional microbial states. Moreover, SHAP-based interaction networks uncovered microbial hubs and inter-species dependencies characterizing high-risk configurations, providing insights into the ecological dynamics of colorectal tumorigenesis. These findings demonstrate the added XAI value in elucidating microbiome interactions, enhancing model interpretability, and supporting biologically informed hypotheses. This integrative, explainable framework highlights the potential of AI-driven microbiome analysis in precision oncology and advances the development of interpretable, noninvasive tools for CRC risk prediction and management.</t>
  </si>
  <si>
    <t>Novielli, Pierfrancesco; Baldi, Simone; Romano, Donato; Magarelli, Michele; Diacono, Domenico; Di Bitonto, Pierpaolo; Nannini, Giulia; Di Gloria, Leandro; Bellotti, Roberto; Amedei, Amedeo; Tangaro, Sabina</t>
  </si>
  <si>
    <t>Amedei, A (corresponding author), Univ Florence, Dept Expt &amp; Clin Med, Largo Brambilla 3, I-50134 Florence, Italy.; Tangaro, S (corresponding author), Univ Bari Aldo Moro, Dept Soil Plant &amp; Food Sci, Via Edoardo Orabona 4, I-70125 Bari, Italy.</t>
  </si>
  <si>
    <t>amedeo.amedei@unifi.it; sabina.tangaro@uniba.it</t>
  </si>
  <si>
    <t>[Novielli, Pierfrancesco; Romano, Donato; Magarelli, Michele; Di Bitonto, Pierpaolo; Tangaro, Sabina] Univ Bari Aldo Moro, Dept Soil Plant &amp; Food Sci, Bari, Italy; [Novielli, Pierfrancesco; Romano, Donato; Diacono, Domenico; Di Bitonto, Pierpaolo; Bellotti, Roberto; Tangaro, Sabina] Natl Inst Nucl Phys, Bari Div, Bari, Italy; [Baldi, Simone; Nannini, Giulia; Amedei, Amedeo] Univ Florence, Dept Expt &amp; Clin Med, Florence, Italy; [Di Gloria, Leandro] Univ Florence, Dept Biomed Expt &amp; Clin Sci Mario Serio, Florence, Italy; [Bellotti, Roberto] Univ Bari Aldo Moro, Interuniv Dept Phys M Merlin, Bari, Italy; [Amedei, Amedeo] Universal Sci Educ &amp; Res Network USERN, Network Immun Infect Malignancy &amp; Autoimmun NIIMA, Florence, Italy; [Amedei, Amedeo] Univ Florence, Microbiome Immun Axis Res Circular Hlth, Lab Congiunto MIA LAB, Florence, Italy</t>
  </si>
  <si>
    <t>Universita degli Studi di Bari Aldo Moro; Istituto Nazionale di Fisica Nucleare (INFN); University of Florence; University of Florence; Universita degli Studi di Bari Aldo Moro; Universal Scientific Education &amp; Research Network (USERN); University of Florence</t>
  </si>
  <si>
    <t>Personalized colorectal cancer risk assessment through explainable AI and Gut microbiome profiling</t>
  </si>
  <si>
    <t>GUT MICROBES</t>
  </si>
  <si>
    <t>Explainable AI; microbiome; colorectal cancer; biomarker; SHAP interaction analysis; risk stratification</t>
  </si>
  <si>
    <t>CARCINOGENESIS; CARCINOMA</t>
  </si>
  <si>
    <t>Novielli, Pierfrancesco/KJC-3148-2024; Amedei, Amedeo/G-5378-2011; Tangaro, Sabina/AAN-6617-2020; Diacono, Domenico/HNR-1850-2023; Di Bitonto, Pierpaolo/HJH-5665-2023; Bellotti, Roberto/HTM-5191-2023; Nannini, Giulia/AHE-9368-2022</t>
  </si>
  <si>
    <t>Novielli, Pierfrancesco/0000-0001-8773-0636; Tangaro, Sabina/0000-0002-1372-3916; Di Bitonto, Pierpaolo/0000-0001-9940-4002</t>
  </si>
  <si>
    <t>1949-0976</t>
  </si>
  <si>
    <t>1949-0984</t>
  </si>
  <si>
    <t>Gut Microbes</t>
  </si>
  <si>
    <t>2543124</t>
  </si>
  <si>
    <t>10.1080/19490976.2025.2543124</t>
  </si>
  <si>
    <t>http://dx.doi.org/10.1080/19490976.2025.2543124</t>
  </si>
  <si>
    <t>Gastroenterology &amp; Hepatology; Microbiology</t>
  </si>
  <si>
    <t>5UP9S</t>
  </si>
  <si>
    <t>40760681</t>
  </si>
  <si>
    <t>WOS:001544723400001</t>
  </si>
  <si>
    <t>Brusseau, J</t>
  </si>
  <si>
    <t>Recent AI ethics has focused on applying abstract principles downward to practice. This paper moves in the other direction. Ethical insights are generated from the lived experiences of AI-designers working on tangible human problems, and then cycled upward to influence theoretical debates surrounding these questions: (1) Should AI as trustworthy be sought through explainability, or accurate performance? (2) Should AI be considered trustworthy at all, or is reliability a preferable aim? (3) Should AI ethics be oriented toward establishing protections for users, or toward catalyzing innovation? Specific answers are less significant than the larger demonstration that AI ethics is currently unbalanced toward theoretical principles, and will benefit from increased exposure to grounded practices and dilemmas.</t>
  </si>
  <si>
    <t>Brusseau, James</t>
  </si>
  <si>
    <t>Brusseau, J (corresponding author), Pace Univ, Philosophy Dept, New York, NY 10038 USA.; Brusseau, J (corresponding author), Univ Trento, Dept Informat Engn &amp; Comp Sci, Signals &amp; Interact Syst Lab, Trento, Italy.</t>
  </si>
  <si>
    <t>jbrusseau@pace.edu</t>
  </si>
  <si>
    <t>[Brusseau, James] Pace Univ, Philosophy Dept, New York, NY 10038 USA; [Brusseau, James] Univ Trento, Dept Informat Engn &amp; Comp Sci, Signals &amp; Interact Syst Lab, Trento, Italy</t>
  </si>
  <si>
    <t>Pace University; University of Trento</t>
  </si>
  <si>
    <t>From the ground truth up: doing AI ethics from practice to principles</t>
  </si>
  <si>
    <t>AI ethics; Trustworthy AI; Philosophy and AI; Healthcare AI; AI case studies</t>
  </si>
  <si>
    <t>1651</t>
  </si>
  <si>
    <t>1657</t>
  </si>
  <si>
    <t>10.1007/s00146-021-01336-4</t>
  </si>
  <si>
    <t>http://dx.doi.org/10.1007/s00146-021-01336-4</t>
  </si>
  <si>
    <t>JAN 2022</t>
  </si>
  <si>
    <t>N1FQ3</t>
  </si>
  <si>
    <t>WOS:000737750800001</t>
  </si>
  <si>
    <t>Zvuloni, E; Almog, R; Glikson, M; Biton, SB; Green, I; Laufer, I; Amir, O; Behar, JA</t>
  </si>
  <si>
    <t>Heart failure (HF) affects 11.8% of adults aged 65 and older, reducing quality of life and longevity. Preventing HF can reduce morbidity and mortality. We hypothesized that artificial intelligence (AI) applied to 24-hour single-lead electrocardiogram (ECG) data could predict the risk of HF within five years. To research this, the Technion-Leumit Holter ECG (TLHE) dataset, including 69,663 recordings from 47,729 patients, collected over 20 years, was used. Our deep learning model, DeepHHF, trained on 24-hour ECG recordings, achieved an area under the receiver operating characteristic curve of 0.80 that outperformed a model using 30-second segments and a clinical score. High-risk individuals identified by DeepHHF had a two-fold chance of hospitalization or death incidents. Explainability analysis showed DeepHHF focused on arrhythmias and heart abnormalities. This study highlights the feasibility of deep learning to model 24-hour continuous ECG data, capturing paroxysmal events essential for reliable risk prediction. Artificial intelligence applied to single-lead Holter ECG is non-invasive, inexpensive, and widely accessible, making it a promising tool for HF risk prediction.</t>
  </si>
  <si>
    <t>Zvuloni, Eran; Almog, Ronit; Glikson, Michael; Biton, Shany Brimer; Green, Ilan; Laufer, Izhar; Amir, Offer; Behar, Joachim A.</t>
  </si>
  <si>
    <t>Zvuloni, E; Behar, JA (corresponding author), Technion IIT, Fac Biomed Engn, Haifa, Israel.</t>
  </si>
  <si>
    <t>eranzvuloni@gmail.com; jbehar@technion.ac.il</t>
  </si>
  <si>
    <t>[Zvuloni, Eran; Almog, Ronit; Biton, Shany Brimer; Behar, Joachim A.] Technion IIT, Fac Biomed Engn, Haifa, Israel; [Almog, Ronit] Rambam Hlth Care Campus, Epidemiol Unit, Haifa, Israel; [Glikson, Michael] Hebrew Univ Jerusalem, Jesselson Integrated Heart Ctr, Shaare Zedek Med Ctr, Fac Med,Eisenberg R&amp;D Author, Jerusalem, Israel; [Green, Ilan; Laufer, Izhar] Leumit Hlth Serv, Tel Aviv, Israel; [Amir, Offer] Hebrew Univ Jerusalem, Heart Inst, Fac Med, Hadassah Med Ctr, Jerusalem, Israel</t>
  </si>
  <si>
    <t>Technion Israel Institute of Technology; Technion Israel Institute of Technology; Rambam Health Care Campus; Hebrew University of Jerusalem; Hebrew University of Jerusalem; Hadassah University Hospital; Hadassah University Medical Center</t>
  </si>
  <si>
    <t>Modeling day-long ECG signals to predict heart failure risk with explainable AI</t>
  </si>
  <si>
    <t>JUN 19 2026</t>
  </si>
  <si>
    <t>486</t>
  </si>
  <si>
    <t>10.1038/s41746-026-02835-8</t>
  </si>
  <si>
    <t>http://dx.doi.org/10.1038/s41746-026-02835-8</t>
  </si>
  <si>
    <t>KD2IX</t>
  </si>
  <si>
    <t>42321372</t>
  </si>
  <si>
    <t>WOS:001804185600001</t>
  </si>
  <si>
    <t>Koozi, H; Engström, J; Friberg, H; Frigyesi, A</t>
  </si>
  <si>
    <t>Background Early identification of acute kidney injury (AKI) in the intensive care unit (ICU) remains challenging. We aimed to identify key predictors of new-onset AKI within 48 h after ICU admission and renal replacement therapy (RRT) need within 7 days, using explainable artificial intelligence (XAI) with eXtreme Gradient Boosting (XGBoost). We also assessed whether XGBoost improved predictive performance. Methods A retrospective cohort study across four ICUs was conducted as part of the SWECRIT biobank project. Blood samples were prospectively obtained at ICU admission and retrospectively analysed. AKI was defined by the Kidney Disease: Improving Global Outcomes (KDIGO) criteria. XAI models were compared with logistic regression models, incorporating emerging biomarkers and routine clinical data at ICU admission. SHapley Additive exPlanations (SHAP) were used to identify key predictors. Discrimination was assessed using the mean area under the receiver operating characteristic curve (AUC). Results The study included 4732 admissions, with 2603 analysed for new-onset AKI and 4716 for RRT. Top predictors of new-onset AKI were urine output, endostatin, baseline creatinine, lactate, and albumin. Top predictors of RRT were creatinine, urine output, endostatin, neutrophil gelatinase-associated lipocalin (NGAL), and the Simplified Acute Physiology Score (SAPS) 3. Several clinically relevant non-linear relationships were revealed. XGBoost outperformed logistic regression for both new-onset AKI (mean AUC 0.76, 95% CI 0.70-0.81 vs. 0.74, 95% CI 0.68-0.81; p &lt; 0.001) and RRT (mean AUC 0.92, 95% CI 0.89-0.95 vs. 0.90, 95% CI 0.87-0.94; p &lt; 0.001). Conclusion XGBoost identified key predictors of early new-onset AKI and RRT need in the ICU, highlighting both emerging (endostatin, NGAL) and established biomarkers (lactate, albumin), alongside known clinical predictors. It also improved predictive accuracy for both outcomes. Further clinical evaluation of these biomarkers and XAI models is warranted.</t>
  </si>
  <si>
    <t>Koozi, Hazem; Engstrom, Jonas; Friberg, Hans; Frigyesi, Attila</t>
  </si>
  <si>
    <t>Koozi, H (corresponding author), Lund Univ, Dept Clin Sci Anaesthesiol &amp; Intens Care, SE-22185 Lund, Sweden.; Koozi, H (corresponding author), Skane Univ Hosp, Dept Anaesthes &amp; Intens Care, SE-29133 Kristianstad, Sweden.</t>
  </si>
  <si>
    <t>jonas.engstrom@med.lu.se; hans.friberg@med.lu.se; hazem.koozi@med.lu.se; attila.frigyesi@med.lu.se</t>
  </si>
  <si>
    <t>Lund University; Kristianstad Hospital; Department of Anaesthesia and Intensive Care; Swedish National Health Service [2022-0226]; Swedish Heart and Lung Foundation [2021-10,233, 2022-0352, 2022-0458]; Hans-Gabriel and Alice Trolle-Wachtmeister Foundation for Medical Research; Regional research support, Region Skane [2022-1284]; Governmental funding of clinical research within the Swedish National Health Service [2022:YF0009, 2022-0075]; Crafoord Foundation [2021-0833]; Lions Skane research grants; Skane University Hospital grants</t>
  </si>
  <si>
    <t>Lund University; Kristianstad Hospital; Department of Anaesthesia and Intensive Care; Swedish National Health Service; Swedish Heart and Lung Foundation (Swedish Heart-Lung Foundation); Hans-Gabriel and Alice Trolle-Wachtmeister Foundation for Medical Research; Regional research support, Region Skane; Governmental funding of clinical research within the Swedish National Health Service; Crafoord Foundation (Crafoord Foundation); Lions Skane research grants; Skane University Hospital grants</t>
  </si>
  <si>
    <t>Open access funding provided by Lund University. HK and JE: Kristianstad Hospital, Department of Anaesthesia and Intensive Care. HF: Regional research support, Region Skane; Government funding of clinical research within the Swedish National Health Service (ALF) #2022-0226; Swedish Heart and Lung Foundation (HLF) #2021-10,233; Hans-Gabriel and Alice Trolle-Wachtmeister Foundation for Medical Research. AF: Regional research support, Region Skane #2022-1284; Governmental funding of clinical research within the Swedish National Health Service (ALF) #2022:YF0009 and #2022-0075; Crafoord Foundation #2021-0833; Lions Skane research grants; Skane University Hospital grants; Swedish Heart and Lung Foundation (HLF) #2022-0352 and #2022-0458.</t>
  </si>
  <si>
    <t>[Koozi, Hazem; Engstrom, Jonas; Friberg, Hans; Frigyesi, Attila] Lund Univ, Dept Clin Sci Anaesthesiol &amp; Intens Care, SE-22185 Lund, Sweden; [Koozi, Hazem; Engstrom, Jonas] Skane Univ Hosp, Dept Anaesthes &amp; Intens Care, SE-29133 Kristianstad, Sweden; [Friberg, Hans] Skane Univ Hosp, Dept Intens &amp; Perioperat Care, SE-20502 Malmo, Sweden; [Frigyesi, Attila] Skane Univ Hosp, Dept Intens &amp; Perioperat Care, SE-22185 Lund, Sweden</t>
  </si>
  <si>
    <t>Lund University; Lund University; Skane University Hospital; Lund University; Skane University Hospital; Lund University; Skane University Hospital</t>
  </si>
  <si>
    <t>Explainable AI identifies key biomarkers for acute kidney injury prediction in the ICU</t>
  </si>
  <si>
    <t>INTENSIVE CARE MEDICINE EXPERIMENTAL</t>
  </si>
  <si>
    <t>Intensive care; Biomarkers; Acute kidney injury; Renal replacement therapy; Artificial intelligence</t>
  </si>
  <si>
    <t>GELATINASE-ASSOCIATED LIPOCALIN; MORTALITY; SEPSIS; CARE</t>
  </si>
  <si>
    <t>Engström, Jonas/MDS-9706-2025</t>
  </si>
  <si>
    <t>Engström, Jonas/0000-0003-1421-3640; Koozi, Hazem/0000-0002-5892-3524</t>
  </si>
  <si>
    <t>2197-425X</t>
  </si>
  <si>
    <t>INTENS CARE MED EXP</t>
  </si>
  <si>
    <t>Int. Care Med. Exp.</t>
  </si>
  <si>
    <t>OCT 22 2025</t>
  </si>
  <si>
    <t>10.1186/s40635-025-00816-x</t>
  </si>
  <si>
    <t>http://dx.doi.org/10.1186/s40635-025-00816-x</t>
  </si>
  <si>
    <t>Critical Care Medicine</t>
  </si>
  <si>
    <t>8XU5H</t>
  </si>
  <si>
    <t>41123857</t>
  </si>
  <si>
    <t>WOS:001599884000002</t>
  </si>
  <si>
    <t>Bouamrane, A; Derdour, M; Bennour, A; Eisa, TAE; Emara, AHM; Al-Sarem, M; Kurdi, NA</t>
  </si>
  <si>
    <t>Background and Objectives: Computer-aided diagnostic systems have achieved remarkable success in the medical field, particularly in diagnosing malignant tumors, and have done so at a rapid pace. However, the generalizability of the results remains a challenge for researchers and decreases the credibility of these models, which represents a point of criticism by physicians and specialists, especially given the sensitivity of the field. This study proposes a novel model based on deep learning to enhance lung cancer diagnosis quality, understandability, and generalizability. Methods: The proposed approach uses five computed tomography (CT) datasets to assess diversity and heterogeneity. Moreover, the mixup augmentation technique was adopted to facilitate the reliance on salient characteristics by combining features and CT scan labels from datasets to reduce their biases and subjectivity, thus improving the model's generalization ability and enhancing its robustness. Curriculum learning was used to train the model, starting with simple sets to learn complicated ones quickly. Results: The proposed approach achieved promising results, with an accuracy of 99.38%; precision, specificity, and area under the curve (AUC) of 100%; sensitivity of 98.76%; and F1-score of 99.37%. Additionally, it scored a 00% false positive rate and only a 1.23% false negative rate. An external dataset was used to further validate the proposed method's effectiveness. The proposed approach achieved optimal results of 100% in all metrics, with 00% false positive and false negative rates. Finally, explainable artificial intelligence (XAI) using Gradient-weighted Class Activation Mapping (Grad-CAM) was employed to better understand the model. Conclusions: This research proposes a robust and interpretable model for lung cancer diagnostics with improved generalizability and validity. Incorporating mixup and curriculum training supported by several datasets underlines its promise for employment as a diagnostic device in the medical industry.</t>
  </si>
  <si>
    <t>Bouamrane, Amira; Derdour, Makhlouf; Bennour, Akram; Eisa, Taiseer Abdalla Elfadil; Emara, Abdel-Hamid M.; Al-Sarem, Mohammed; Kurdi, Neesrin Ali</t>
  </si>
  <si>
    <t>Bennour, A (corresponding author), Echahid Cheikh Larbi Tebessi Univ, LAMIS Lab, Tebessa 12002, Algeria.</t>
  </si>
  <si>
    <t>mohsarem@gmail.com; nkordi@taibahu.edu.sa; amira.bouamrane@univ-oeb.dz; akram.bennour@univ-tebessa.dz; teisa@kku.edu.sa; abdemara@azhar.edu.eg; derdour.makhlouf@univ-oeb.dz</t>
  </si>
  <si>
    <t>Deanship of Research and Graduate Studies at King Khalid University [RGP2/259/45]</t>
  </si>
  <si>
    <t>Deanship of Research and Graduate Studies at King Khalid University</t>
  </si>
  <si>
    <t>The Deanship of Research and Graduate Studies at King Khalid University funded this research through a Large Research Project under grant number RGP2/259/45.</t>
  </si>
  <si>
    <t>[Bouamrane, Amira; Derdour, Makhlouf] Univ Oum El Bouaghi Larbi Benmhidi, LIAOA Lab, Oum El Bouaghi 04000, Algeria; [Bennour, Akram] Echahid Cheikh Larbi Tebessi Univ, LAMIS Lab, Tebessa 12002, Algeria; [Eisa, Taiseer Abdalla Elfadil] King Khalid Univ, Appl Coll, Mahayil 62529, Saudi Arabia; [Emara, Abdel-Hamid M.] Al Azhar Univ, Fac Engn, Dept Comp &amp; Syst Engn, Cairo 11884, Egypt; [Al-Sarem, Mohammed] Aylol Univ Coll, Dept Informat Technol, Yarim 547, Yemen; [Kurdi, Neesrin Ali] Taibah Univ, Coll Comp Sci &amp; Engn, Medina 41477, Saudi Arabia</t>
  </si>
  <si>
    <t>Echahid Cheikh Larbi Tebessi University; King Khalid University; Egyptian Knowledge Bank (EKB); Al Azhar University; Taibah University</t>
  </si>
  <si>
    <t>Toward Robust Lung Cancer Diagnosis: Integrating Multiple CT Datasets, Curriculum Learning, and Explainable AI</t>
  </si>
  <si>
    <t>CT scan; pulmonary nodules; DL; diagnosis; XAI; curriculum learning; mixup</t>
  </si>
  <si>
    <t>IMAGE DATABASE; NODULES; RESOURCE</t>
  </si>
  <si>
    <t>Bennour, Akram/MSX-4869-2025; Kurdi, Neesrin/LTF-1608-2024; Al-Sarem, Mohammed/AAL-1785-2020; Eisa, Taiseer/GWC-1476-2022; makhlouf, derdour/AAE-5097-2019</t>
  </si>
  <si>
    <t>Al-Sarem, Mohammed/0000-0001-7172-8224; Bouamrane, Amira/0000-0002-2570-8377</t>
  </si>
  <si>
    <t>10.3390/diagnostics15010001</t>
  </si>
  <si>
    <t>http://dx.doi.org/10.3390/diagnostics15010001</t>
  </si>
  <si>
    <t>R8M7D</t>
  </si>
  <si>
    <t>39795530</t>
  </si>
  <si>
    <t>WOS:001393926100001</t>
  </si>
  <si>
    <t>Song, T; Jabbar, U; Antohi, VM; Fortea, C; Zlati, ML</t>
  </si>
  <si>
    <t>Autism Spectrum Disorder (ASD) is a neurodevelopmental disorder that is manifested by sensory abnormalities such as hypersensitivity to sound and touch. Autistic children often have problems with communication, social interaction, and behavioral patterns, which are also affected by media or cartoon characters, sometimes leading to unpredictable or dangerous behavior. Timely intervention and detection are important for enhancing development. In this study, we propose a data-driven machine learning (ML) framework to detect early autism in children. The proposed approach starts with overall data processing, which involves the handling of missing values, categorical data processing, and feature selection based on Information Gain and Pearson Correlation to identify the most important attributes. The Synthetic Minority Oversampling Technique (SMOTE) is used to overcome the imbalance between classes. The proposed model uses a stacked ensemble approach in which KNN, RF, SVM, NB, and DT are used as base learners, while Random Forest works as the meta-classifier. Hyper parameter optimization is performed to further optimize the performance of the model. The models are evaluated using accuracy, precision, recall, and F1-score. The experimental outcomes revealed that the proposed ensemble model is more effective than individual classifiers, achieving 99% accuracy on the Toddler Saudi dataset, 98% accuracy on Q-CHAT, and 99% accuracy on the Nao and fused datasets. Moreover, the Shapley explanation method is applied to determine the importance of features and the impact of these features on the model predictions. The results indicate that the proposed framework may assist healthcare workers in autism screening and decision-making, serving as a promising and efficient alternative means of early autism detection.</t>
  </si>
  <si>
    <t>Song, Tao; Jabbar, Usama; Antohi, Valentin Marian; Fortea, Costinela; Zlati, Monica-Laura</t>
  </si>
  <si>
    <t>Jabbar, U (corresponding author), Super Univ, Dept Comp Sci, Lahore 54000, Pakistan.; Antohi, VM (corresponding author), Dunarea De Jos Univ Galati, Dept Business Adm, Galati 800008, Romania.</t>
  </si>
  <si>
    <t>costinela.fortea@yahoo.com; phcs-f21-015@superior.edu.pk; sorici_monica@yahoo.com; valentin_antohi@yahoo.com</t>
  </si>
  <si>
    <t>[Song, Tao] Sichuan Technol &amp; Business Univ, Sch Artificial Intelligence &amp; Elect Engn, Chengdu 611745, Sichuan, Peoples R China; [Jabbar, Usama] Super Univ, Dept Comp Sci, Lahore 54000, Pakistan; [Antohi, Valentin Marian; Fortea, Costinela; Zlati, Monica-Laura] Dunarea De Jos Univ Galati, Dept Business Adm, Galati 800008, Romania; [Fortea, Costinela] Transilvania Univ Brasov, Dept Finance Accounting &amp; Econ Theory, Brasov 500036, Romania</t>
  </si>
  <si>
    <t>Sichuan Technology &amp; Business University; Dunarea De Jos University Galati; Transilvania University of Brasov</t>
  </si>
  <si>
    <t>Enhance autism spectrum disorder detection using stacking ensemble learning model with explainable AI</t>
  </si>
  <si>
    <t>BIODATA MINING</t>
  </si>
  <si>
    <t>Autism spectrum disorder; Machine learning; Feature selection; Explainable AI; Ensemble model</t>
  </si>
  <si>
    <t>PRESCHOOLERS; DIAGNOSIS; SMOTE; BRAIN</t>
  </si>
  <si>
    <t>1756-0381</t>
  </si>
  <si>
    <t>BIODATA MIN</t>
  </si>
  <si>
    <t>BioData Min.</t>
  </si>
  <si>
    <t>JUN 8 2026</t>
  </si>
  <si>
    <t>10.1186/s13040-026-00570-0</t>
  </si>
  <si>
    <t>http://dx.doi.org/10.1186/s13040-026-00570-0</t>
  </si>
  <si>
    <t>Mathematical &amp; Computational Biology</t>
  </si>
  <si>
    <t>MR8KU</t>
  </si>
  <si>
    <t>42260570</t>
  </si>
  <si>
    <t>WOS:001849371200001</t>
  </si>
  <si>
    <t>Agnihotri, A; Kohli, N</t>
  </si>
  <si>
    <t>Introduction The medical field can utilize radiological images with deep learning techniques to diagnose disease more accurately, enabling the diagnosis and classification of a variety of illnesses. In the domain of learning and machine vision, identifying COVID-19 from X-ray images is a developing area. Since the onset of COVID-19, significant work has been performed, yet some issues remain in this field.Methods Firstly, there are limited X-ray scans readily available that are classified as COVID-19 positive, resulting in an unbalanced dataset. Secondly, there is no single set of data, classes, or evaluation protocols for all the work performed. This study proposes a three-class balanced dataset based on two validated publicly available datasets. Deep Convolutional neural networks have the potential to operate with both wide breadth and wide depth, which could raise computing complexity. Additionally, to deal with this issue, an attention-guided ensemble model (AGEM) is proposed to classify normal, pneumonia, and COVID-19 images. First, we propose an Attention Guided-Convolutional Neural Network (AG-CNN) architecture based on transfer learning. We used three pre-trained models i.e., InceptionV3, DenseNet121, and MobileNetV2, as the basis for the proposed AG-CNN, resulting in three attention-guided network architectures i.e., AG-InceptionV3, AG-DenseNet121, and AG-MobileNetV2. Then, we used entropy computation and an uncertainty-based weighting ensemble to classify the images into three classes.Results The performance was evaluated and compared with existing works and 7 pre-trained models i.e., ResNet50, InceptionV3, VGG-16, VGG-19, Densenet-201, Xception, MobileNetV2, on our three-class dataset. An accuracy of 97.35%, recall of 97.35%, specificity of 98.67%, precision of 97.35%, and F1-score of 97.35% demonstrate the superiority of our proposed attention-guided ensemble model over pre-trained models and other existing studies.Conclusion It is noteworthy that for additional analysis, we utilized Grad-CAM or gradient-weighted Class Activation Mapping.</t>
  </si>
  <si>
    <t>Agnihotri, Abhishek; Kohli, Narendra</t>
  </si>
  <si>
    <t>Agnihotri, A (corresponding author), Harcourt Butler Tech Univ, Dept Comp Sci &amp; Engn, Kanpur, India.</t>
  </si>
  <si>
    <t>abhiagni1991@gmail.com</t>
  </si>
  <si>
    <t>[Agnihotri, Abhishek; Kohli, Narendra] Harcourt Butler Tech Univ, Dept Comp Sci &amp; Engn, Kanpur, India</t>
  </si>
  <si>
    <t>Harcourt Butler Technical University (HBTU)</t>
  </si>
  <si>
    <t>(XAI-AGUWEM) Explainable Artificial Intelligence-based Attention Guided Uncertainty Weighting Ensemble Model for the Classification of COVID-19 and Pneumonia in X-ray Medical Images</t>
  </si>
  <si>
    <t>RECENT ADVANCES IN ELECTRICAL &amp; ELECTRONIC ENGINEERING</t>
  </si>
  <si>
    <t>Attention mechanism; ensemble; CNN; transfer learning; entropy; uncertainty weighting; COVID-19; pneumonia</t>
  </si>
  <si>
    <t>DEEP; DIAGNOSIS; FEATURES; LESIONS</t>
  </si>
  <si>
    <t>BENTHAM SCIENCE PUBL LTD</t>
  </si>
  <si>
    <t>SHARJAH</t>
  </si>
  <si>
    <t>EXECUTIVE STE Y-2, PO BOX 7917, SAIF ZONE, 1200 BR SHARJAH, U ARAB EMIRATES</t>
  </si>
  <si>
    <t>2352-0965</t>
  </si>
  <si>
    <t>2352-0973</t>
  </si>
  <si>
    <t>RECENT ADV ELECTR EL</t>
  </si>
  <si>
    <t>Recent. Adv. Electr. Electron. Eng.</t>
  </si>
  <si>
    <t>862</t>
  </si>
  <si>
    <t>884</t>
  </si>
  <si>
    <t>10.2174/0123520965334135241115064754</t>
  </si>
  <si>
    <t>http://dx.doi.org/10.2174/0123520965334135241115064754</t>
  </si>
  <si>
    <t>5UA8U</t>
  </si>
  <si>
    <t>WOS:001544328100006</t>
  </si>
  <si>
    <t>Lamaakal, I; Yahyati, C; Maleh, Y; El Makkaoui, K; Ouahbi, I; El-Latif, AAA; Zomorodi, M; El-Rahiem, BA</t>
  </si>
  <si>
    <t>Human activity recognition (HAR) is essential for applications such as healthcare monitoring, fitness tracking, and smart environments, yet deploying accurate and interpretable models on resource-constrained devices remains challenging. In this paper, we propose XTinyHAR, a lightweight, transformer-based unimodal framework trained via cross-modal knowledge distillation from a multimodal teacher. Our model incorporates temporal positional embeddings and attention rollout to enhance sequential feature extraction and interpretability. Evaluated on UTD-MHAD and MM-Fit, XTinyHAR achieves test accuracies of 98.71% and 98.55% with F1-scores that match these results and Cohen's Kappa above 0.98. The model remains lightweight (2.45 MB) with fast inference (3.1 ms on CPU, 1.2 ms on GPU) and low computational cost (11.3M FLOPs). Extensive ablation studies confirm the contribution of each component, and subject-wise evaluations demonstrate strong generalization across users. These results highlight XTinyHAR's potential as a high-performance, interpretable, and deployable solution for real-time HAR on edge devices. Our codes are available at: https://github.com/Ism-ail11/XTinyHAR</t>
  </si>
  <si>
    <t>Lamaakal, Ismail; Yahyati, Chaymae; Maleh, Yassine; El Makkaoui, Khalid; Ouahbi, Ibrahim; El-Latif, Ahmed A. Abd; Zomorodi, Mariam; El-Rahiem, Basma Abd</t>
  </si>
  <si>
    <t>Maleh, Y (corresponding author), Sultan Moulay Slimane Univ, Lab LaSTI, ENSAK, Khouribga, Morocco.; El-Latif, AAA (corresponding author), Prince Sultan Univ, Coll Comp &amp; Informat Sci, Ctr Excellence Quantum &amp; Intelligent Comp, EIAS Data Sci Lab, Riyadh 11586, Saudi Arabia.; El-Latif, AAA (corresponding author), Menoufia Univ, Fac Sci, Math &amp; Comp Sci Dept, Shibin Al Kawm 32511, Egypt.</t>
  </si>
  <si>
    <t>yassine.maleh@ieee.org; aabdellatif@psu.edu.sa</t>
  </si>
  <si>
    <t>Research, Development, and Innovation Authority (RDIA) [13325-psu-2023-PSNU-R-3-1-EF]</t>
  </si>
  <si>
    <t>Research, Development, and Innovation Authority (RDIA)</t>
  </si>
  <si>
    <t>This paper is derived from a research grant funded by the Research, Development, and Innovation Authority (RDIA) - Kingdom of Saudi Arabia - with grant number (13325-psu-2023-PSNU-R-3-1-EF).</t>
  </si>
  <si>
    <t>[Lamaakal, Ismail; Yahyati, Chaymae; El Makkaoui, Khalid; Ouahbi, Ibrahim] Mohammed Premier Univ, Multidisciplinary Fac Nador, Oujda, Morocco; [Maleh, Yassine] Sultan Moulay Slimane Univ, Lab LaSTI, ENSAK, Khouribga, Morocco; [El-Latif, Ahmed A. Abd] Prince Sultan Univ, Coll Comp &amp; Informat Sci, Ctr Excellence Quantum &amp; Intelligent Comp, EIAS Data Sci Lab, Riyadh 11586, Saudi Arabia; [El-Latif, Ahmed A. Abd; El-Rahiem, Basma Abd] Menoufia Univ, Fac Sci, Math &amp; Comp Sci Dept, Shibin Al Kawm 32511, Egypt; [Zomorodi, Mariam] Cracow Univ Technol, Fac Comp Sci &amp; Telecommun, Dept Comp Sci, Krakow, Poland</t>
  </si>
  <si>
    <t>Mohammed First University of Oujda; Egyptian Knowledge Bank (EKB); Menofia University; Cracow University of Technology</t>
  </si>
  <si>
    <t>A tiny inertial transformer for human activity recognition via multimodal knowledge distillation and explainable AI</t>
  </si>
  <si>
    <t>Zomorodi, Mariam/HPD-8439-2023; Maleh, Yassine/O-6421-2018; LAMAAKAL, ISMAIL/KIH-7015-2024</t>
  </si>
  <si>
    <t>LAMAAKAL, ISMAIL/0009-0009-6532-2573</t>
  </si>
  <si>
    <t>NOV 27 2025</t>
  </si>
  <si>
    <t>42335</t>
  </si>
  <si>
    <t>10.1038/s41598-025-26297-2</t>
  </si>
  <si>
    <t>http://dx.doi.org/10.1038/s41598-025-26297-2</t>
  </si>
  <si>
    <t>J5098</t>
  </si>
  <si>
    <t>41309752</t>
  </si>
  <si>
    <t>WOS:001627622000039</t>
  </si>
  <si>
    <t>Haupt, M; Jolkver, E; Schwerk, A</t>
  </si>
  <si>
    <t>Artificial intelligence (AI) systems for chest X-ray (CXR) interpretation can achieve high standalone diagnostic accuracy, yet limited transparency raises concerns about subgroup disparities. We audited sex-stratified performance and attention patterns in CNN-based pneumonia detection using the RSNA Pneumonia Detection Challenge dataset (26,684 frontal adult CXRs). ImageNet-pretrained InceptionV3 models were trained across five prespecified random seeds and combined as a seed-ensemble. Analyses used a prespecified, fixed, patient-level sex- and label-balanced test set (n = 1,000; 250 pneumonia-positive and 250 pneumonia-negative per sex) and a single validation-derived operating point held constant across sex. Baseline performance was robust (AUROC 0.859 [0.836, 0.881], Brier 0.155 [0.141, 0.169]). Males showed higher discrimination than females (AUROC 0.882 vs 0.837, gap + 0.045 [+ 0.002, + 0.091]) and a lower false-positive rate (FPR gap - 0.073 [- 0.145, - 0.006]). To contextualize disparities, we quantified Grad-CAM attention relative to lung segmentation masks; in-lung activation was lower in females (60.8% vs 64.7%, M - F + 3.9 pp [+ 1.6, + 6.4]). A combined mitigation (group-balanced sampling + adversarial debiasing) preserved performance (AUROC 0.864 [0.843, 0.885]) while reducing AUROC/specificity gaps and attenuating the false-positive disparity. Quantitative explainability can complement fairness auditing and mitigation in medical imaging.</t>
  </si>
  <si>
    <t>Haupt, Matteo; Jolkver, Elena; Schwerk, Anne</t>
  </si>
  <si>
    <t>Haupt, M (corresponding author), Carl Von Ossietzky Univ Oldenburg, Dept Diagnost &amp; Intervent Radiol, Oldenburg, Germany.; Haupt, M (corresponding author), IU Internatl Hsch GmbH, Erfurt, Germany.</t>
  </si>
  <si>
    <t>matteo.haupt@uni-oldenburg.de</t>
  </si>
  <si>
    <t>Carl von Ossietzky Universitt Oldenburg (3092)</t>
  </si>
  <si>
    <t>Open Access funding enabled and organized by Projekt DEAL.</t>
  </si>
  <si>
    <t>[Haupt, Matteo] Carl Von Ossietzky Univ Oldenburg, Dept Diagnost &amp; Intervent Radiol, Oldenburg, Germany; [Haupt, Matteo; Jolkver, Elena; Schwerk, Anne] IU Internatl Hsch GmbH, Erfurt, Germany</t>
  </si>
  <si>
    <t>Carl von Ossietzky Universitat Oldenburg</t>
  </si>
  <si>
    <t>Explainable AI for chest radiographs: sex-stratified fairness auditing in CNN-based pneumonia detection</t>
  </si>
  <si>
    <t>Artificial intelligence; Deep learning; Algorithmic fairness; Explainability (XAI); Chest radiography; Pneumonia</t>
  </si>
  <si>
    <t>YOUDEN INDEX</t>
  </si>
  <si>
    <t>JUL 20 2026</t>
  </si>
  <si>
    <t>22709</t>
  </si>
  <si>
    <t>10.1038/s41598-026-62761-3</t>
  </si>
  <si>
    <t>http://dx.doi.org/10.1038/s41598-026-62761-3</t>
  </si>
  <si>
    <t>LK4JO</t>
  </si>
  <si>
    <t>42477414</t>
  </si>
  <si>
    <t>WOS:001826701100004</t>
  </si>
  <si>
    <t>Al-bakri, FH; Bejuri, WMYW; Al-Andoli, MN; Ikram, RRR; Khor, HM; Mispan, MS; Yunos, NM; Abd Yusof, NF; Fauadi, MHFM; Jaya, ASM; Moketar, NA; Yusop, N; Burhanudin, K; Marindah, TP; Bustamin, A; Zainuddin, Z; Wahyuni, D; Ariffin, UK</t>
  </si>
  <si>
    <t>Background/Objectives: In clinical practice, Explainable AI (XAI) enables non-specialists and general practitioners to make precise diagnoses. Current XAI approaches are limited, as many rely solely on either presenting explanations of clinical data or presenting explanations of MRI, or presenting explanations in unclear ways, reducing their clinical utility. Methods: In this paper, we propose a novel Hybrid Explainable AI (HXAI) framework. This framework uniquely integrates both model-agnostic (SHAP) and model-specific (Grad-CAM) explanation methods within a unified structure for the diagnosis of Alzheimer's disease. The dual-layer explainability constitutes the main originality of this study, as it provides the possibility of interpreting quantitative (at the feature level) and spatial (at the region level) data within a single diagnostic framework. Clinical features (e.g., Mini-Mental State Examination (MMSE), normalized Whole Brain Volume (nWBV), Socioeconomic Status (SES), age) are combined with MRI-derived features extracted via ResNet50, and these features are integrated using ensemble learning with a logistic regression meta-model. Results: The corresponding validation reflects the explainability accuracy of these feature-based explanations, with removal-based tests achieving 83.61% explainability accuracy, confirming the importance of these features. Model-specific information was used to explain MRI predictions, achieving 58.16% explainability accuracy of visual explanations. Conclusions: Our HXAI framework integrates both model-agnostic and model-specific approaches in a structured manner, supported by quantitative metrics. This dual-layer interpretability enhances transparency, improves explainability accuracy, and provides an accurate and interpretable framework for AD diagnosis, bridging the gap between model accuracy and clinical trust.</t>
  </si>
  <si>
    <t>Al-bakri, Fatima Hasan; Bejuri, Wan Mohd Yaakob Wan; Al-Andoli, Mohamed Nasser; Ikram, Raja Rina Raja; Khor, Hui Min; Mispan, Mohd Syafiq; Yunos, Norhazwani Md; Abd Yusof, Noor Fazilla; Fauadi, Muhammad Hafidz Fazli Md; Jaya, Abdul Syukor Mohamad; Moketar, Nor Aiza; Yusop, Noorrezam; Burhanudin, Kharismi; Marindah, Tyanita Puti; Bustamin, Anugrayani; Zainuddin, Zahir; Wahyuni, Deasy; Ariffin, Umi Kalsom</t>
  </si>
  <si>
    <t>Bejuri, WMYW (corresponding author), Univ Teknikal Malaysia Melaka, Fac Informat &amp; Commun Technol, Melaka 76100, Malaysia.; Bejuri, WMYW (corresponding author), Univ Teknikal Malaysia Melaka, Fac Artificial Intelligence &amp; Cyber Secur, Melaka 76100, Malaysia.; Al-Andoli, MN (corresponding author), Multimedia Univ, Fac Comp Informat, Cyberjaya 63100, Malaysia.</t>
  </si>
  <si>
    <t>kharismi@utem.edu.my; anugrayani@unhas.ac.id; deasywahyuni1@gmail.com; hafidz@utem.edu.my; madamumikalsom2025@gmail.com; noorrezam@utem.edu.my; raja.rina@utem.edu.my; elle@utem.edu.my; nor.aiza@utem.edu.my; syukor@utem.edu.my; tyanitaputi@unhas.ac.id; yaakob@utem.edu.my; hmkhor@um.edu.my; forignn@gmail.com; syafiq.mispan@utem.edu.my; wanie@utem.edu.my; nasser.alandoli@mmu.edu.my; zahir@unhas.ac.id</t>
  </si>
  <si>
    <t>Research Management Center (RMC), Multimedia University</t>
  </si>
  <si>
    <t>Research Management Center (RMC), Multimedia University.</t>
  </si>
  <si>
    <t>[Al-bakri, Fatima Hasan; Bejuri, Wan Mohd Yaakob Wan; Ikram, Raja Rina Raja; Moketar, Nor Aiza; Yusop, Noorrezam] Univ Teknikal Malaysia Melaka, Fac Informat &amp; Commun Technol, Melaka 76100, Malaysia; [Bejuri, Wan Mohd Yaakob Wan; Yunos, Norhazwani Md; Abd Yusof, Noor Fazilla; Fauadi, Muhammad Hafidz Fazli Md; Jaya, Abdul Syukor Mohamad; Burhanudin, Kharismi] Univ Teknikal Malaysia Melaka, Fac Artificial Intelligence &amp; Cyber Secur, Melaka 76100, Malaysia; [Al-Andoli, Mohamed Nasser] Multimedia Univ, Fac Comp Informat, Cyberjaya 63100, Malaysia; [Khor, Hui Min] Univ Malaya, Fac Med, Dept Med, Kuala Lumpur 50603, Malaysia; [Mispan, Mohd Syafiq] Univ Teknikal Malaysia Melaka, Fak Teknol Kejuruteraan Elekt &amp; Komputer, Melaka, Malaysia; [Marindah, Tyanita Puti; Bustamin, Anugrayani; Zainuddin, Zahir] Univ Hasanuddin, Fac Engn, Gowa 92171, Indonesia; [Wahyuni, Deasy] Univ Dumai, Fak Ilmu Komputer, Dumai 28811, Riau, Indonesia; [Ariffin, Umi Kalsom] Univ Tunku Abdul Rahman, Lee Kong Chian Fac Engn &amp; Sci, Kajang 43000, Malaysia</t>
  </si>
  <si>
    <t>University Teknikal Malaysia Melaka; Universiti Teknologi Malaysia; Universiti Teknologi Malaysia; University Teknikal Malaysia Melaka; Multimedia University; Universiti Malaya; Universiti Teknologi Malaysia; University Teknikal Malaysia Melaka; Universitas Hasanuddin; Universiti Tunku Abdul Rahman (UTAR)</t>
  </si>
  <si>
    <t>A Hybrid Explainable AI Framework (HXAI) for Accurate and Interpretable Diagnosis of Alzheimer's Disease</t>
  </si>
  <si>
    <t>Alzheimer's disease; explainable AI; ensemble learning; SHAP; Grad-CAM</t>
  </si>
  <si>
    <t>Mispan, Mohd Syafiq/M-9365-2019; Bustamin, Anugrayani/GQQ-6021-2022; MOHAMAD JAYA, ABDUL SYUKOR/AAE-3025-2022; Khor, Hui Min/H-6832-2017; Fauadi, Muhammad/O-2499-2018; Al-Andoli, Mohammed Nasser/HHZ-4050-2022; Abd Yusof, Noor Fazilla/ADL-9933-2022; Moketar, Nor Aiza/AAA-4658-2022; WAN BEJURI, WAN MOHD YA'AKOB/AAZ-8737-2021; Yusop, Noorrezam/GNP-6501-2022; Raja Ikram, Raja Rina/ABC-4335-2022</t>
  </si>
  <si>
    <t>Al-Andoli, Mohammed Nasser/0000-0001-6491-9938; Abd Yusof, Noor Fazilla/0000-0001-6114-3900; Puti, Tyanita/0000-0002-8195-1283; Al-bakri, Fatima/0009-0002-1193-5007; Raja Ikram, Raja Rina/0000-0002-9845-5155</t>
  </si>
  <si>
    <t>DEC 8 2025</t>
  </si>
  <si>
    <t>3118</t>
  </si>
  <si>
    <t>10.3390/diagnostics15243118</t>
  </si>
  <si>
    <t>http://dx.doi.org/10.3390/diagnostics15243118</t>
  </si>
  <si>
    <t>AG2AA</t>
  </si>
  <si>
    <t>41464118</t>
  </si>
  <si>
    <t>WOS:001647369600001</t>
  </si>
  <si>
    <t>Creasman, M; Garcia-Agundez, A; Yazdany, J; Schmajuk, G</t>
  </si>
  <si>
    <t>As AI becomes increasingly embedded in rheumatology research and clinical care, the capacity to improve diagnosis, prognostication, and efficiency remains inseparable from the risk that it may reproduce or amplify existing inequities. Though many medical specialties are vulnerable to bias, rheumatology's issues with health care access, poorly understood pathophysiology, and disease heterogeneity and overlap put our specialty at particular risk. Bias in ML models can arise at every stage of the development and deployment pipeline, from data collection and outcome definition to algorithm design, clinical integration, and post-deployment evolution. Furthermore, many of these mechanisms are subtle, cumulative, and obscured by strong aggregate performance metrics. Bias in clinical AI is usually not the result of a single technical failure, but instead emerges as a consequence of historical, structural, and workflow-driven factors that can be encoded into underlying training data. Addressing these risks requires not only pre-specified normative commitments and deliberate design choices, but also sustained post-deployment surveillance, routine reassessment of performance across subgroups, and mechanisms for timely recalibration or retraining as clinical contexts evolve. As best practices for AI governance in medicine, including rheumatology, continue to evolve, equity must be treated as a foundational principle rather than a secondary consideration. When continuous monitoring is treated as a core requirement rather than an afterthought, ML may not merely mirror inequitable systems of care, but can instead serve as a tool to interrogate, expose, and ultimately reduce disparities in rheumatology.</t>
  </si>
  <si>
    <t>Creasman, Megan; Garcia-Agundez, Augusto; Yazdany, Jinoos; Schmajuk, Gabriela</t>
  </si>
  <si>
    <t>Creasman, M (corresponding author), 400 Parnassus Ave,Floor B1, San Francisco, CA 94143 USA.</t>
  </si>
  <si>
    <t>Megan.creasman@ucsf.edu</t>
  </si>
  <si>
    <t>[Creasman, Megan; Garcia-Agundez, Augusto; Schmajuk, Gabriela] Univ Calif San Francisco, Div Rheumatol, San Francisco, CA USA; [Yazdany, Jinoos] Univ Calif San Francisco, Zuckerberg San Francisco Gen Hosp, Div Rheumatol, San Francisco, CA USA; [Schmajuk, Gabriela] San Francisco VA Hlth Care Syst, San Francisco, CA USA</t>
  </si>
  <si>
    <t>University of California System; University of California San Francisco; University of California System; University of California San Francisco</t>
  </si>
  <si>
    <t>Sources of Bias in Clinical Artificial Intelligence and Applications in Rheumatology</t>
  </si>
  <si>
    <t>RHEUMATIC DISEASE CLINICS OF NORTH AMERICA</t>
  </si>
  <si>
    <t>Bias; Machine-learning; Artificial intelligence; Large language models; Algorithm Rheumatology</t>
  </si>
  <si>
    <t>0889-857X</t>
  </si>
  <si>
    <t>1558-3163</t>
  </si>
  <si>
    <t>RHEUM DIS CLIN N AM</t>
  </si>
  <si>
    <t>Rheum. Dis. Clin. North Am.</t>
  </si>
  <si>
    <t>545</t>
  </si>
  <si>
    <t>558</t>
  </si>
  <si>
    <t>10.1016/j.rdc.2026.03.005</t>
  </si>
  <si>
    <t>http://dx.doi.org/10.1016/j.rdc.2026.03.005</t>
  </si>
  <si>
    <t>Rheumatology</t>
  </si>
  <si>
    <t>LB8IA</t>
  </si>
  <si>
    <t>42409436</t>
  </si>
  <si>
    <t>WOS:001820870500001</t>
  </si>
  <si>
    <t>Özates, ME; Yaman, A; Salami, F; Campos, S; Wolf, SI; Schneider, U</t>
  </si>
  <si>
    <t>Clinical gait analysis is a crucial step for identifying foot disorders and planning surgery. Automating this process is essential for efficiently assessing the substantial amount of gait data. In this study, we explored the potential of state-of-the-art machine learning (ML) and explainable artificial intelligence (XAI) algorithms to automate all various steps involved in gait analysis for six specific foot conditions. To address the complexity of gait data, we manually created new features, followed by recursive feature elimination using Support Vector Machines (SVM) and Random Forests (RF) to eliminate low-variance features. SVM, RF, K-nearest Neighbor (KNN), and Logistic Regression (LREGR) were compared for classification, with a Majority Voting (MV) model combining trained models. KNN and MV achieved mean balanced accuracy, recall, precision, and F1 score of 0.87. All models were interpreted using Local Interpretable Model-agnostic Explanation (LIME) method and the five most relevant features were identified for each foot condition. High success scores indicate a strong relationship between selected features and foot conditions, potentially indicating clinical relevance. The proposed ML pipeline, adaptable for other foot conditions, showcases its potential in aiding experts in foot condition identification and planning surgeries.</t>
  </si>
  <si>
    <t>Oezates, Mustafa Erkam; Yaman, Alper; Salami, Firooz; Campos, Sarah; Wolf, Sebastian I.; Schneider, Urs</t>
  </si>
  <si>
    <t>Yaman, A (corresponding author), Fraunhofer IPA, Nobelstr 12, Stuttgart, Germany.</t>
  </si>
  <si>
    <t>alper.yaman@ipa.fraunhofer.de</t>
  </si>
  <si>
    <t>Federal Ministry of Education and Research of Germany (Bundesministerium fur Bildung und Forschung: BMBF) [01EC1907D]</t>
  </si>
  <si>
    <t>Federal Ministry of Education and Research of Germany (Bundesministerium fur Bildung und Forschung: BMBF) (Federal Ministry of Education &amp; Research (BMBF))</t>
  </si>
  <si>
    <t>This research has been funded by the Federal Ministry of Education and Research of Germany (Bundesministerium fur Bildung und Forschung; BMBF) within the project "3DFOOT" (project number 01EC1907D).</t>
  </si>
  <si>
    <t>[Oezates, Mustafa Erkam; Yaman, Alper; Schneider, Urs] Fraunhofer IPA, Nobelstr 12, Stuttgart, Germany; [Salami, Firooz; Campos, Sarah; Wolf, Sebastian I.] Heidelberg Univ Hosp, Clin Orthoped, Schlierbacher Landstr 200a, D-69118 Heidelberg, Germany</t>
  </si>
  <si>
    <t>Ruprecht Karls University Heidelberg</t>
  </si>
  <si>
    <t>Identification and interpretation of gait analysis features and foot conditions by explainable AI</t>
  </si>
  <si>
    <t>CLASSIFICATION; ARTHROPLASTY; KINEMATICS; PATTERNS</t>
  </si>
  <si>
    <t>OZATES, MUSTAFA ERKAM/LXA-0897-2024</t>
  </si>
  <si>
    <t>Schneider, Urs/0000-0003-2260-0296; OZATES, MUSTAFA ERKAM/0000-0002-7657-2764</t>
  </si>
  <si>
    <t>MAR 12 2024</t>
  </si>
  <si>
    <t>5998</t>
  </si>
  <si>
    <t>10.1038/s41598-024-56656-4</t>
  </si>
  <si>
    <t>http://dx.doi.org/10.1038/s41598-024-56656-4</t>
  </si>
  <si>
    <t>LG3K7</t>
  </si>
  <si>
    <t>38472287</t>
  </si>
  <si>
    <t>WOS:001185588800038</t>
  </si>
  <si>
    <t>She, WJ; Ang, CS; Neimeyer, RA; Burke, LA; Zhang, YH; Jatowt, A; Kawai, Y; Hu, J; Rauterberg, M; Prigerson, HG; Siriaraya, P</t>
  </si>
  <si>
    <t>Losing a loved one through death is known to be one of the most challenging life events. To help the bereaved and their therapists monitor and better understand the factors that contribute to Prolonged Grief Disorder (PGD), we co-designed and studied a web-based explainable AI screening system named "Grief Inquiries Following Tragedy (GIFT)." We used an initial iteration of the system to collect PGD-related data from 611 participants. Using this data, we developed a model that could be used to screen and explain the different factors contributing to PGD. Our results showed that a Random Forest model using Bereavement risk and outcome features performed best in detecting PGD (AUC=0.772), with features such as a negative intepretation of grief and the ability to integrate stressful life events contributing strongly to the model. Afterwards, five grief experts were asked to provide feedback on a mock-up of the results generated by the GIFT model, and discuss the potential value of the explanatory AI model in real-world PGD care. Overall, the grief experts were generally receptive towards using such a tool in a clinical setting and acknowledged the benefit of offering a personalized result to the users based on the explainable AI model. Our results also showed that, in addition to the explainability of the model, the grief experts also preferred a more "empathetic" and "actionable" AI system, especially, when designing for patient end-users.</t>
  </si>
  <si>
    <t>She, Wan Jou; Ang, Chee Siang; Neimeyer, Robert A.; Burke, Laurie A.; Zhang, Yihong; Jatowt, Adam; Kawai, Yukiko; Hu, Jun; Rauterberg, Matthias; Prigerson, Holly G.; Siriaraya, Panote</t>
  </si>
  <si>
    <t>She, WJ (corresponding author), Weill Cornell Med Coll, Dept Med, New York, NY 10065 USA.</t>
  </si>
  <si>
    <t>wjs2004@med.cornell.edu</t>
  </si>
  <si>
    <t>Ministry of Education in Taiwan; Grants-in-Aid for Scientific Research [20H00584] Funding Source: KAKEN</t>
  </si>
  <si>
    <t>Ministry of Education in Taiwan (Ministry of Education, Taiwan); Grants-in-Aid for Scientific Research</t>
  </si>
  <si>
    <t>The authors would like to thank the Ministry of Education in Taiwan for sponsoring the scholarship of studying abroad for the Ph.D. study of Wan Jou She. The authors would also like to appreciate their study participants Madeline Rogers, Dr. Heather Derry-Vick, Carolyn Ng, and Prof. Jin Narumoto for contributing their valuable thoughts to the pilot app.</t>
  </si>
  <si>
    <t>[She, Wan Jou; Prigerson, Holly G.] Weill Cornell Med Coll, Dept Med, New York, NY 10065 USA; [Ang, Chee Siang] Univ Kent, Sch Comp, Canterbury CT2 7NZ, Kent, England; [Neimeyer, Robert A.] Portland Inst Loss &amp; Transit, Portland, OR 97219 USA; [Burke, Laurie A.] Burke Psychol, Portland, OR 97223 USA; [Zhang, Yihong] Osaka Univ, Multimedia Data Engn Lab, Suita, Osaka 5650871, Japan; [Jatowt, Adam] Univ Innsbruck, Digital Sci Ctr, A-6020 Innsbruck, Austria; [Jatowt, Adam] Univ Innsbruck, Dept Comp Sci, A-6020 Innsbruck, Austria; [Kawai, Yukiko] Kyoto Sangyo Univ, Fac Comp Sci &amp; Engn, Kyoto 6038555, Japan; [Kawai, Yukiko] Osaka Univ, Cybermedia Ctr, Ibaraki, Osaka 5670047, Japan; [Hu, Jun; Rauterberg, Matthias] Eindhoven Univ Technol, Ind Design, NL-5612 AZ Eindhoven, Netherlands; [Siriaraya, Panote] Kyoto Inst Technol, Fac Informat &amp; Human Sci, Sakyo Ku, Kyoto 6068585, Japan</t>
  </si>
  <si>
    <t>Cornell University; Weill Cornell Medicine; University of Kent; University of Osaka; University of Innsbruck; University of Innsbruck; Kyoto Sangyo University; University of Osaka; Eindhoven University of Technology; Kyoto Institute of Technology</t>
  </si>
  <si>
    <t>Investigation of a Web-Based Explainable AI Screening for Prolonged Grief Disorder</t>
  </si>
  <si>
    <t>Mental disorders; Mental health; Data models; Stress; Monitoring; Machine learning; Feature extraction; Explainable AI; online screening; prolonged grief disorder</t>
  </si>
  <si>
    <t>INTERNET-BASED INTERVENTION; COMPLICATED GRIEF; POSTTRAUMATIC GROWTH; SOCIAL SUPPORT; COLLEGE-STUDENTS; SENSE-MAKING; BEREAVEMENT; THERAPY; RESILIENCE; VALIDATION</t>
  </si>
  <si>
    <t>Hu, Jun/C-7028-2011; She, Wan Jou/IUM-4909-2023; Jatowt, Adam/AAT-3213-2020; Prigerson, Holly/GWV-3283-2022; Rauterberg, Matthias/M-4466-2014</t>
  </si>
  <si>
    <t>Ang, Chee Siang/0000-0002-1109-9689; Hu, Jun/0000-0003-2714-6264; She, Wan Jou/0000-0002-1549-5777; Jatowt, Adam/0000-0001-7235-0665; Prigerson, Holly/0000-0002-7075-4268; Zhang, Yihong/0000-0002-4758-9911; Rauterberg, Matthias/0000-0002-2596-395X</t>
  </si>
  <si>
    <t>120</t>
  </si>
  <si>
    <t>41164</t>
  </si>
  <si>
    <t>41185</t>
  </si>
  <si>
    <t>10.1109/ACCESS.2022.3163311</t>
  </si>
  <si>
    <t>http://dx.doi.org/10.1109/ACCESS.2022.3163311</t>
  </si>
  <si>
    <t>0U2IZ</t>
  </si>
  <si>
    <t>WOS:000787479900001</t>
  </si>
  <si>
    <t>gold; Green Accepted; Green Submitted; Green Published</t>
  </si>
  <si>
    <t>Ladbury, C; Li, RC; Danesharasteh, A; Ertem, Z; Tam, A; Liu, JS; Hao, CR; Li, RS; McGee, H; Sampath, S; Williams, T; Glaser, S; Khasawneh, M; Liao, ZX; Lee, P; Ryckman, J; Shaikh, P; Amini, A</t>
  </si>
  <si>
    <t>Purpose: Dosimetric predictors of toxicity in patients treated with definitive chemoradiation for locally advanced non-small cell lung cancer are often identified through trial and error. This study used machine learning (ML) and explainable artificial intelligence to empirically characterize dosimetric predictors of toxicity in patients treated as part of a prospective clinical trial.Methods and Materials: A secondary analysis of the Radiation Therapy Oncology Group (RTOG) 0617 trial was performed. Multiple ML models were trained to predict grade &gt;= 3 pulmonary, cardiac, and esophageal toxicities using clinical and dosimet-ric features. Model performance was evaluated using the area under the curve (AUC). The best performing model for each tox-icity was explained using the Shapley Additive Explanation (SHAP) framework; SHAP values were used to identify relevant dosimetric thresholds and were converted to odds ratios (ORs) with confidence intervals (CIs) generated using bootstrapping to obtain quantitative measures of risk. Thresholds were validated using logistic regression.Results: The best-performing models for pulmonary, cardiac, and esophageal toxicities, outperforming logistic regression, were extreme gradient boosting (AUC, 0.739), random forest (AUC, 0.706), and naive Bayes (AUC, 0.721), respectively. For pulmonary toxicity, thresholds of a mean dose &gt;18 Gy (OR, 2.467; 95% CI, 1.049-5.800; P = .038) and lung volume receiving &gt;= 20 Gy (V20) &gt; 37% (OR, 2.722; 95% CI, 1.034-7.163; P = .043) were identified. For esophageal toxicity, thresholds of a mean dose &gt;34 Gy (OR, 4.006; 95% CI, 2.183-7.354; P &lt; .001) and V20 &gt; 37% (OR, 3.725; 95% CI, 1.308-10.603; P = .014) were identified. No significant thresholds were identified for cardiac toxicity.Conclusions: In this data set, ML approaches validated known dosimetric thresholds and outperformed logistic regression at predicting toxicity. Furthermore, using explainable artificial intelligence, clinically useful dosimetric thresholds might be identi-fied and subsequently externally validated. (c) 2023 Elsevier Inc. All rights reserved.</t>
  </si>
  <si>
    <t>Ladbury, Colton; Li, Richard; Danesharasteh, Anseh; Ertem, Zeynep; Tam, Andrew; Liu, Jason; Hao, Claire; Li, Rose; McGee, Heather; Sampath, Sagus; Williams, Terence; Glaser, Scott; Khasawneh, Mohammad; Liao, Zhongxing; Lee, Percy; Ryckman, Jeff; Shaikh, Parvez; Amini, Arya</t>
  </si>
  <si>
    <t>Amini, A (corresponding author), City Hope Natl Med Ctr, Dept Radiat Oncol, Duarte, CA 91010 USA.</t>
  </si>
  <si>
    <t>aamini@coh.org</t>
  </si>
  <si>
    <t>National Cancer Institute (NCI); National Cancer Institute [R00CA256526] Funding Source: NIH RePORTER</t>
  </si>
  <si>
    <t>National Cancer Institute (NCI) (United States Department of Health &amp; Human Services, National Institutes of Health (NIH) - USA, NIH National Cancer Institute (NCI)); National Cancer Institute (United States Department of Health &amp; Human Services, National Institutes of Health (NIH) - USA, NIH National Cancer Institute (NCI))</t>
  </si>
  <si>
    <t>(NCORP) Data Archive of the National Cancer Institute (NCI) . Data were originally collected from clinical trial number NCT00533949, High-Dose or Standard-Dose Radiation Therapy and Chemotherapy With or Without Cetuximab in Treating Patients With Newly Diagnosed Stage III Non-Small Cell Lung Cancer That Cannot Be Removed by Surgery. All analyses and conclusions in this article are the sole responsibility of the authors and do not necessarily reflect the opinions or views of the clinical trial investiga-tors, the NCTN, the NCORP, or the NCI.</t>
  </si>
  <si>
    <t>[Ladbury, Colton; Li, Richard; Tam, Andrew; Liu, Jason; Hao, Claire; Li, Rose; McGee, Heather; Sampath, Sagus; Williams, Terence; Glaser, Scott; Amini, Arya] City Hope Natl Med Ctr, Dept Radiat Oncol, Duarte, CA 91010 USA; [Danesharasteh, Anseh; Ertem, Zeynep; Khasawneh, Mohammad] Partners Hlth Whittier Hosp, Dept Radiat Oncol, Whittier, CA USA; [Liao, Zhongxing] Suny Binghamton, Dept Syst Sci &amp; Ind Engn, Binghamton, NY USA; [Lee, Percy] Univ Texas MD Anderson Canc Ctr, Dept Radiat Oncol, Houston, TX USA; [Ryckman, Jeff] City Hope Orange Cty Lennar Fdn Canc Ctr, Dept Radiat Oncol, Irvine, CA USA; [Ryckman, Jeff] West Virginia Univ Med, Camden Clark Med Ctr, Dept Radiat Oncol, Parkersburg, WV USA; [Shaikh, Parvez] West Virginia Univ, Sch Med, Dept Radiat Oncol, Morgantown, WV USA</t>
  </si>
  <si>
    <t>City of Hope; State University of New York (SUNY) System; Binghamton University, SUNY; University of Texas System; UTMD Anderson Cancer Center; West Virginia University</t>
  </si>
  <si>
    <t>Explainable Artificial Intelligence to Identify Dosimetric Predictors of Toxicity in Patients with Locally Advanced Non-Small Cell Lung Cancer: A Secondary Analysis of RTOG 0617</t>
  </si>
  <si>
    <t>INTERNATIONAL JOURNAL OF RADIATION ONCOLOGY BIOLOGY PHYSICS</t>
  </si>
  <si>
    <t>PNEUMONITIS; RADIOTHERAPY; CONCURRENT; CHEMORADIATION; SURROGATE</t>
  </si>
  <si>
    <t>Ertem, Zeynep/HSE-4155-2023</t>
  </si>
  <si>
    <t>Hao, Claire/0000-0002-5937-5777; Liu, Jason/0000-0003-2287-2320; McGee, Heather/0000-0003-3761-5087; Ryckman, Jeffrey/0000-0003-1092-7021; Ladbury, Colton/0000-0002-2668-3415</t>
  </si>
  <si>
    <t>0360-3016</t>
  </si>
  <si>
    <t>1879-355X</t>
  </si>
  <si>
    <t>INT J RADIAT ONCOL</t>
  </si>
  <si>
    <t>Int. J. Radiat. Oncol. Biol. Phys.</t>
  </si>
  <si>
    <t>DEC 1 2023</t>
  </si>
  <si>
    <t>117</t>
  </si>
  <si>
    <t>1287</t>
  </si>
  <si>
    <t>1296</t>
  </si>
  <si>
    <t>10.1016/j.ijrobp.2023.06.019</t>
  </si>
  <si>
    <t>http://dx.doi.org/10.1016/j.ijrobp.2023.06.019</t>
  </si>
  <si>
    <t>Oncology; Radiology, Nuclear Medicine &amp; Medical Imaging</t>
  </si>
  <si>
    <t>Z8OE5</t>
  </si>
  <si>
    <t>37406826</t>
  </si>
  <si>
    <t>WOS:001114605000001</t>
  </si>
  <si>
    <t>Kaur, D; Uslu, S; Durresi, A</t>
  </si>
  <si>
    <t>The realm of quantum computing is experiencing rapid growth, harnessing the principles of quantum mechanics to exponentially accelerate computations that surpass classical computing capabilities. Such advancements can potentially reshape the landscape of reliable artificial intelligence, particularly in the context of data-intensive, intricate decision-making processes. Diverse trust-oriented AI frameworks have been introduced to address various AI applications. This paper evaluates multiple AI systems focused on trust, compiling observations about their corresponding quantum algorithms. The analysis delves into quantum algorithmic approaches within three key trust-centric AI areas: detecting fraudulent users in social networks, creating diagnostic systems for healthcare, and optimising pathways for trust aggregation in social networks. This study unveils a pivotal observation: quantum algorithms demonstrate diminished time complexity, enhancing trust-based AI applications' expeditiousness.</t>
  </si>
  <si>
    <t>Kaur, Davinder; Uslu, Suleyman; Durresi, Arjan</t>
  </si>
  <si>
    <t>Durresi, A (corresponding author), Indiana Univ Indianapolis, Dept Comp Sci, Indianapolis, IN 46202 USA.</t>
  </si>
  <si>
    <t>suslu@iu.edu; davikaur@iu.edu; adurresi@iu.edu</t>
  </si>
  <si>
    <t>[Kaur, Davinder; Uslu, Suleyman] Indiana Univ Purdue Univ, Dept Comp Sci, Indianapolis, IN USA; [Durresi, Arjan] Indiana Univ Indianapolis, Dept Comp Sci, Indianapolis, IN 46202 USA</t>
  </si>
  <si>
    <t>Purdue University System; Purdue University; Purdue University in Indianapolis; Indiana University System; Indiana University Indianapolis; Indiana University System; Indiana University Indianapolis</t>
  </si>
  <si>
    <t>Quantum algorithms use in trust-centric AI applications</t>
  </si>
  <si>
    <t>INTERNATIONAL JOURNAL OF GRID AND UTILITY COMPUTING</t>
  </si>
  <si>
    <t>quantum algorithms; trustworthy AI</t>
  </si>
  <si>
    <t>Uslu, Suleyman/KVY-0431-2024</t>
  </si>
  <si>
    <t>1741-847X</t>
  </si>
  <si>
    <t>1741-8488</t>
  </si>
  <si>
    <t>INT J GRID UTIL COMP</t>
  </si>
  <si>
    <t>Int. J. Grid Util. Comput.</t>
  </si>
  <si>
    <t>10.1504/IJGUC.2025.145181</t>
  </si>
  <si>
    <t>http://dx.doi.org/10.1504/IJGUC.2025.145181</t>
  </si>
  <si>
    <t>0OV8N</t>
  </si>
  <si>
    <t>WOS:001452487000004</t>
  </si>
  <si>
    <t>Fehr, J; Jaramillo-Gutierrez, G; Oala, L; Gröschel, MI; Bierwirth, M; Balachandran, P; Werneck-Leite, A; Lippert, C</t>
  </si>
  <si>
    <t>Artificial intelligence (AI) offers the potential to support healthcare delivery, but poorly trained or validated algorithms bear risks of harm. Ethical guidelines stated transparency about model development and validation as a requirement for trustworthy AI. Abundant guidance exists to provide transparency through reporting, but poorly reported medical AI tools are common. To close this transparency gap, we developed and piloted a framework to quantify the transparency of medical AI tools with three use cases. Our framework comprises a survey to report on the intended use, training and validation data and processes, ethical considerations, and deployment recommendations. The transparency of each response was scored with either 0, 0.5, or 1 to reflect if the requested information was not, partially, or fully provided. Additionally, we assessed on an analogous three-point scale if the provided responses fulfilled the transparency requirement for a set of trustworthiness criteria from ethical guidelines. The degree of transparency and trustworthiness was calculated on a scale from 0% to 100%. Our assessment of three medical AI use cases pin-pointed reporting gaps and resulted in transparency scores of 67% for two use cases and one with 59%. We report anecdotal evidence that business constraints and limited information from external datasets were major obstacles to providing transparency for the three use cases. The observed transparency gaps also lowered the degree of trustworthiness, indicating compliance gaps with ethical guidelines. All three pilot use cases faced challenges to provide transparency about medical AI tools, but more studies are needed to investigate those in the wider medical AI sector. Applying this framework for an external assessment of transparency may be infeasible if business constraints prevent the disclosure of information. New strategies may be necessary to enable audits of medical AI tools while preserving business secrets.</t>
  </si>
  <si>
    <t>Fehr, Jana; Jaramillo-Gutierrez, Giovanna; Oala, Luis; Groschel, Matthias, I; Bierwirth, Manuel; Balachandran, Pradeep; Werneck-Leite, Alixandro; Lippert, Christoph</t>
  </si>
  <si>
    <t>Fehr, J (corresponding author), Univ Potsdam, Digital Engn Fac, D-14482 Potsdam, Germany.; Fehr, J (corresponding author), Hasso Plattner Inst, Digital Hlth &amp; Machine Learning, D-14482 Potsdam, Germany.</t>
  </si>
  <si>
    <t>jana.fehr@hpi.de</t>
  </si>
  <si>
    <t>Deutsche Forschungsgemeinschaft (DFG, German Research Foundation) [491466077]</t>
  </si>
  <si>
    <t>Deutsche Forschungsgemeinschaft (DFG, German Research Foundation) (German Research Foundation (DFG))</t>
  </si>
  <si>
    <t>Funded by the Deutsche Forschungsgemeinschaft (DFG, German Research Foundation) Projekt nummer 491466077.</t>
  </si>
  <si>
    <t>[Fehr, Jana; Lippert, Christoph] Univ Potsdam, Digital Engn Fac, D-14482 Potsdam, Germany; [Fehr, Jana; Lippert, Christoph] Hasso Plattner Inst, Digital Hlth &amp; Machine Learning, D-14482 Potsdam, Germany; [Jaramillo-Gutierrez, Giovanna] Milan &amp; Associates SRL, B-6960 Manhay, Belgium; [Jaramillo-Gutierrez, Giovanna; Bierwirth, Manuel; Balachandran, Pradeep; Werneck-Leite, Alixandro] ITU WHO Focus Grp AI4H, CH-1211 Geneva, Switzerland; [Oala, Luis] Fraunhofer HHI, Dept Artificial Intelligence, D-10587 Berlin, Germany; [Groschel, Matthias, I] Harvard Med Sch, Dept Biomed Informat, Boston, MA 02115 USA; [Bierwirth, Manuel] Alumnus Goethe Frankfurt Univ, D-60323 Frankfurt, Germany; [Balachandran, Pradeep] Tech Consultant Digital Hlth, Thiruvananthapuram 695010, Kerala, India</t>
  </si>
  <si>
    <t>University of Potsdam; University of Potsdam; Harvard University; Harvard Medical School</t>
  </si>
  <si>
    <t>Piloting a Survey-Based Assessment of Transparency and Trustworthiness with Three Medical AI Tools</t>
  </si>
  <si>
    <t>artificial intelligence for health; quality assessment; transparency; trustworthiness</t>
  </si>
  <si>
    <t>Groeschel, Matthias/AAI-5984-2021; Fehr, Jana/U-5679-2019; Lippert, Christoph/M-2992-2016</t>
  </si>
  <si>
    <t>Fehr, Jana/0000-0001-6183-2044; Gröschel, Matthias I/0000-0002-2509-3034</t>
  </si>
  <si>
    <t>1923</t>
  </si>
  <si>
    <t>10.3390/healthcare10101923</t>
  </si>
  <si>
    <t>http://dx.doi.org/10.3390/healthcare10101923</t>
  </si>
  <si>
    <t>5P0LK</t>
  </si>
  <si>
    <t>36292369</t>
  </si>
  <si>
    <t>WOS:000872853100001</t>
  </si>
  <si>
    <t>Marinkovic, A</t>
  </si>
  <si>
    <t>This paper analyzes the intersection of feminist resistance and anti-gender movements within contemporary media art, with a specific focus on algorithmic bias and bodily autonomy. Through case studies and discourse analysis of three artworks, the paper highlights how the right-wing actors exploit technology to dismantle bodily autonomy through tools such as surveillance, reproductive monitoring and the digital weaponization of meme culture. The analysis addresses three core research questions: How do anti-gender actors exploit digital technologies to enforce oppressive gender norms? In what ways can feminist artworks function as counter-systems to algorithmic bias? What strategies enable effective transnational feminist resistance in digital spaces? Methodologically speaking, our study employs visuresistance), Mary Maggic's Open Source Estrogen (biopolitical hacking), and @the.hormone. monster's meme activism (cultural subversion). Through these cases, the analysis reveals how feminist artists appropriate surveillance tools, medical technologies, and viral media to both expose systemic harms and prototype liberatory alternatives. The primary contribution lies in theorizing feminist media art as a dual-action resistance, simultaneously deconstructing oppressive technologies while building emancipatory infrastructures. The findings demonstrate that such artistic interventions offer concrete pathways to reclaim bodily autonomy from anti-gender techno-politics. The future of bodily autonomy lies in treating data as a tool for collective liberation, demonstrating how feminist media art can fuel large-scale resistance to anti-gender technologies.</t>
  </si>
  <si>
    <t>Marinkovic, Ana</t>
  </si>
  <si>
    <t>Marinkovic, A (corresponding author), Fac Media &amp; Commun, Belgrade, Serbia.</t>
  </si>
  <si>
    <t>anksye@tuta.io</t>
  </si>
  <si>
    <t>[Marinkovic, Ana] Fac Media &amp; Commun, Belgrade, Serbia</t>
  </si>
  <si>
    <t>Feminist Data as Resistance: Algorithmic Bias and Bodily Autonomy in Contemporary Media Art</t>
  </si>
  <si>
    <t>AM JOURNAL OF ART AND MEDIA STUDIES</t>
  </si>
  <si>
    <t>feminist resistance; anti-gender movements; media art; algorithmic bias; bodily autonomy; transnational solidarity</t>
  </si>
  <si>
    <t>, Ana Marinkovic/0009-0007-5562-3140</t>
  </si>
  <si>
    <t>SINGIDUNUM UNIV, FAC MEDIA &amp; COMMUNICATIONS</t>
  </si>
  <si>
    <t>BELGRADE</t>
  </si>
  <si>
    <t>KARADORDEVA 65, BELGRADE, 11000, SERBIA</t>
  </si>
  <si>
    <t>2217-9666</t>
  </si>
  <si>
    <t>2406-1654</t>
  </si>
  <si>
    <t>AM J ART MEDIA STUD</t>
  </si>
  <si>
    <t>Am. J. Art Media Stud.</t>
  </si>
  <si>
    <t>10.25038/am.v0i28.639</t>
  </si>
  <si>
    <t>http://dx.doi.org/10.25038/am.v0i28.639</t>
  </si>
  <si>
    <t>Art</t>
  </si>
  <si>
    <t>P2602</t>
  </si>
  <si>
    <t>WOS:001633404600005</t>
  </si>
  <si>
    <t>Stifanic, J; Stifanic, D; Andelic, N; Car, Z</t>
  </si>
  <si>
    <t>Oral cancer is typically diagnosed through histological examination; however, the primary issue with this type of procedure is tumor heterogeneity, where a subjective aspect of the examination may have a direct effect on the treatment plan for a patient. To reduce inter- and intra-observer variability, artificial intelligence algorithms are often used as computational aids in tumor classification and diagnosis. This research proposes a two-step approach for automatic multiclass grading using oral histopathology images (the first step) and Grad-CAM visualization (the second step) to assist clinicians in diagnosing oral squamous cell carcinoma. The Xception architecture achieved the highest classification values of 0.929 (+/-sigma = 0.087) AUCmacro and 0.942 (+/-sigma = 0.074) AUCmicro. Additionally, Grad-CAM provided visual explanations of the model's predictions by highlighting the precise areas of histopathology images that influenced the model's decision. These results emphasize the potential of integrated AI algorithms in medical diagnostics, offering a more precise, dependable, and effective method for disease analysis.</t>
  </si>
  <si>
    <t>Stifanic, Jelena; Stifanic, Daniel; Andelic, Nikola; Car, Zlatan</t>
  </si>
  <si>
    <t>Stifanic, D (corresponding author), Univ Rijeka, Fac Engn, Vukovarska 58, Rijeka 51000, Croatia.; Stifanic, D (corresponding author), Catholic Univ Croatia, Fac Engn, Ilica 244, Zagreb 10000, Croatia.</t>
  </si>
  <si>
    <t>jelena.stifanic@uniri.hr; daniel.stifanic@uniri.hr; nikola.andjelic@uniri.hr; zlatan.car@unicath.hr</t>
  </si>
  <si>
    <t>Erasmus+ AISE [2023-1-EL01-KA220-SCH-000157157]; CZI 'BrainClock' project [NPOO.C3.2.R3-I104.0089]</t>
  </si>
  <si>
    <t>Erasmus+ AISE; CZI 'BrainClock' project</t>
  </si>
  <si>
    <t>This research was (partly) supported by Erasmus+ AISE, under grant 2023-1-EL01-KA220-SCH-000157157; and by the CZI 'BrainClock' project under grant NPOO.C3.2.R3-I104.0089.</t>
  </si>
  <si>
    <t>[Stifanic, Jelena; Stifanic, Daniel; Andelic, Nikola] Univ Rijeka, Fac Engn, Vukovarska 58, Rijeka 51000, Croatia; [Stifanic, Jelena; Stifanic, Daniel; Car, Zlatan] Catholic Univ Croatia, Fac Engn, Ilica 244, Zagreb 10000, Croatia</t>
  </si>
  <si>
    <t>University of Rijeka</t>
  </si>
  <si>
    <t>Explainable AI for Oral Cancer Diagnosis: Multiclass Classification of Histopathology Images and Grad-CAM Visualization</t>
  </si>
  <si>
    <t>BIOLOGY-BASEL</t>
  </si>
  <si>
    <t>artificial intelligence; explainable deep learning; GRAD-Cam; histopathology images; oral squamous cell carcinoma</t>
  </si>
  <si>
    <t>Car, Zlatan/L-6484-2015; Anđelić, Nikola/Q-9419-2018; Štifanić, Daniel/AAR-5284-2020; Štifanić, Jelena/AAR-5265-2020</t>
  </si>
  <si>
    <t>Anđelić, Nikola/0000-0002-0314-243X; Štifanić, Daniel/0000-0001-9396-2441</t>
  </si>
  <si>
    <t>2079-7737</t>
  </si>
  <si>
    <t>Biology-Basel</t>
  </si>
  <si>
    <t>909</t>
  </si>
  <si>
    <t>10.3390/biology14080909</t>
  </si>
  <si>
    <t>http://dx.doi.org/10.3390/biology14080909</t>
  </si>
  <si>
    <t>Biology</t>
  </si>
  <si>
    <t>Life Sciences &amp; Biomedicine - Other Topics</t>
  </si>
  <si>
    <t>6OB4D</t>
  </si>
  <si>
    <t>40906112</t>
  </si>
  <si>
    <t>WOS:001557948800001</t>
  </si>
  <si>
    <t>Kirchhoff, J; Berns, F; Schieder, C; Schobel, J</t>
  </si>
  <si>
    <t>Artificial intelligence-enabled clinical decision support systems (AI-CDSS) are increasingly embedded in diagnostic and therapeutic workflows, yet evaluation, procurement, and governance often remain anchored in model-centric indicators such as discrimination, calibration, sensitivity, and specificity. These indicators are necessary but insufficient for determining whether a deployed AI-CDSS improves patient-relevant outcomes, clinical workflow, resource use, economic performance, clinician and patient experience, learning, and equity. This article proposes a testable conceptual framework linking the Diagnostic AI Contribution Score (DACS) to outcome-domain prioritization and auditable measurement design. The contribution is theory-building and methodological rather than empirically validating: no new patient-level data were generated or analyzed. We conducted a concept-driven structured narrative synthesis across clinical AI evaluation, clinical decision support, health-services research, value-based care, software measurement, AI governance, and large language model (LLM) deployment. We used the synthesis to derive a DACS-informed framework for selecting outcome domains, specifying exposure-action-outcome linkage, and defining minimum telemetry needed for auditability. The revised framework provides four core outputs: (i) a six-domain taxonomy of outcome metrics for AI-CDSS, separating learning/governance from equity; (ii) a comparison with existing AI evaluation and reporting frameworks to clarify the framework's incremental contribution; (iii) a DACS-to-domain mapping and explicitly illustrative prioritization heuristic, accompanied by a threshold-sensitivity logic; and (iv) a four-step measurement framework with minimum telemetry requirements and clinical implementation guardrails. LLM-specific extensions address provenance and version tracking, human mediation, documentation-quality audits, latency and compute metering, and workflow-mediated effects. We further specify clinical safety considerations including alert fatigue, override patterns by user group, automation bias and diagnostic anchoring, educational effects, de-implementation criteria, fallback workflows, integration with existing quality-management infrastructure, and patient-facing disclosure where appropriate. The proposed framework should be interpreted as a structured, hypothesis-generating model for proportional outcome measurement and governance. Future work should empirically test inter-rater reliability of DACS scoring, validate DACS-to-domain mappings through expert elicitation and prospective deployments, calibrate thresholds across use cases, and evaluate whether standardized telemetry improves attribution, monitoring, and accountability for AI-CDSS.</t>
  </si>
  <si>
    <t>Kirchhoff, Jan; Berns, Fabian; Schieder, Christian; Schobel, Johannes</t>
  </si>
  <si>
    <t>Kirchhoff, J (corresponding author), Neu Ulm Univ Appl Sci, DigiHealth Inst, Neu Ulm, Germany.; Kirchhoff, J (corresponding author), medicalvalues GmbH, Karlsruhe, Germany.</t>
  </si>
  <si>
    <t>jan.kirchhoff@medicalvalues.de</t>
  </si>
  <si>
    <t>[Kirchhoff, Jan; Schobel, Johannes] Neu Ulm Univ Appl Sci, DigiHealth Inst, Neu Ulm, Germany; [Kirchhoff, Jan; Berns, Fabian] medicalvalues GmbH, Karlsruhe, Germany; [Schieder, Christian] OTH Amberg Weiden, Weiden Business Sch, Weiden, Germany</t>
  </si>
  <si>
    <t>A testable framework linking diagnostic AI contribution to outcome measurement in clinical decision support</t>
  </si>
  <si>
    <t>AI governance; artificial intelligence; clinical decision support systems; diagnostic AI contribution score; health informatics; large language models; learning health systems; outcome-based metrics</t>
  </si>
  <si>
    <t>AUTOMATION BIAS; MEDICINE; ALERTS; TIME</t>
  </si>
  <si>
    <t>/ABC-5942-2020</t>
  </si>
  <si>
    <t>JUL 7 2026</t>
  </si>
  <si>
    <t>1871438</t>
  </si>
  <si>
    <t>10.3389/fdgth.2026.1871438</t>
  </si>
  <si>
    <t>http://dx.doi.org/10.3389/fdgth.2026.1871438</t>
  </si>
  <si>
    <t>LI6BQ</t>
  </si>
  <si>
    <t>42483425</t>
  </si>
  <si>
    <t>WOS:001825461000001</t>
  </si>
  <si>
    <t>Gopal, TVV; Ghori, I; Hasan, QA; John, R</t>
  </si>
  <si>
    <t>Valvular heart diseases (VHDs), including mitral regurgitation, aortic stenosis, mitral stenosis, and mitral valve prolapse represent a significant global health burden particularly among older adults. Digital auscultation platforms can transform traditional cardiac assessments that are primarily subjective and clinician-driven into a data-driven diagnostic tool enabling advanced signal processing, feature extraction and machine learning (ML)-based interpretation. This creates new opportunities for early, objective, and precise disease screening, diagnosis, longitudinal monitoring, and personalized clinical decision-making. In this study, we present an explainable ML framework for early detection and precise classification of VHDs using digital auscultation data. Acoustic features extracted from digital auscultation data are used to build ML models on a public dataset followed by validation using clinical hospital data. Shapley additive explanations (SHAP) helps create more understandable models for early detection by pinpointing unique acoustic characteristics of VHD, which enhances the interpretability and accuracy of ML models. The SHAP tree explainer is utilized to improve interpretability and guide feature selection by identifying unique, consistent, and overlapping features relevant to VHDs, providing physiological insights and enhancing model transparency. Among the five models assessed, XGBoost with SHAP stood out as the most reliable, delivering high interpretability and 85% accuracy on the clinical dataset, achieving condition-specific accuracies with minimal variability across different practitioners. By combining predictive performance with explainability, the proposed framework shows high promise in objective screening, early diagnosis, and informed clinical decision-making for VHDs.</t>
  </si>
  <si>
    <t>Gopal, T. V. Vidya; Ghori, Inayathulla; Hasan, Qurratulain Annie; John, Renu</t>
  </si>
  <si>
    <t>John, R (corresponding author), Indian Inst Technol Hyderabad, Dept Biomed Engn, Med Opt &amp; Sensors Lab, Hyderabad, India.</t>
  </si>
  <si>
    <t>renujohn@bme.iith.ac.in</t>
  </si>
  <si>
    <t>Indian Council of Medical Research [ICMR-DHR-CoE-5/3/May 8, 2019/I-MDMS]</t>
  </si>
  <si>
    <t>Indian Council of Medical Research (Indian Council of Medical Research (ICMR))</t>
  </si>
  <si>
    <t>The authors would like to thank Cardiology Department, Kamineni Hospitals, Hyderabad. We acknowledge the Indian Council of Medical Research-Department of Health Research, Medical Device and Diagnostics Mission Secretariat (MDMS), Medical Optics &amp; Sensor Lab, Department of BME, IIT Hyderabad and the Foundation for Center for Healthcare Entrepreneurship (CfHE) for supporting our research.</t>
  </si>
  <si>
    <t>[Gopal, T. V. Vidya; John, Renu] Indian Inst Technol Hyderabad, Dept Biomed Engn, Med Opt &amp; Sensors Lab, Hyderabad, India; [Ghori, Inayathulla] Kamineni Hosp, Dept Cardiol, Hyderabad, India; [Hasan, Qurratulain Annie] Kamineni Inst Med Sci, Dept Genet &amp; Mol Med, Hyderabad, India</t>
  </si>
  <si>
    <t>Indian Institute of Technology System (IIT System); Indian Institute of Technology (IIT) - Hyderabad</t>
  </si>
  <si>
    <t>SHAP-enabled explainable AI framework for clinical interpretation of valvular heart diseases via digital acoustic features</t>
  </si>
  <si>
    <t>MEDICAL ENGINEERING &amp; PHYSICS</t>
  </si>
  <si>
    <t>valvular heart diseases; feature extraction; SHAP analysis; clinical data; machine learning</t>
  </si>
  <si>
    <t>MECHANISMS</t>
  </si>
  <si>
    <t>Hasan, Qais/NUQ-1739-2025</t>
  </si>
  <si>
    <t>1350-4533</t>
  </si>
  <si>
    <t>1873-4030</t>
  </si>
  <si>
    <t>MED ENG PHYS</t>
  </si>
  <si>
    <t>Med. Eng. Phys.</t>
  </si>
  <si>
    <t>147</t>
  </si>
  <si>
    <t>075004</t>
  </si>
  <si>
    <t>10.1088/1873-4030/ae8546</t>
  </si>
  <si>
    <t>http://dx.doi.org/10.1088/1873-4030/ae8546</t>
  </si>
  <si>
    <t>LA3AN</t>
  </si>
  <si>
    <t>42392142</t>
  </si>
  <si>
    <t>WOS:001819835000001</t>
  </si>
  <si>
    <t>Bhattacharyya, S; Pal, U; Chakraborti, T</t>
  </si>
  <si>
    <t>Deep learning based diagnostic AI systems based on medical images are starting to provide similar performance as human experts. However, these data-hungry complex systems are inherently black boxes and therefore slow to be adopted for high-risk applications like healthcare. This problem of lack of transparency is exacerbated in the case of recent large foundation models, which are trained in a self-supervised manner on millions of data points to provide robust generalisation across a range of downstream tasks. The embeddings generated from them happen through a process that is not interpretable, and hence not easily trustable for clinical applications. To address this timely issue, we deploy conformal analysis to quantify the predictive uncertainty of a vision transformer (ViT)-based foundation model across patient demographics with respect to sex, age, and ethnicity for the task of skin lesion classification using several public benchmark datasets. The significant advantage of this method is that conformal analysis is method independent, and it not only provides a coverage guarantee at the population level but also provides an uncertainty score for each individual. This is used to demonstrate the effectiveness of utilizing these embeddings for specialized tasks like diagnostic classification, meanwhile reducing computational costs. Secondly, the public benchmark datasets we used had severe class imbalance in terms of the number of samples in different classes. We used a model-agnostic dynamic F1-score-based sampling during model training, which helped to stabilize the class imbalance. We investigate the effects on uncertainty quantification (UQ) with or without this bias mitigation step. Thus, our results show how this can be used as a fairness metric to evaluate the robustness of the feature embeddings of the foundation model (Google DermFoundation), advancing the trustworthiness and fairness of clinical AI.</t>
  </si>
  <si>
    <t>Bhattacharyya, Swarnava; Pal, Umapada; Chakraborti, Tapabrata</t>
  </si>
  <si>
    <t>Chakraborti, T (corresponding author), Alan Turing Inst, London, England.; Chakraborti, T (corresponding author), UCL, London, England.</t>
  </si>
  <si>
    <t>tchakraborty@turing.ac.uk</t>
  </si>
  <si>
    <t>UCL Biomedical Research Centre</t>
  </si>
  <si>
    <t>T Chakraborti is supported by the Turing-Roche Strategic Partnership and by the UCL Biomedical Research Centre.</t>
  </si>
  <si>
    <t>[Bhattacharyya, Swarnava; Pal, Umapada] Indian Stat Inst, Kolkata, India; [Chakraborti, Tapabrata] Alan Turing Inst, London, England; [Chakraborti, Tapabrata] UCL, London, England</t>
  </si>
  <si>
    <t>Indian Statistical Institute; Indian Statistical Institute Kolkata; Alan Turing Institute; University of London; University College London</t>
  </si>
  <si>
    <t>Conformal uncertainty quantification to evaluate predictive fairness of foundation AI model for skin lesion classes across patient demographics</t>
  </si>
  <si>
    <t>Algorithmic fairness; Vision transformer (ViT); Foundation models; Skin lesion classification; Conformal prediction; Uncertainty quantification; Transparent trustworthy AI; Class imbalance</t>
  </si>
  <si>
    <t>10.1007/s13755-025-00412-z</t>
  </si>
  <si>
    <t>http://dx.doi.org/10.1007/s13755-025-00412-z</t>
  </si>
  <si>
    <t>AG5DR</t>
  </si>
  <si>
    <t>41458068</t>
  </si>
  <si>
    <t>WOS:001647581900001</t>
  </si>
  <si>
    <t>Hassoon, BA; Xiong, SW; Hasson, MA; Abduljabbar, ZA</t>
  </si>
  <si>
    <t>Heart disease remains a significant global health challenge, making accurate early detection essential for effective patient management. Current diagnostic models often struggle with balancing predictive accuracy and interpretability. To address these limitations, this study introduces a novel feature-separated predictive framework that explicitly divides the UCI heart disease dataset into two clinically coherent subsets: Primary Clinical Physiological Indicators and Secondary Clinical Diagnostic Indicators. A dual-channel architecture is employed, wherein the primary subset is processed via an ensemble of XGBoost and SVM classifiers, and the secondary subset is analyzed through a Deep Neural Network (DNN) enhanced with attention mechanisms. The separated channels' outputs are subsequently integrated through a specialized fusion layer, harnessing the complementary strengths of diverse clinical features. Explainable AI (XAI) methodologies, specifically SHAP and LIME, are utilized to provide robust interpretability at both global and local prediction stages. The proposed approach achieves remarkable predictive performance (Accuracy: 98.80%, Precision: 100%, Recall: 97.59%, F1: 98.72%), while significantly enhancing model transparency and clinical interpretability. This innovative combination of structured clinical data categorization, dual-channel modelling, and explainability offers substantial promise for improving clinical decision-making, personalized patient care, and broader acceptance of AI-driven diagnostic systems.</t>
  </si>
  <si>
    <t>Hassoon, Basheer A.; Xiong, Shengwu; Hasson, Mushtaq A.; Abduljabbar, Zaid Ameen</t>
  </si>
  <si>
    <t>Xiong, SW (corresponding author), Wuhan Coll, Interdisciplinary Artificial Intelligence Res Inst, Wuhan, Peoples R China.</t>
  </si>
  <si>
    <t>xiongsw@whut.edu.cn</t>
  </si>
  <si>
    <t>[Hassoon, Basheer A.] Wuhan Univ Technol, Sanya Sci &amp; Educ Innovat Pk, Sanya, Peoples R China; [Xiong, Shengwu] Wuhan Coll, Interdisciplinary Artificial Intelligence Res Inst, Wuhan, Peoples R China; [Hassoon, Basheer A.; Hasson, Mushtaq A.; Abduljabbar, Zaid Ameen] Univ Basrah, Coll Educ Pure Sci, Dept Comp Sci, Basrah, Iraq; [Abduljabbar, Zaid Ameen] Aimam Univ Coll, Dept Business Management, Balad, Iraq</t>
  </si>
  <si>
    <t>Wuhan University of Technology; Wuhan College; University of Basrah</t>
  </si>
  <si>
    <t>Heart disease diagnosis via a feature-separated dual-channel integrated model of machine learning, deep Learning, and explainable AI</t>
  </si>
  <si>
    <t>Heart disease diagnosis; Feature separation; Dual-channel architecture; Explainable artificial intelligence (XAI); Ensemble learning</t>
  </si>
  <si>
    <t>A. Hassoon, Basheer/OAL-1055-2025; Hasson, Mushtaq/AAL-2123-2021; Abduljabbar, Zaid Ameen/W-4390-2019</t>
  </si>
  <si>
    <t>A. Hassoon, Basheer/0009-0007-0419-4278</t>
  </si>
  <si>
    <t>OCT 1 2026</t>
  </si>
  <si>
    <t>125</t>
  </si>
  <si>
    <t>110743</t>
  </si>
  <si>
    <t>10.1016/j.bspc.2026.110743</t>
  </si>
  <si>
    <t>http://dx.doi.org/10.1016/j.bspc.2026.110743</t>
  </si>
  <si>
    <t>JO9EM</t>
  </si>
  <si>
    <t>WOS:001794481200001</t>
  </si>
  <si>
    <t>Moulaei, K; Afrash, MR; Parvin, M; Shadnia, S; Rahimi, M; Mostafazadeh, B; Evini, PET; Sabet, B; Vahabi, SM; Soheili, A; Fathy, M; Kazemi, A; Khani, S; Mortazavi, SM; Hosseini, SM</t>
  </si>
  <si>
    <t>The need for intubation in methanol-poisoned patients, if not predicted in time, can lead to irreparable complications and even death. Artificial intelligence (AI) techniques like machine learning (ML) and deep learning (DL) greatly aid in accurately predicting intubation needs for methanol-poisoned patients. So, our study aims to assess Explainable Artificial Intelligence (XAI) for predicting intubation necessity in methanol-poisoned patients, comparing deep learning and machine learning models. This study analyzed a dataset of 897 patient records from Loghman Hakim Hospital in Tehran, Iran, encompassing cases of methanol poisoning, including those requiring intubation (202 cases) and those not requiring it (695 cases). Eight established ML (SVM, XGB, DT, RF) and DL (DNN, FNN, LSTM, CNN) models were used. Techniques such as tenfold cross-validation and hyperparameter tuning were applied to prevent overfitting. The study also focused on interpretability through SHAP and LIME methods. Model performance was evaluated based on accuracy, specificity, sensitivity, F1-score, and ROC curve metrics. Among DL models, LSTM showed superior performance in accuracy (94.0%), sensitivity (99.0%), specificity (94.0%), and F1-score (97.0%). CNN led in ROC with 78.0%. For ML models, RF excelled in accuracy (97.0%) and specificity (100%), followed by XGB with sensitivity (99.37%), F1-score (98.27%), and ROC (96.08%). Overall, RF and XGB outperformed other models, with accuracy (97.0%) and specificity (100%) for RF, and sensitivity (99.37%), F1-score (98.27%), and ROC (96.08%) for XGB. ML models surpassed DL models across all metrics, with accuracies from 93.0% to 97.0% for DL and 93.0% to 99.0% for ML. Sensitivities ranged from 98.0% to 99.37% for DL and 93.0% to 99.0% for ML. DL models achieved specificities from 78.0% to 94.0%, while ML models ranged from 93.0% to 100%. F1-scores for DL were between 93.0% and 97.0%, and for ML between 96.0% and 98.27%. DL models scored ROC between 68.0% and 78.0%, while ML models ranged from 84.0% to 96.08%. Key features for predicting intubation necessity include GCS at admission, ICU admission, age, longer folic acid therapy duration, elevated BUN and AST levels, VBG_HCO3 at initial record, and hemodialysis presence. This study as the showcases XAI's effectiveness in predicting intubation necessity in methanol-poisoned patients. ML models, particularly RF and XGB, outperform DL counterparts, underscoring their potential for clinical decision-making.</t>
  </si>
  <si>
    <t>Moulaei, Khadijeh; Afrash, Mohammad Reza; Parvin, Mohammad; Shadnia, Shahin; Rahimi, Mitra; Mostafazadeh, Babak; Evini, Peyman Erfan Talab; Sabet, Babak; Vahabi, Seyed Mohammad; Soheili, Amirali; Fathy, Mobin; Kazemi, Arya; Khani, Sina; Mortazavi, Seyed Mohammad; Hosseini, Sayed Masoud</t>
  </si>
  <si>
    <t>Hosseini, SM (corresponding author), Shahid Beheshti Univ Med Sci, Loghman Hakim Hosp, Toxicol Res Ctr, Excellence Ctr Clin Toxicol,Dept Clin Toxicol, Tehran, Iran.</t>
  </si>
  <si>
    <t>hoseinim902@gmail.com</t>
  </si>
  <si>
    <t>[Moulaei, Khadijeh] Ilam Univ Med Sci, Sch Paramed, Dept Hlth Informat Technol, Ilam, Iran; [Afrash, Mohammad Reza; Sabet, Babak] Smart Univ Med Sci, Dept Artificial Intelligence, Tehran, Iran; [Parvin, Mohammad] Auburn Univ, Dept Ind &amp; Syst Engn, Auburn, AL USA; [Shadnia, Shahin; Rahimi, Mitra; Mostafazadeh, Babak; Evini, Peyman Erfan Talab; Hosseini, Sayed Masoud] Shahid Beheshti Univ Med Sci, Loghman Hakim Hosp, Toxicol Res Ctr, Excellence Ctr Clin Toxicol,Dept Clin Toxicol, Tehran, Iran; [Sabet, Babak] Shahid Beheshti Univ Med Sci, Fac Med, Dept Surg, Tehran, Iran; [Vahabi, Seyed Mohammad; Fathy, Mobin] Univ Tehran Med Sci, Sch Med, Tehran, Iran; [Fathy, Mobin; Kazemi, Arya; Khani, Sina; Mortazavi, Seyed Mohammad] Shahid Beheshti Univ Med Sci, Sch Rehabil, Students Res Comm, Tehran, Iran; [Soheili, Amirali] Iran Univ Med Sci, Rajaie Cardiovasc Med &amp; Res Ctr, Tehran, Iran</t>
  </si>
  <si>
    <t>Auburn University System; Auburn University; Shahid Beheshti University Medical Sciences; Shahid Beheshti University Medical Sciences; Tehran University of Medical Sciences; Shahid Beheshti University Medical Sciences; Iran University of Medical Sciences</t>
  </si>
  <si>
    <t>Explainable artificial intelligence (XAI) for predicting the need for intubation in methanol-poisoned patients: a study comparing deep and machine learning models</t>
  </si>
  <si>
    <t>Explainable artificial intelligence (XAI); Predict; Intubation; Methanol; Deep learning; Machine learning</t>
  </si>
  <si>
    <t>Shadnia, Shahin/C-8741-2016; Parvin, Mohammad/LOE-3275-2024; Mostafazadeh, Babak/AAH-5222-2019; Hosseini, Sayed/ABL-6401-2022; Moulaei, Khadijeh/ACI-5103-2022; Erfan Talab Evini, Peyman/A-4824-2019</t>
  </si>
  <si>
    <t>Shadnia, Shahin/0000-0002-9401-0781; Parvin, Mohammad/0009-0007-3117-7019; Vahabi, Seyed Mohammad/0000-0003-4736-6803; Fathy, Mobin/0000-0001-6624-2342; Kazemi, Arya/0009-0001-5461-4118</t>
  </si>
  <si>
    <t>JUL 8 2024</t>
  </si>
  <si>
    <t>15751</t>
  </si>
  <si>
    <t>10.1038/s41598-024-66481-4</t>
  </si>
  <si>
    <t>http://dx.doi.org/10.1038/s41598-024-66481-4</t>
  </si>
  <si>
    <t>YV1V5</t>
  </si>
  <si>
    <t>38977750</t>
  </si>
  <si>
    <t>WOS:001271178000086</t>
  </si>
  <si>
    <t>Barzegar, M; Rostami, H; Sanati, A; Afshoon, R; Kosari, A; Keshavarz, A</t>
  </si>
  <si>
    <t>Chest X-rays are among the most used diagnostic methods worldwide. However, interpreting these images remains a complex and time-consuming task. This work addresses the challenge of automated chest X-ray report generation by leveraging recent advances in vision-language models (VLMs) and proposing a novel framework that integrates prompt-guided supervision and shortcut bias mitigation techniques into a finetuned VLM (BLIP) to enhance both the accuracy and trustworthiness of generated medical reports. Methods for enhancing text coherence and mitigating shortcut bias in VLMs are investigated in this work using pathological prompts and generative approaches, without modifying the model architecture or requiring multi-objective training, approaches that have been largely overlooked in the existing literature. Pathological labels are used as natural language prompts to guide language modeling and improve the model's robustness through curriculum learning by introducing controlled label noise during training. To mitigate shortcut bias, where spurious visual-textual correlations (e.g., support devices) may mislead the model, a multi-modal bias mitigation strategy is proposed in which image artifacts are removed using a generative diffusion model and the corresponding texts are refined using a large language model, thereby achieving more causally grounded representations. Experiments are conducted on the newly released CheXpert Plus dataset, demonstrating improvements in report quality and robustness. Experiments conducted on the test set demonstrated improvements over the baseline by 15.5% in ROUGE-L, 20% in METEOR, 29% in RadGraph, 44% in 1/RadCliQ, and 16.8%-34.5% in BLEU metrics. Furthermore, our multi-modal shortcut bias mitigation method improves clinical coherency of the generated reports, while shifting the focus of the model toward more relevant regions in the image. The findings contribute to the development of safer and more trustworthy AI systems in radiology, offering a scalable strategy for enhancing vision-language models. The source code is publicly available at https: //github.com/mbrz97/CXR-Image-Captioning.</t>
  </si>
  <si>
    <t>Barzegar, Mohammad; Rostami, Habib; Sanati, Amir; Afshoon, Rezvan; Kosari, Abolghasem; Keshavarz, Ahmad</t>
  </si>
  <si>
    <t>Rostami, H (corresponding author), Persian Gulf Univ, Artificial Intelligence &amp; Intelligent Healthcare L, Artificial Intelligence &amp; Data Min Res Grp, ICT Res Inst,Fac Intelligent Syst Engn &amp; Data Sci, Bushehr 7516913817, Iran.</t>
  </si>
  <si>
    <t>a.kosari@bpums.ac.ir; a.keshavarz@pgu.ac.ir; mramirsanati@gmail.com; habib@pgu.ac.ir; barzegar102@gmail.com; rafshoon@uni-osnabrueck.de</t>
  </si>
  <si>
    <t>[Barzegar, Mohammad; Rostami, Habib; Sanati, Amir] Persian Gulf Univ, Fac Intelligent Syst Engn &amp; Data Sci, Comp Engn Dept, Bushehr 7516913817, Iran; [Barzegar, Mohammad; Rostami, Habib; Sanati, Amir; Afshoon, Rezvan] Persian Gulf Univ, Artificial Intelligence &amp; Intelligent Healthcare L, Artificial Intelligence &amp; Data Min Res Grp, ICT Res Inst,Fac Intelligent Syst Engn &amp; Data Sci, Bushehr 7516913817, Iran; [Afshoon, Rezvan] Univ Osnabruck, Inst Cognit Sci, D-49074 Osnabruck, Germany; [Kosari, Abolghasem] Persian Gulf Martyrs Hosp, Radiol Dept, Bushehr 7518759577, Iran; [Keshavarz, Ahmad] Persian Gulf Univ, Fac Intelligent Syst Engn &amp; Data Sci, Elect Engn Dept, Bushehr 7516913817, Iran; [Keshavarz, Ahmad] Persian Gulf Univ, ICT Res Inst, Fac Intelligent Syst Engn &amp; Data Sci, IoT &amp; Signal Proc Res Grp, Bushehr 7516913817, Iran</t>
  </si>
  <si>
    <t>Persian Gulf University; Persian Gulf University; University Osnabruck; Persian Gulf University; Persian Gulf University</t>
  </si>
  <si>
    <t>Enhancing chest X-ray report generation with pathology-guided prompts and vision-language shortcut bias mitigation</t>
  </si>
  <si>
    <t>Image captioning; Vision-language models; Chest X-ray; Medical image analysis; Trustworthy AI</t>
  </si>
  <si>
    <t>Rostami, habib Rostami/G-5904-2018; Keshavarz, Ahmad/G-7030-2018</t>
  </si>
  <si>
    <t>110173</t>
  </si>
  <si>
    <t>10.1016/j.bspc.2026.110173</t>
  </si>
  <si>
    <t>http://dx.doi.org/10.1016/j.bspc.2026.110173</t>
  </si>
  <si>
    <t>GC3ME</t>
  </si>
  <si>
    <t>WOS:001733013600001</t>
  </si>
  <si>
    <t>Wang, XR; Long, ZW; Zhu, BR; Cao, Y; Tang, HF; He, K; Zhang, S</t>
  </si>
  <si>
    <t>Large language models (LLMs) have demonstrated remarkable capabilities in natural language understanding and reasoning. However, their real-world applicability in high-stakes medical assessments remains underexplored, particularly in non-English contexts. This study aims to evaluate the performance of DeepSeek-R1 and ChatGPT-4o on the Chinese National Medical Licensing Examination (NMLE), a comprehensive benchmark of medical knowledge and clinical reasoning. We evaluated the performance of ChatGPT-4o and DeepSeek-R1 on the Chinese National Medical Licensing Examination (2019-2021) using question-level binary accuracy (correct = 1, incorrect = 0) as the outcome. A generalized linear mixed model (GLMM) with a binomial distribution and logit link was used to examine fixed effects of model type, year, and subject unit, including their interactions, while accounting for random intercepts across questions. Post hoc pairwise comparisons were conducted to assess differences across model-year interactions. DeepSeek-R1 significantly outperformed ChatGPT-4o overall (beta = - 1.829, p &lt; 0.001). Temporal analysis revealed a significant decline in ChatGPT-4o's accuracy from 2019 to 2021 (p &lt; 0.05), whereas DeepSeek-R1 appeared to maintain a more stable performance. Subject-wise, Unit 3 showed the highest accuracy (beta = 0.344, p = 0.001) compared to Unit 1. A significant interaction in 2020 (beta = - 0.567, p = 0.009) indicated an amplified performance gap between the two models. These results highlight the importance of model selection and domain adaptation. Further investigation is needed to account for potential confounding factors, such as variations in question difficulty or language biases over time, which could also influence these trends. This longitudinal evaluation highlights the potential and limitations of LLMs in medical licensing contexts. While current models demonstrate promising results, further fine-tuning is necessary for clinical applicability. The NMLE offers a robust benchmark for future development of trustworthy AI-assisted medical decision support tools in non-English settings.</t>
  </si>
  <si>
    <t>Wang, Xinran; Long, Ziwen; Zhu, Boran; Cao, Yan; Tang, Hanfei; He, Ke; Zhang, Shu</t>
  </si>
  <si>
    <t>Zhang, S (corresponding author), Fudan Univ, Shanghai Canc Ctr, Dept Surg, Shanghai, Peoples R China.; Zhang, S (corresponding author), Fudan Univ, Shanghai Med Coll, Dept Oncol, Shanghai, Peoples R China.; He, K (corresponding author), Fudan Univ, Shanghai Canc Ctr, Dept Educ &amp; Students Affairs, Shanghai, Peoples R China.; Zhang, S (corresponding author), City Univ Hong Kong, Dept Publ Hlth, Hong Kong, Peoples R China.</t>
  </si>
  <si>
    <t>superdrzhang@yeah.net; heke@fudan.edu.cn</t>
  </si>
  <si>
    <t>Shanghai Municipal Health Commission [2024WF03]; China Health Law Society [YF25-Q12]</t>
  </si>
  <si>
    <t>Shanghai Municipal Health Commission; China Health Law Society</t>
  </si>
  <si>
    <t>This research is funded by the Shanghai Municipal Health Commission (2024WF03), Shanghai Association of Chinese Integrative Medicine(2025-SQ-24),Sichuan Medical Law Research Center and the China Health Law Society (YF25-Q12).</t>
  </si>
  <si>
    <t>[Wang, Xinran; Zhang, Shu] Fudan Univ, Shanghai Canc Ctr, Dept Surg, Shanghai, Peoples R China; [Long, Ziwen] Fudan Univ, Shanghai Canc Ctr, Dept Gastr Surg, Shanghai 200032, Peoples R China; [Long, Ziwen; Zhang, Shu] Fudan Univ, Shanghai Med Coll, Dept Oncol, Shanghai, Peoples R China; [Zhu, Boran] Nanjing Univ Chinese Med, Sch Chinese Med, Nanjing, Peoples R China; [Cao, Yan] Shanghai Univ Tradit Chinese Med, Party Comm Off, Shuguang Hosp, Shanghai, Peoples R China; [Tang, Hanfei] Zhongshan Hosp, Dept Vasc Surg, Shanghai 200032, Peoples R China; [He, Ke] Fudan Univ, Shanghai Canc Ctr, Dept Educ &amp; Students Affairs, Shanghai, Peoples R China; [Wang, Xinran; Zhang, Shu] City Univ Hong Kong, Dept Publ Hlth, Hong Kong, Peoples R China</t>
  </si>
  <si>
    <t>Fudan University; Fudan University; Fudan University; Nanjing University of Chinese Medicine; Shanghai University of Traditional Chinese Medicine; Fudan University; Fudan University; City University of Hong Kong</t>
  </si>
  <si>
    <t>Evaluation of DeepSeek-R1 and ChatGPT-4o on the Chinese national medical licensing examination: a multi-year comparative study</t>
  </si>
  <si>
    <t>Artificial intelligence; Deepseek-R1; ChatGPT-4o; LLMs; Chinese national medical licensing examination; Medical student</t>
  </si>
  <si>
    <t>JAN 12 2026</t>
  </si>
  <si>
    <t>2237</t>
  </si>
  <si>
    <t>10.1038/s41598-025-31874-6</t>
  </si>
  <si>
    <t>http://dx.doi.org/10.1038/s41598-025-31874-6</t>
  </si>
  <si>
    <t>CG8YW</t>
  </si>
  <si>
    <t>41526606</t>
  </si>
  <si>
    <t>WOS:001665490800001</t>
  </si>
  <si>
    <t>Ahmed, MM; Hossain, MM; Islam, MR; Ali, MS; Al Noman Nafi, A; Ahmed, MF; Ahmed, KM; Miah, MS; Rahman, MM; Niu, MB; Islam, MK</t>
  </si>
  <si>
    <t>Brain tumor, a leading cause of uncontrolled cell growth in the central nervous system, presents substantial challenges in medical diagnosis and treatment. Early and accurate detection is essential for effective intervention. This study aims to enhance the detection and classification of brain tumors in Magnetic Resonance Imaging (MRI) scans using an innovative framework combining Vision Transformer (ViT) and Gated Recurrent Unit (GRU) models. We utilized primary MRI data from Bangabandhu Sheikh Mujib Medical College Hospital (BSMMCH) in Faridpur, Bangladesh. Our hybrid ViT-GRU model extracts essential features via ViT and identifies relationships between these features using GRU, addressing class imbalance and outperforming existing diagnostic methods. We extensively processed the dataset, and then trained the model using various optimizers (SGD, Adam, AdamW) and evaluated through rigorous 10-fold cross-validation. Additionally, we incorporated Explainable Artificial Intelligence (XAI) techniques-Attention Map, SHAP, and LIME-to enhance the interpretability of the model's predictions. For the primary dataset BrTMHD-2023, the ViT-GRU model achieved precision, recall, and F1-score metrics of 97%. The highest accuracies obtained with SGD, Adam, and AdamW optimizers were 81.66%, 96.56%, and 98.97%, respectively. Our model outperformed existing Transfer Learning models by 1.26%, as validated through comparative analysis and cross-validation. The proposed model also shows excellent performances with another Brain Tumor Kaggle Dataset outperforming the existing research done on the same dataset with 96.08% accuracy. The proposed ViT-GRU framework significantly improves the detection and classification of brain tumors in MRI scans. The integration of XAI techniques enhances the model's transparency and reliability, fostering trust among clinicians and facilitating clinical application. Future work will expand the dataset and apply findings to real-time diagnostic devices, advancing the field.</t>
  </si>
  <si>
    <t>Ahmed, Md. Mahfuz; Hossain, Md. Maruf; Islam, Md. Rakibul; Ali, Md. Shahin; Al Noman Nafi, Abdullah; Ahmed, Md. Faisal; Ahmed, Kazi Mowdud; Miah, Md. Sipon; Rahman, Md. Mahbubur; Niu, Mingbo; Islam, Md. Khairul</t>
  </si>
  <si>
    <t>Niu, MB (corresponding author), Changan Univ, Shaanxi Intl Innovat Ctr Transportat Energy Inform, Xian 710064, Peoples R China.</t>
  </si>
  <si>
    <t>ivr.niu@chd.edu.cn</t>
  </si>
  <si>
    <t>The Innovation Creative Center Project of Shaanxi Province [Kushtia-7003]; Bio-Imaging Research Lab, Department of Biomedical Engineering, Islamic University</t>
  </si>
  <si>
    <t>The Innovation Creative Center Project of Shaanxi Province; Bio-Imaging Research Lab, Department of Biomedical Engineering, Islamic University</t>
  </si>
  <si>
    <t>We would like to acknowledge the support provided by the Bio-Imaging Research Lab, Department of Biomedical Engineering, Islamic University, Kushtia-7003, Bangladesh, in carrying out our research successfully.</t>
  </si>
  <si>
    <t>[Ahmed, Md. Mahfuz; Miah, Md. Sipon; Niu, Mingbo] Changan Univ, Shaanxi Intl Innovat Ctr Transportat Energy Inform, Xian 710064, Peoples R China; [Ahmed, Md. Mahfuz; Hossain, Md. Maruf; Ali, Md. Shahin; Islam, Md. Khairul] Islamic Univ, Dept Biomed Engn, Kushtia 7003, Bangladesh; [Ahmed, Md. Mahfuz; Hossain, Md. Maruf; Islam, Md. Rakibul; Ali, Md. Shahin; Islam, Md. Khairul] Islamic Univ, Bioimaging Res Lab, Kushtia 7003, Bangladesh; [Islam, Md. Rakibul; Al Noman Nafi, Abdullah; Ahmed, Kazi Mowdud; Miah, Md. Sipon; Rahman, Md. Mahbubur] Islamic Univ, Dept Informat &amp; Commun Technol, Kushtia 7003, Bangladesh; [Ahmed, Md. Faisal] Ship Int Hosp, Dhaka 1230, Bangladesh; [Miah, Md. Sipon] Islamic Univ, Wireless Commun Machine Learning WCML Lab, Kushtia 7003, Bangladesh; [Islam, Md. Rakibul] Northern Univ Bangladesh, Dept Comp Sci &amp; Engn, Dhaka 1230, Bangladesh</t>
  </si>
  <si>
    <t>Chang'an University; Islamic University; Islamic University; Islamic University; Islamic University</t>
  </si>
  <si>
    <t>Brain tumor detection and classification in MRI using hybrid ViT and GRU model with explainable AI in Southern Bangladesh</t>
  </si>
  <si>
    <t>Brain tumor; Deep learning; Pre-processing; ViT-GRU; Explainable Artificial Intelligence; Attention map</t>
  </si>
  <si>
    <t>IMAGES; SEGMENTATION; FUSION</t>
  </si>
  <si>
    <t>Ali, Md Shahin/AEV-7853-2022; Hossain, Maruf/LLL-2956-2024; Islam, Khairul/AGF-7094-2022; Rahman, Mahbubur/AAX-4756-2020; Miah, Sipon/AAK-5397-2020</t>
  </si>
  <si>
    <t>Hossain, Maruf/0000-0002-9371-6328; Islam, Khairul/0000-0002-6973-1536; , Mahfuz Ahmed/0009-0003-6122-2651; Islam, Rakibul/0000-0003-0162-7617; Miah, Sipon/0000-0002-6986-1517</t>
  </si>
  <si>
    <t>22797</t>
  </si>
  <si>
    <t>10.1038/s41598-024-71893-3</t>
  </si>
  <si>
    <t>http://dx.doi.org/10.1038/s41598-024-71893-3</t>
  </si>
  <si>
    <t>I2S3I</t>
  </si>
  <si>
    <t>39354009</t>
  </si>
  <si>
    <t>WOS:001328801300019</t>
  </si>
  <si>
    <t>Gao, Y; Ding, DW</t>
  </si>
  <si>
    <t>Deep learning (DL) has achieved unprecedented success in precisely diagnosing dermatological lesions. However, increasing concerns over diagnostic unfairness across different demographic subgroups in DL algorithms raise issues of ethical violations and healthcare inequity. Due to limited access to the internal workings of DL algorithms, post-processing methods are widely regarded as efficient techniques for fairness enhancements in DL-based predictions. However, these methods often come at the cost of accuracy, and research exploring their application to medical images remains limited. To address these issues, we propose FADiaFrame, an innovative post-processing framework designed to enhance both fairness and accuracy in DL-based diagnosis of dermatological lesions. Specifically, our uncertainty-aware gating calibration mechanism in FADiaFrame identifies and calibrates untrustworthy samples, thereby enhancing diagnostic fairness, accuracy, and trustworthiness. Furthermore, we integrate this mechanism with an optimal transport method to further enhance group fairness. Extensive experiments on real-world datasets demonstrate that FADiaFrame outperforms existing post-processing methods in terms of both fairness and accuracy. Notably, FADiaFrame preserves diagnostic accuracy while achieving significant gains in fairness compared to pre-trained baseline models. Among all baselines, MedCLIP, with FADiaFrame, shows the most substantial improvement for the age-sensitive attribute, with accuracy increasing by 3.34% and demographic parity rising by 10.60%. Our results suggest that FADiaFrame provides universal applicability across diverse DL models for medical image diagnosis, ensuring both fair and accurate diagnosis across a wide range of devices and deployment contexts.</t>
  </si>
  <si>
    <t>Gao, Yu; Ding, Da-Wei</t>
  </si>
  <si>
    <t>Ding, DW (corresponding author), Univ Sci &amp; Technol Beijing, Sch Automat &amp; Elect Engn, Beijing 100083, Peoples R China.; Ding, DW (corresponding author), Minist Educ, Key Lab Knowledge Automat Ind Proc, Beijing 100083, Peoples R China.</t>
  </si>
  <si>
    <t>dingdawei@ustb.edu.cn; 17888835725@163.com</t>
  </si>
  <si>
    <t>National Natural Science Foundation of China [62273035]</t>
  </si>
  <si>
    <t>This work was supported by the National Natural Science Foundation of China under Grant 62273035.</t>
  </si>
  <si>
    <t>[Gao, Yu; Ding, Da-Wei] Univ Sci &amp; Technol Beijing, Sch Automat &amp; Elect Engn, Beijing 100083, Peoples R China; [Gao, Yu] Chongqing Med Univ, Coll Basic Med, Clin Pathol Lab Pathol Diagnost Ctr, Dept Pathol, Yuzhong 400016, Chongqing, Peoples R China; [Gao, Yu] Chongqing Med Univ, Mol Med Diagnost &amp; Testing Ctr, Yuzhong 400016, Chongqing, Peoples R China; [Gao, Yu] BGI Res, Chongqing 401329, Peoples R China; [Ding, Da-Wei] Minist Educ, Key Lab Knowledge Automat Ind Proc, Beijing 100083, Peoples R China</t>
  </si>
  <si>
    <t>University of Science &amp; Technology Beijing; Chongqing Medical University; Chongqing Medical University</t>
  </si>
  <si>
    <t>FADiaFrame: Improving Fairness and Accuracy of Deep Learning-Based Diagnosis for Dermatological Lesions via a Novel Post-Processing Framework</t>
  </si>
  <si>
    <t>IEEE TRANSACTIONS ON CIRCUITS AND SYSTEMS FOR VIDEO TECHNOLOGY</t>
  </si>
  <si>
    <t>Accuracy; Medical diagnostic imaging; Calibration; Lesions; Head; Artificial intelligence; Training; Medical services; Vectors; Skin; Fairness; deep learning; trustworthy AI; dermatological lesions; post-processing</t>
  </si>
  <si>
    <t>FUSION</t>
  </si>
  <si>
    <t>1051-8215</t>
  </si>
  <si>
    <t>1558-2205</t>
  </si>
  <si>
    <t>IEEE T CIRC SYST VID</t>
  </si>
  <si>
    <t>IEEE Trans. Circuits Syst. Video Technol.</t>
  </si>
  <si>
    <t>2259</t>
  </si>
  <si>
    <t>2272</t>
  </si>
  <si>
    <t>10.1109/TCSVT.2025.3603409</t>
  </si>
  <si>
    <t>http://dx.doi.org/10.1109/TCSVT.2025.3603409</t>
  </si>
  <si>
    <t>DN1XU</t>
  </si>
  <si>
    <t>WOS:001687411500038</t>
  </si>
  <si>
    <t>Rhagini, A; Thilagamani, S</t>
  </si>
  <si>
    <t>The present paper proposes an integrated breast cancer diagnosis that includes ML, DL, and Explanatory AI methods using the Breast Cancer Wisconsin (Diagnostic) Data Set. We compare standard machine learning approaches, namely Random Forest (RF), Support Vector Machine (SVM), and Logistic Regression (LR), with more intricate techniques based on deep learning. Although ML models help understand the problem, a DL model may be more appropriate when the data's dimensionality and complexity are huge. Addressing these limitations, we present a new Hybrid Explainable Attention Mechanism (HEAM) for DL models that utilise attention performance. This method is used in CNNS with saliency maps and Grad-CAM methods to provide clinical users with attention on parts of the input that the model is based upon in its predictions, such as characteristics of cell nuclei in images. Using the Breast Cancer Wisconsin dataset, the novel deep learning model with HEAM enhancement is tested against traditional ML models concerning breast cancer classification. The findings of this investigation provide evidence that HEAM not only boosts the prediction accuracy by 99.5% but also enhances the model by allowing for the provision of sound and visual attention that explicates the prediction made, thereby improving the clinical relevance of the model.</t>
  </si>
  <si>
    <t>Rhagini, A.; Thilagamani, S.</t>
  </si>
  <si>
    <t>Rhagini, A (corresponding author), M Kumarasamy Coll Engn, Dept Comp Sci &amp; Engn, Karur 639113, India.</t>
  </si>
  <si>
    <t>rhagini@gmail.com; sthilagamani@gmail.com</t>
  </si>
  <si>
    <t>[Rhagini, A.] M Kumarasamy Coll Engn, Dept Comp Sci &amp; Engn, Karur 639113, India; [Thilagamani, S.] Easwari Engn Coll, Dept Comp Sci &amp; Engn, Chennai 600089, Tamil Nadu, India</t>
  </si>
  <si>
    <t>M.Kumarasamy College of Engineering; Easwari Engineering College</t>
  </si>
  <si>
    <t>Integration of Explainable AI with Deep Learning for Breast Cancer Prediction and Interpretability</t>
  </si>
  <si>
    <t>INFORMATION TECHNOLOGY AND CONTROL</t>
  </si>
  <si>
    <t>Breast Cancer; Explainable AI; Convolutional Neural Network; Shapley Additive exPlanations; Hybrid Explainable Attention Mechanism</t>
  </si>
  <si>
    <t>KAUNAS UNIV TECHNOLOGY</t>
  </si>
  <si>
    <t>KAUNAS</t>
  </si>
  <si>
    <t>KAUNAS UNIV TECHNOL, DEPT ELECTRONICS ENGINEERING, STUDENTU STR 50, KAUNAS, LT-51368, LITHUANIA</t>
  </si>
  <si>
    <t>1392-124X</t>
  </si>
  <si>
    <t>INF TECHNOL CONTROL</t>
  </si>
  <si>
    <t>Inf. Technol. Control</t>
  </si>
  <si>
    <t>560</t>
  </si>
  <si>
    <t>575</t>
  </si>
  <si>
    <t>10.5755/j01.itc.54.2.39443</t>
  </si>
  <si>
    <t>http://dx.doi.org/10.5755/j01.itc.54.2.39443</t>
  </si>
  <si>
    <t>Automation &amp; Control Systems; Computer Science, Artificial Intelligence; Computer Science, Information Systems</t>
  </si>
  <si>
    <t>Automation &amp; Control Systems; Computer Science</t>
  </si>
  <si>
    <t>9VK8C</t>
  </si>
  <si>
    <t>WOS:001615962900001</t>
  </si>
  <si>
    <t>Nalela, P; Rao, DP; Rao, PV</t>
  </si>
  <si>
    <t>Background: Metastatic cancer remains one of the leading causes of cancer-related mortality worldwide. Yet, the prediction of survivability in this population remains limited by heterogeneous clinical presentations and high-dimensional molecular features. Advances in machine learning (ML) provide an opportunity to integrate diverse patient-and tumor-level factors into explainable predictive ML models. Leveraging large real-world datasets and modern ML techniques can enable improved risk stratification and precision oncology. Objective: This study aimed to develop and interpret ML models for predicting overall survival in patients with metastatic cancer using the Memorial Sloan Kettering-Metastatic (MSK-MET) dataset and to identify key prognostic biomarkers through explainable artificial intelligence techniques. Methods: We performed a retrospective analysis of the MSK-MET cohort, comprising 25,775 patients across 27 tumor types. After data cleaning and balancing, 20,338 patients were included. Overall survival was defined as deceased versus living at last follow-up. Five classifiers (extreme gradient boosting [XGBoost], logistic regression, random forest, decision tree, and naive Bayes) weretrained using an 80/20 stratified split and optimized via grid search with 5-fold cross-validation. Model performance was assessed using accuracy, area under the curve (AUC), precision, recall, and F1-score. Model explainability was achieved using Shapley additive explanations (SHAP). Survival analyses included Kaplan-Meier estimates, Cox proportional hazards models, and an XGBoost-Cox model for time-to-event prediction. The positive predictive value and negative predictive value were calculated at the Youden index-optimal threshold. Results: XGBoost achieved the highest performance (accuracy=0.74; AUC=0.82), outperforming other classifiers. In survival analyses, the XGBoost-Cox model with a concordance index (C-index) of 0.70 exceeded thetraditional Cox model (C-index=0.66). SHAP analysisand Cox models consistently identified metastatic site count, tumor mutational burden, fraction of genome altered, and the presence of distant liver and bone metastases as among the strongest prognostic factors, a pattern that held at both the pan-cancer level and recurrently across cancer-specific models. At the cancer-specific level, performance varied; prostate cancer achieved the highest predictive accuracy (AUC=0.88), while pancreatic cancer was notably more challenging (AUC=0.68). Kaplan-Meieranalysesdemonstratedmarked survival separation betweenpatientswithandwithoutmetastases(80-monthsurvival: approximately 0.80 vs 0.30). At the Youden-optimal threshold, positive predictive value and negative predictive value were approximately 70% and 80%, respectively, supporting clinical use for risk stratification. Conclusions:Explainable ML models, particularly XGBoost combined with SHAP, can strongly predict survivability in metastatic cancers while highlighting clinically meaningful features. These findings support the use of ML-based tools for patient counseling, treatment planning, and integration into precision oncology workflows. Future work should include external validation on independent cohorts, integration with electronic health records via Fast Healthcare Interoperability Resources-based dashboards, and prospective clinician-in-the-loop evaluation to assess real-world use.</t>
  </si>
  <si>
    <t>Nalela, Polycarp; Rao, Deepthi; Rao, Praveen</t>
  </si>
  <si>
    <t>Rao, PV (corresponding author), Univ Missouri, 225 Naka Hall, Columbia, MO 65211 USA.</t>
  </si>
  <si>
    <t>praveen.rao@missouri.edu</t>
  </si>
  <si>
    <t>National Science Foundation [2201583]</t>
  </si>
  <si>
    <t>National Science Foundation (National Science Foundation (NSF))</t>
  </si>
  <si>
    <t>This work was supported by the National Science Foundation under Grant No. 2201583. The sponsor had no role in the study design, data collection and analysis, decision to publish, or preparation of the manuscript.</t>
  </si>
  <si>
    <t>[Nalela, Polycarp; Rao, Deepthi; Rao, Praveen] Univ Missouri, 225 Naka Hall, Columbia, MO 65211 USA</t>
  </si>
  <si>
    <t>University of Missouri System; University of Missouri Columbia</t>
  </si>
  <si>
    <t>Explainable AI for Predicting Mortality Risk in Metastatic Cancer: Retrospective Cohort Study Using the Memorial Sloan Kettering-Metastatic Dataset</t>
  </si>
  <si>
    <t>JMIR CANCER</t>
  </si>
  <si>
    <t>MACHINE-LEARNING-MODELS; SURVIVAL; DIAGNOSIS</t>
  </si>
  <si>
    <t>2369-1999</t>
  </si>
  <si>
    <t>JMIR Cancer</t>
  </si>
  <si>
    <t>e74196</t>
  </si>
  <si>
    <t>10.2196/74196</t>
  </si>
  <si>
    <t>http://dx.doi.org/10.2196/74196</t>
  </si>
  <si>
    <t>DY6KD</t>
  </si>
  <si>
    <t>41529257</t>
  </si>
  <si>
    <t>WOS:001695184700002</t>
  </si>
  <si>
    <t>Palaz, ZH; Cege, EE; Maiga, B; Dalveren, Y; Dalveren, GGM; Kara, A; Soylu, A; Derawi, M</t>
  </si>
  <si>
    <t>Background/Objectives: Infraocclusion in pediatric patients may result in space loss, malocclusion and the need for complex orthodontic treatment if not detected early. Conventional diagnosis may be subject to human error and can be challenging, particularly in pediatric cases. The aim of this study is to design and evaluate a lightweight, two-stage deep learning framework with integrated explainable AI (XAI) techniques for automated infraocclusion detection in pediatric panoramic radiographs. Methods: Annotated panoramic radiographs of pediatric patients aged 7-11 years were used for training and validation. In the first stage, a MobileNet V2 Lite model was used to detect the region of interest (ROI) comprising premolars and molars. In the second stage, a custom CNN classifier was proposed to distinguish between infraocclusion and no infraocclusion. Model performance was evaluated in terms of diagnostic accuracy, computational complexity, and statistical significance. XAI techniques were also incorporated to visualize model attention and enhance interpretability. Results: The detection stage achieved high reliability with a precision, recall, F1-score, and AP50 values of 0.99, and an AP75 of 0.89, indicating accurate ROI localization. The classification stage reached an overall accuracy of 98.78%, with class-specific accuracies of 99.25% for infraocclusion and 98.31% for no infraocclusion cases. The framework also demonstrated computational efficiency, requiring only 1.88 M trainable parameters (7.19 MB), with short training times and low inference latency (0.8 ms for classification and 19 ms for detection). XAI visualizations consistently highlighted clinically relevant regions, such as occlusal margins and interproximal areas, confirming the model's alignment with radiographic features recognized by clinicians. Conclusions: The proposed two-stage framework provides an accurate, computationally efficient, and interpretable solution for automated infraocclusion detection in pediatric patients. Its modular design and reduced complexity support practical integration into routine clinical workflows, including resource-constrained environments. These findings indicate that lightweight and XAI systems may enhance early infraocclusion detection while maintaining clinical transparency.</t>
  </si>
  <si>
    <t>Palaz, Zeliha Hatipoglu; Cege, Ecem Elif; Maiga, Bamoye; Dalveren, Yaser; Dalveren, Gonca Gokce Menekse; Kara, Ali; Soylu, Ahmet; Derawi, Mohammad</t>
  </si>
  <si>
    <t>Derawi, M (corresponding author), Norwegian Univ Sci &amp; Technol, Dept Elect Syst, N-2815 Gjovik, Norway.</t>
  </si>
  <si>
    <t>zelihahatipoglu@gazi.edu.tr; bamoyemeiga@gmail.com; gonca.dalveren@bakircay.edu.tr; yaser.dalveren@bakircay.edu.tr; akara@gazi.edu.tr; ahmet.soylu@kristiania.no; mohammad.derawi@ntnu.no; elifcege@karabuk.edu.tr</t>
  </si>
  <si>
    <t>[Palaz, Zeliha Hatipoglu] Gazi Univ, Fac Dent, Dept Pediat Dent, TR-06490 Ankara, Turkiye; [Cege, Ecem Elif] Karabuk Univ, Fac Dent, Dept Pediat Dent, TR-78050 Karabuk, Turkiye; [Maiga, Bamoye] Hacettepe Univ Teknokent, RST Technol, TR-06800 Ankara, Turkiye; [Dalveren, Yaser] Izmir Bakircay Univ, Dept Elect &amp; Elect Engn, TR-35665 Izmir, Turkiye; [Dalveren, Gonca Gokce Menekse] Izmir Bakircay Univ, Dept Comp Engn, TR-35665 Izmir, Turkiye; [Kara, Ali] Gazi Univ, Dept Elect &amp; Elect Engn, TR-06570 Ankara, Turkiye; [Soylu, Ahmet] Kristiania Univ Appl Sci, Sch Doctoral Studies, N-0107 Oslo, Norway; [Derawi, Mohammad] Norwegian Univ Sci &amp; Technol, Dept Elect Syst, N-2815 Gjovik, Norway</t>
  </si>
  <si>
    <t>Gazi University; Karabuk University; Izmir University of Bakircay; Izmir University of Bakircay; Gazi University; Kristiania University of Applied Sciences; Norwegian University of Science &amp; Technology (NTNU)</t>
  </si>
  <si>
    <t>A Lightweight and Explainable AI Framework Toward Automated Infraocclusion Detection in Pediatric Panoramic Radiographs</t>
  </si>
  <si>
    <t>infraocclusion; artificial intelligence; deep learning; detection; classification; panoramic radiographs</t>
  </si>
  <si>
    <t>Çege, Ecem/MVT-6552-2025; Hatipoğlu Palaz, Zeliha/PQW-1103-2026; Soylu, Ahmet/D-9960-2011; Dalveren, Yaser/LZG-3460-2025</t>
  </si>
  <si>
    <t>866</t>
  </si>
  <si>
    <t>10.3390/diagnostics16060866</t>
  </si>
  <si>
    <t>http://dx.doi.org/10.3390/diagnostics16060866</t>
  </si>
  <si>
    <t>FS4OT</t>
  </si>
  <si>
    <t>41897599</t>
  </si>
  <si>
    <t>WOS:001726311000001</t>
  </si>
  <si>
    <t>Gomez, C; Wang, RL; Breininger, K; Casey, C; Bradley, C; Pavlak, M; Pham, A; Yohannan, J; Unberath, M</t>
  </si>
  <si>
    <t>Primary eye care providers refer glaucoma patients using their clinical experience and context. Specialized Artificial Intelligence (AI) excels in referrals trained on clinical data but relies on assumptions that may not hold in practice. To address this knowledge imbalance, we proposed using AI explanations to help providers assess AI predictions against their experience and improve referrals. We developed AI models to identify patients needing urgent referrals from routine eye care data and created intrinsic and post-hoc explanations. In a user study with 87 optometrists, human-AI teams achieved higher accuracy (60%) than humans alone (51%), but explanations did not enhance performance. Instead, they introduced uncertainty about when to trust AI. Post-hoc explanations increased over-reliance on incorrect AI recommendations, and both explanation types contributed to anchoring bias, making participants align more closely with AI referrals than without explanations. Overall, human-AI teams still underperformed the AI alone (80% accuracy). Challenges persist in designing effective support mechanisms to surpass AI performance while preserving human agency.</t>
  </si>
  <si>
    <t>Gomez, Catalina; Wang, Ruolin; Breininger, Katharina; Casey, Corinne; Bradley, Chris; Pavlak, Mitchell; Pham, Alex; Yohannan, Jithin; Unberath, Mathias</t>
  </si>
  <si>
    <t>Unberath, M (corresponding author), Johns Hopkins Univ, Dept Comp Sci, Baltimore, MD 21218 USA.</t>
  </si>
  <si>
    <t>unberath@jhu.edu</t>
  </si>
  <si>
    <t>Research to Prevent Blindness; NEI K23; BrightFocus Foundation; JHU Internal Funds; Malone Center Seed Grant</t>
  </si>
  <si>
    <t>Research to Prevent Blindness (Research to Prevent Blindness (RPB)); NEI K23; BrightFocus Foundation (BrightFocus Foundation); JHU Internal Funds; Malone Center Seed Grant</t>
  </si>
  <si>
    <t>BrightFocus Foundation, NEI K23, Research to Prevent Blindness, Malone Center Seed Grant, JHU Internal Funds. During the preparation of this work the author(s) used ChatGPT 4o in order to improve language and readability. After using this tool/service, the author(s) reviewed and edited the content as needed and take(s) full responsibility for the content of the publication.</t>
  </si>
  <si>
    <t>[Gomez, Catalina; Wang, Ruolin; Pavlak, Mitchell; Unberath, Mathias] Johns Hopkins Univ, Dept Comp Sci, Baltimore, MD 21218 USA; [Breininger, Katharina] Friedrich Alexander Univ Erlangen Nurnberg, Dept Artificial Intelligence Biomed Engn, Erlangen, Germany; [Casey, Corinne; Bradley, Chris; Pham, Alex; Yohannan, Jithin] Johns Hopkins Univ, Wilmer Eye Inst, Sch Med, Baltimore, MD USA</t>
  </si>
  <si>
    <t>Johns Hopkins University; University of Erlangen Nuremberg; Johns Hopkins University; Johns Hopkins Medicine</t>
  </si>
  <si>
    <t>The explainable AI dilemma under knowledge imbalance in specialist AI for glaucoma referrals in primary care</t>
  </si>
  <si>
    <t>OPTOMETRISTS</t>
  </si>
  <si>
    <t>Breininger, Katharina/ACE-9793-2022; Wang, Ruolin/PJA-5486-2026</t>
  </si>
  <si>
    <t>NOV 20 2025</t>
  </si>
  <si>
    <t>706</t>
  </si>
  <si>
    <t>10.1038/s41746-025-02069-0</t>
  </si>
  <si>
    <t>http://dx.doi.org/10.1038/s41746-025-02069-0</t>
  </si>
  <si>
    <t>C3935</t>
  </si>
  <si>
    <t>41266539</t>
  </si>
  <si>
    <t>WOS:001620479800003</t>
  </si>
  <si>
    <t>Yang, YT; Ricciardi, R</t>
  </si>
  <si>
    <t>The rapid integration of artificial intelligence in healthcare, accelerated by the Trump administration's 2025 AI Action Plan and private sector innovations from companies like Nvidia and Hippocratic AI, poses urgent challenges for nursing and health policy. This policy analysis examines the intersection of federal AI initiatives, emerging healthcare technologies, and nursing workforce implications through document analysis of regulatory frameworks, the federal AI Action Plan's 90+ initiatives, and insights from the American Academy of Nursing's November 2024 policy dialogue on AI transformation. The analysis reveals that while AI demonstrates measurable improvements in discrete clinical tasks-including 16% better medication assessment accuracy and 43% greater precision in identifying drug interactions at $9 per hour compared to nurses' median $41.38 hourly wage-current federal policy lacks critical healthcare-specific safeguards. The AI Action Plan's emphasis on rapid deployment and deregulation fails to address safety-net infrastructure needs, implementation pathways for vulnerable populations, or mechanisms ensuring health equity. Evidence from the Academy dialogue indicates that AI's "technosocial reality" fundamentally alters care delivery while potentially exacerbating disparities in underserved communities, as demonstrated by algorithmic bias in systems like Optum's care allocation algorithm. The findings suggest that achieving equitable AI integration requires comprehensive regulatory frameworks coordinating FDA, CMS, OCR, and HRSA oversight; community-centered governance approaches redistributing decision-making power to affected populations; and nursing leadership in AI development to preserve patient-centered care values. Without proactive nursing engagement in AI governance, healthcare risks adopting technologies that prioritize efficiency over the holistic, compassionate care fundamental to nursing practice.</t>
  </si>
  <si>
    <t>Yang, Y. Tony; Ricciardi, Richard</t>
  </si>
  <si>
    <t>Yang, YT (corresponding author), George Washington Univ, Ctr Hlth Policy &amp; Media Engagement, Sch Nursing, 1919 Penn Ave NW,Ste 500, Washington, DC 20006 USA.</t>
  </si>
  <si>
    <t>ytyang@gwu.edu</t>
  </si>
  <si>
    <t>[Yang, Y. Tony; Ricciardi, Richard] George Washington Univ, Ctr Hlth Policy &amp; Media Engagement, Sch Nursing, 1919 Penn Ave NW,Ste 500, Washington, DC 20006 USA</t>
  </si>
  <si>
    <t>George Washington University</t>
  </si>
  <si>
    <t>Regulating AI in Nursing and Healthcare: Ensuring Safety, Equity, and Accessibility in the Era of Federal Innovation Policy</t>
  </si>
  <si>
    <t>POLICY POLITICS &amp; NURSING PRACTICE</t>
  </si>
  <si>
    <t>artificial intelligence; nursing; health policy; health care delivery; health equity; algorithms</t>
  </si>
  <si>
    <t>Yang, Y. Tony/MGU-6930-2025; Ricciardi, Richard/POY-7003-2026</t>
  </si>
  <si>
    <t>Ricciardi, Richard/0000-0001-5864-670X; Yang, Y. Tony/0000-0002-0155-8490</t>
  </si>
  <si>
    <t>1527-1544</t>
  </si>
  <si>
    <t>1552-7468</t>
  </si>
  <si>
    <t>POL POLIT NURS PRACT</t>
  </si>
  <si>
    <t>Policy Polit. Nursing Pract.</t>
  </si>
  <si>
    <t>10.1177/15271544251381228</t>
  </si>
  <si>
    <t>http://dx.doi.org/10.1177/15271544251381228</t>
  </si>
  <si>
    <t>Health Policy &amp; Services; Nursing</t>
  </si>
  <si>
    <t>Health Care Sciences &amp; Services; Nursing</t>
  </si>
  <si>
    <t>T7477</t>
  </si>
  <si>
    <t>41032683</t>
  </si>
  <si>
    <t>WOS:001637905100003</t>
  </si>
  <si>
    <t>Veeramani, N; Jayaraman, P</t>
  </si>
  <si>
    <t>Skin cancer, a prevalent and potentially life-threatening condition, demands accurate and timely detection for effective intervention. It is an uncontrolled growth of abnormal cells in the human body. Studies are underway to determine if a skin lesion is benign (non-cancerous) or malignant (cancerous), but the biggest challenge for a doctor is determining the type of skin cancer. As a result, determining the type of tumour is crucial for the right course of treatment. In this study, we introduce a groundbreaking approach to multi-class skin cancer detection by harnessing the power of Explainable Artificial Intelligence (XAI) in conjunction with a customised You Only Look Once (YOLOv7) architecture. Our research focuses on enhancing the YOLOv7 framework to accurately discern 8 different skin cancer classes, including melanoma, basal cell carcinoma, and squamous cell carcinoma. The YOLOv7 model is the robust backbone, enriched with features tailored for precise multi-class classification. Concurrently, integrating XAI elements, Local Interpretable Modal-agnostic Explanations (LIME) and Shapley Additive Explanations (SHAP) ensures transparent decision-making processes, enabling healthcare professionals to interpret and trust the model's predictions. This innovative synergy between YOLOv7 and XAI heralds a new era in interpretability, resulting in high-performance skin cancer diagnostics. The obtained results are 96.8%, 94.2%, 95.6%, and 95.8%, evaluated with popular quantitative metrics such as accuracy, precision, recall, and F1 score, respectively.</t>
  </si>
  <si>
    <t>Veeramani, Nirmala; Jayaraman, Premaladha</t>
  </si>
  <si>
    <t>Jayaraman, P (corresponding author), SASTRA Deemed Univ, Sch Comp, Thanjavur, Tamil Nadu, India.</t>
  </si>
  <si>
    <t>premaladha@ict.sastra.edu</t>
  </si>
  <si>
    <t>[Veeramani, Nirmala; Jayaraman, Premaladha] SASTRA Deemed Univ, Sch Comp, Thanjavur, Tamil Nadu, India</t>
  </si>
  <si>
    <t>Shanmugha Arts, Science, Technology &amp; Research Academy (SASTRA)</t>
  </si>
  <si>
    <t>YOLOv7-XAI: Multi-Class Skin Lesion Diagnosis Using Explainable AI With Fair Decision Making</t>
  </si>
  <si>
    <t>INTERNATIONAL JOURNAL OF IMAGING SYSTEMS AND TECHNOLOGY</t>
  </si>
  <si>
    <t>deep neural network; explainable artificial intelligence; LIME; multi-class classification; SHAP; skin cancer; YOLOv7</t>
  </si>
  <si>
    <t>Jayaraman, Premaladha/AAE-7440-2021</t>
  </si>
  <si>
    <t>Jayaraman, Premaladha/0000-0001-8405-3617; Veeramani, Nirmala/0000-0003-0751-8024</t>
  </si>
  <si>
    <t>0899-9457</t>
  </si>
  <si>
    <t>1098-1098</t>
  </si>
  <si>
    <t>INT J IMAG SYST TECH</t>
  </si>
  <si>
    <t>Int. J. Imaging Syst. Technol.</t>
  </si>
  <si>
    <t>NOV 11 2024</t>
  </si>
  <si>
    <t>e23214</t>
  </si>
  <si>
    <t>10.1002/ima.23214</t>
  </si>
  <si>
    <t>http://dx.doi.org/10.1002/ima.23214</t>
  </si>
  <si>
    <t>Engineering, Electrical &amp; Electronic; Optics; Imaging Science &amp; Photographic Technology</t>
  </si>
  <si>
    <t>Engineering; Optics; Imaging Science &amp; Photographic Technology</t>
  </si>
  <si>
    <t>O1F4Z</t>
  </si>
  <si>
    <t>WOS:001368669300001</t>
  </si>
  <si>
    <t>Mienye, ID; Jere, N</t>
  </si>
  <si>
    <t>Recent advances in machine learning (ML) have shown great promise in detecting heart disease. However, to ensure the clinical adoption of ML models, they must not only be generalizable and robust but also transparent and explainable. Therefore, this research introduces an approach that integrates the robustness of ensemble learning algorithms with the precision of Bayesian optimization for hyperparameter tuning and the interpretability offered by Shapley additive explanations (SHAP). The ensemble classifiers considered include adaptive boosting (AdaBoost), random forest, and extreme gradient boosting (XGBoost). The experimental results on the Cleveland and Framingham datasets demonstrate that the optimized XGBoost model achieved the highest performance, with specificity and sensitivity values of 0.971 and 0.989 on the Cleveland dataset and 0.921 and 0.975 on the Framingham dataset, respectively.</t>
  </si>
  <si>
    <t>Mienye, Ibomoiye Domor; Jere, Nobert</t>
  </si>
  <si>
    <t>Mienye, ID (corresponding author), Walter Sisulu Univ, Dept Informat Technol, Buffalo City Campus, ZA-5200 East London, South Africa.</t>
  </si>
  <si>
    <t>imienye@wsu.ac.za; njere@wsu.ac.za</t>
  </si>
  <si>
    <t>[Mienye, Ibomoiye Domor; Jere, Nobert] Walter Sisulu Univ, Dept Informat Technol, Buffalo City Campus, ZA-5200 East London, South Africa</t>
  </si>
  <si>
    <t>Walter Sisulu University</t>
  </si>
  <si>
    <t>Optimized Ensemble Learning Approach with Explainable AI for Improved Heart Disease Prediction</t>
  </si>
  <si>
    <t>AdaBoost; ensemble learning; heart disease; machine learning; random forest; XGBoost</t>
  </si>
  <si>
    <t>Jere, Nobert Rangarirai/NCV-5340-2025; Mienye, Ibomoiye Domor/AAN-5976-2021</t>
  </si>
  <si>
    <t>Jere, Nobert Rangarirai/0000-0001-8966-2753; Mienye, Ibomoiye Domor/0000-0001-9353-8894</t>
  </si>
  <si>
    <t>10.3390/info15070394</t>
  </si>
  <si>
    <t>http://dx.doi.org/10.3390/info15070394</t>
  </si>
  <si>
    <t>ZT5Y1</t>
  </si>
  <si>
    <t>WOS:001277566100001</t>
  </si>
  <si>
    <t>Li, HN; Peralta, AG; Schoffelen, S; Hansen, AH; Arnsdorf, J; Schinn, SM; Skidmore, J; Choudhury, B; Rocamora, F; Paulchakrabarti, M; Voldborg, BG; Chiang, AWT; Lewis, NE</t>
  </si>
  <si>
    <t>Glycosylation affects many vital functions in organisms. Thus, their measurement is critical from basic science to biotechnology, including biopharmaceutical development and clinical diagnostics. However, the throughput and cost of conventional glycan analysis can be challenging. Lectins offer an alternative approach for analyzing glycans, but they only provide glycan epitopes and not full glycan structure information. To overcome these limitations, we developed Lectin to Glycoprofile ENhanced with Data-driven (LeGenD), a lectin and AI-based approach, to predict dominant N-glycan structures and determine their relative abundance on purified proteins based on lectin-binding patterns. We trained the LeGenD model on 309 glycoprofiles from 10 recombinant proteins, produced in 30 glycoengineered CHO cell lines. Independent test data showed that the dominant glycosylation existing toolkits used to study glycosylation.</t>
  </si>
  <si>
    <t>Li, Haining; Peralta, Angelo G.; Schoffelen, Sanne; Hansen, Anders Holmgaard; Arnsdorf, Johnny; Schinn, Song-Min; Skidmore, Jonathan; Choudhury, Biswa; Rocamora, Frances; Paulchakrabarti, Mousumi; Voldborg, Bjorn G.; Chiang, Austin W. T.; Lewis, Nathan E.</t>
  </si>
  <si>
    <t>Lewis, NE (corresponding author), Univ Calif San Diego, Dept Bioengn, La Jolla, CA 92093 USA.; Chiang, AWT; Lewis, NE (corresponding author), Univ Calif San Diego, Dept Pediat, La Jolla, CA 92093 USA.; Chiang, AWT (corresponding author), Augusta Univ, Immunol Ctr Georgia, Augusta, GA 30912 USA.; Lewis, NE (corresponding author), Univ Georgia, Ctr Mol Med, Complex Carbohydrate Res Ctr, Athens, GA 30602 USA.; Lewis, NE (corresponding author), Univ Georgia, Dept Biochem &amp; Mol Biol, Athens, GA 30602 USA.</t>
  </si>
  <si>
    <t>natelewis@uga.edu; auchiang@augusta.edu</t>
  </si>
  <si>
    <t>Novo Nordisk Foundation [NNF20SA0066621]; NIGMS [R35 GM119850]; NSF CBET [2335957]</t>
  </si>
  <si>
    <t>Novo Nordisk Foundation (Novo Nordisk Foundation); NIGMS (United States Department of Health &amp; Human Services, National Institutes of Health (NIH) - USA, NIH National Institute of General Medical Sciences (NIGMS)); NSF CBET (National Science Foundation (NSF))</t>
  </si>
  <si>
    <t>Novo Nordisk Foundation NNF20SA0066621 (NEL) NIGMS R35 GM119850 (NEL) , NSF CBET 2335957 (NEL AWTC) .</t>
  </si>
  <si>
    <t>[Li, Haining; Schinn, Song-Min; Skidmore, Jonathan; Lewis, Nathan E.] Univ Calif San Diego, Dept Bioengn, La Jolla, CA 92093 USA; [Peralta, Angelo G.; Rocamora, Frances; Chiang, Austin W. T.; Lewis, Nathan E.] Univ Calif San Diego, Dept Pediat, La Jolla, CA 92093 USA; [Schoffelen, Sanne; Hansen, Anders Holmgaard; Arnsdorf, Johnny; Voldborg, Bjorn G.] Tech Univ Denmark, Dept Biotechnol &amp; Biomed, Natl Biol Facil, Lyngby, Denmark; [Skidmore, Jonathan] Brigham Young Univ, Dept Microbiol &amp; Mol Biol, Provo, UT USA; [Choudhury, Biswa; Paulchakrabarti, Mousumi] Univ Calif San Diego, Glycobiol Res &amp; Training Ctr, La Jolla, CA USA; [Chiang, Austin W. T.] Augusta Univ, Immunol Ctr Georgia, Augusta, GA 30912 USA; [Lewis, Nathan E.] Univ Georgia, Ctr Mol Med, Complex Carbohydrate Res Ctr, Athens, GA 30602 USA; [Lewis, Nathan E.] Univ Georgia, Dept Biochem &amp; Mol Biol, Athens, GA 30602 USA</t>
  </si>
  <si>
    <t>University of California System; University of California San Diego; University of California System; University of California San Diego; Technical University of Denmark; Brigham Young University; University of California System; University of California San Diego; University System of Georgia; Augusta University; University System of Georgia; University of Georgia; University System of Georgia; University of Georgia</t>
  </si>
  <si>
    <t>LeGenD: High-throughput N-glycan profiling using explainable AI and lectin profiling</t>
  </si>
  <si>
    <t>JOURNAL OF BIOLOGICAL CHEMISTRY</t>
  </si>
  <si>
    <t>ASPARAGINE-LINKED OLIGOSACCHARIDES; PHASEOLUS-VULGARIS; PROTEIN GLYCOSYLATION; LEUKOAGGLUTINATING LECTIN; MASS-SPECTROMETRY; MAACKIA-AMURENSIS; BINDING LECTINS; GLYCOMICS; SPECIFICITY; GLYCOPROTEINS</t>
  </si>
  <si>
    <t>Lewis, Nathan/B-9917-2013</t>
  </si>
  <si>
    <t>0021-9258</t>
  </si>
  <si>
    <t>1083-351X</t>
  </si>
  <si>
    <t>J BIOL CHEM</t>
  </si>
  <si>
    <t>J. Biol. Chem.</t>
  </si>
  <si>
    <t>302</t>
  </si>
  <si>
    <t>113234</t>
  </si>
  <si>
    <t>10.1016/j.jbc.2026.113234</t>
  </si>
  <si>
    <t>http://dx.doi.org/10.1016/j.jbc.2026.113234</t>
  </si>
  <si>
    <t>KR1CW</t>
  </si>
  <si>
    <t>42248452</t>
  </si>
  <si>
    <t>WOS:001813600700001</t>
  </si>
  <si>
    <t>Tasin, I; Nabil, TU; Islam, S; Khan, R</t>
  </si>
  <si>
    <t>Globally, diabetes affects 537 million people, making it the deadliest and the most common non-communicable disease. Many factors can cause a person to get affected by diabetes, like excessive body weight, abnormal cholesterol level, family history, physical inactivity, bad food habit etc. Increased urination is one of the most common symptoms of this disease. People with diabetes for a long time can get several complications like heart disorder, kidney disease, nerve damage, diabetic retinopathy etc. But its risk can be reduced if it is predicted early. In this paper, an automatic diabetes prediction system has been developed using a private dataset of female patients in Bangladesh and various machine learning techniques. The authors used the Pima Indian diabetes dataset and collected additional samples from 203 individuals from a local textile factory in Bangladesh. Feature selection algorithm mutual information has been applied in this work. A semi-supervised model with extreme gradient boosting has been utilized to predict the insulin features of the private dataset. SMOTE and ADASYN approaches have been employed to manage the class imbalance problem. The authors used machine learning classification methods, that is, decision tree, SVM, Random Forest, Logistic Regression, KNN, and various ensemble techniques, to determine which algorithm produces the best prediction results. After training on and testing all the classification models, the proposed system provided the best result in the XGBoost classifier with the ADASYN approach with 81% accuracy, 0.81 F1 coefficient and AUC of 0.84. Furthermore, the domain adaptation method has been implemented to demonstrate the versatility of the proposed system. The explainable AI approach with LIME and SHAP frameworks is implemented to understand how the model predicts the final results. Finally, a website framework and an Android smartphone application have been developed to input various features and predict diabetes instantaneously. The private dataset of female Bangladeshi patients and programming codes are available at the following link: .</t>
  </si>
  <si>
    <t>Tasin, Isfafuzzaman; Nabil, Tansin Ullah; Islam, Sanjida; Khan, Riasat</t>
  </si>
  <si>
    <t>Khan, R (corresponding author), North South Univ, Elect &amp; Comp Engn, Dhaka 1229, Bangladesh.</t>
  </si>
  <si>
    <t>[Tasin, Isfafuzzaman; Nabil, Tansin Ullah; Islam, Sanjida; Khan, Riasat] North South Univ, Elect &amp; Comp Engn, Dhaka, Bangladesh; [Khan, Riasat] North South Univ, Elect &amp; Comp Engn, Dhaka 1229, Bangladesh</t>
  </si>
  <si>
    <t>North South University (NSU); North South University (NSU)</t>
  </si>
  <si>
    <t>Diabetes prediction using machine learning and explainable AI techniques</t>
  </si>
  <si>
    <t>AdaBoost; android Application; decision tree; diabetes; K-nearest neighbour; random forest; support vector machine</t>
  </si>
  <si>
    <t>1-2</t>
  </si>
  <si>
    <t>10.1049/htl2.12039</t>
  </si>
  <si>
    <t>http://dx.doi.org/10.1049/htl2.12039</t>
  </si>
  <si>
    <t>D4GF8</t>
  </si>
  <si>
    <t>37077883</t>
  </si>
  <si>
    <t>WOS:000898017600001</t>
  </si>
  <si>
    <t>Venugopal, P; Garg, P; Prakash, C; Kumar, S; Gupta, N</t>
  </si>
  <si>
    <t>Introduction Artificial intelligence (AI) adoption in predictive healthcare risk analytics can transform clinical decision-making and resource management; however, its implementation is limited by various socio-technical challenges.Methods This study aims to identify and prioritize the key barriers influencing AI adoption using an integrated Decision-Making Trial and Evaluation Laboratory (DEMATEL) and Analytic Hierarchy Process (AHP) model. Based on a thorough literature review and expert validation, fifteen challenges were identified and categorized into five dimensions: technological, data-related, organizational, human/social, and ethical-regulatory. The DEMATEL method was used to analyse causal relationships among the challenges, while AHP was employed to determine their relative importance through hierarchical weighting.Results The results indicate that the most influential structural drivers affecting adoption include data privacy and protection, data quality and completeness, lack of AI governance, and system interoperability, while leadership and strategic alignment emerge as critical organizational enablers. Data-related and governance-oriented challenges emerged as primary causal factors, whereas human-centred and ethical concerns predominantly appeared as dependent outcomes.Discussion The study concludes that successful adoption of AI in predictive healthcare analytics requires strong leadership support, robust data governance systems, and transparent and interoperable technologies, and provides a structured roadmap for healthcare organizations to achieve scalable and reliable predictive analytics implementation.</t>
  </si>
  <si>
    <t>Venugopal, Pulidindi; Garg, Pratibha; Prakash, Chand; Kumar, Sunil; Gupta, Neha</t>
  </si>
  <si>
    <t>Venugopal, P (corresponding author), Vellore Inst Technol VIT, VIT Business Sch, Vellore, India.</t>
  </si>
  <si>
    <t>pulidindi.venu@vit.ac.in</t>
  </si>
  <si>
    <t>[Venugopal, Pulidindi] Vellore Inst Technol VIT, VIT Business Sch, Vellore, India; [Garg, Pratibha; Gupta, Neha] Amity Univ, Noida Business Sch, Noida, India; [Prakash, Chand; Kumar, Sunil] SGT Univ, Gurugram, India</t>
  </si>
  <si>
    <t>Vellore Institute of Technology (VIT); VIT Vellore; Amity University Noida</t>
  </si>
  <si>
    <t>Evaluating AI adoption challenges in healthcare using a Multi-Criteria Decision-Making approach: implications for predictive risk analytics</t>
  </si>
  <si>
    <t>Analytic Hierarchy Process; artificial intelligence; data governance; decision-making trial and evaluation laboratory; healthcare analytics; Multi-Criteria Decision-Making; predictive risk analytics</t>
  </si>
  <si>
    <t>DEMATEL</t>
  </si>
  <si>
    <t>Saini, Chand/AAB-4036-2021; Garg, Pratibha/KXR-7068-2024; /AAX-1189-2020</t>
  </si>
  <si>
    <t>MAY 20 2026</t>
  </si>
  <si>
    <t>1827586</t>
  </si>
  <si>
    <t>10.3389/frai.2026.1827586</t>
  </si>
  <si>
    <t>http://dx.doi.org/10.3389/frai.2026.1827586</t>
  </si>
  <si>
    <t>IW8OZ</t>
  </si>
  <si>
    <t>42245263</t>
  </si>
  <si>
    <t>WOS:001782225600001</t>
  </si>
  <si>
    <t>Kaczmarek-Majer, K; Danková, M; Ostrowski, M; Sokól-Szawlowska, M; Hyner, P; Alijani, Z; Gedek, A; Sochacka, M; Antosik-Wójcinska, A; Wichrowski, F; Alonso-Moral, JM; Dominiak, M</t>
  </si>
  <si>
    <t>Bipolar affective disorder and depression are among the most prevalent mental health conditions, with recent advances highlighting the role of sensors and computational methods in monitoring them. However, current Artificial Intelligence (AI)-based systems, while accurate, often lack transparency, limiting their trustworthiness and clinical adoption. Furthermore, the state-of-the-art is still missing clear guidelines on how to design advanced human-centric validation approaches for interpretations or explanations of intelligent systems with the aim of paving the way towards trustworthy AI systems ready to be adopted by clinicians. This paper presents a novel evaluation approach integrating supervised learning with fuzzy information granules derived from fuzzy association rules and linguistic summaries to enhance interpretability. Its main innovation lies in the human-centric evaluation methodology. Our use case study in the mental health monitoring setting demonstrates the framework's ability to reveal meaningful relationships between sensor data and mental states. Thus, this work contributes to the development of trustworthy AI systems in compliance with emerging regulatory standards. Our findings confirm that fuzzy logic-based interpretations constructed about the patients' acoustic features would be beneficial for both clinicians and patients. 75% of respondents agreed that interpretations addressed important aspects of the clinical problem, and 91.7% of respondents agreed that additional interpretations would help psychiatrists in daily patient care. However, evaluations were more critical concerning the clarity and evidential support. Further work should focus on improving the conciseness and clarity of the automatically constructed fuzzy information granules.</t>
  </si>
  <si>
    <t>Kaczmarek-Majer, Katarzyna; Dankova, Martina; Ostrowski, Marcin; Sokol-Szawlowska, Marlena; Hyner, Petr; Alijani, Zahra; Gedek, Adam; Sochacka, Malgorzata; Antosik-Wojcinska, Anna; Wichrowski, Filip; Alonso-Moral, Jose Maria; Dominiak, Monika</t>
  </si>
  <si>
    <t>Kaczmarek-Majer, K (corresponding author), Polish Acad Sci, Syst Res Inst, Newelska 6, PL-01147 Warsaw, Poland.; Kaczmarek-Majer, K; Danková, M (corresponding author), Univ Ostrava, Inst Res &amp; Applicat Fuzzy Modeling, 30 Dubna 22, Ostrava 70200, Czech Republic.</t>
  </si>
  <si>
    <t>martina.dankova@osu.cz; adamgedek@gmail.com; petr.hyner@osu.cz; zahra.alijani@osu.cz; malgorzata.sochacka@britenet.eu; k.kaczmarek@ibspan.waw.pl; Marcin.Ostrowski@ibspan.waw.pl; josemaria.alonso.moral@usc.es; mdominia@wp.pl; antosikwojcinska@gmail.com; fwichrow@ibspan.waw.pl; marlenasokolsz@gmail.com</t>
  </si>
  <si>
    <t>University of Ostrava</t>
  </si>
  <si>
    <t>Open access publishing supported by the institutions participating in the CzechELib Transformative Agreement.</t>
  </si>
  <si>
    <t>[Kaczmarek-Majer, Katarzyna; Ostrowski, Marcin; Wichrowski, Filip] Polish Acad Sci, Syst Res Inst, Newelska 6, PL-01147 Warsaw, Poland; [Kaczmarek-Majer, Katarzyna; Dankova, Martina; Hyner, Petr; Alijani, Zahra] Univ Ostrava, Inst Res &amp; Applicat Fuzzy Modeling, 30 Dubna 22, Ostrava 70200, Czech Republic; [Sokol-Szawlowska, Marlena] Inst Psychiat &amp; Neurol, Psychiat Outpatient Clin, Sobieskiego 9, PL-02957 Warsaw, Poland; [Hyner, Petr] Univ Ostrava, Fac Sci, Dept Informat &amp; Comp, 30 Dubna 22, Ostrava 70200, Czech Republic; [Gedek, Adam; Dominiak, Monika] Inst Psychiat &amp; Neurol, Dept Pharmacol &amp; Physiol Nervous Syst, Sobieskiego 9, PL-02957 Warsaw, Poland; [Sochacka, Malgorzata] Britenet Med, Aleje Jerozolimskie 44, PL-00024 Warsaw, Poland; [Antosik-Wojcinska, Anna] Cardinal Wyszynski Univ Warsaw, Fac Med, Dept Psychiat, Coll Medicum, Sobieskiego 9, PL-02957 Warsaw, Poland; [Alonso-Moral, Jose Maria] Univ Santiago De Compostela, Ctr Singular Invest Tecnoloxias Intelixentes CiTI, Santiago De Compostela 15782, Spain</t>
  </si>
  <si>
    <t>Polish Academy of Sciences; Systems Research Institute of the Polish Academy of Sciences; University of Ostrava; Institute of Psychiatry &amp; Neurology; University of Ostrava; Institute of Psychiatry &amp; Neurology; Universidade de Santiago de Compostela</t>
  </si>
  <si>
    <t>How to Evaluate Fuzzy Linguistic Summaries and Fuzzy Association Rules? A Pilot User Study in Monitoring Bipolar and Depressive Disorders</t>
  </si>
  <si>
    <t>Explainable artificial intelligence; Fuzzy linguistic summaries; Association rules; Implicative quantifiers; Sensor-based mental health monitoring</t>
  </si>
  <si>
    <t>NATURAL-LANGUAGE</t>
  </si>
  <si>
    <t>Alijani, Zahra/AAL-7311-2020; Daňková, Martina/AAX-4985-2021; Gędek, Adam/KCL-2252-2024; Alonso-Moral, Jose/A-4374-2017</t>
  </si>
  <si>
    <t>Dominiak, Monika/0000-0002-1423-2289</t>
  </si>
  <si>
    <t>10.1007/s10796-026-10712-8</t>
  </si>
  <si>
    <t>http://dx.doi.org/10.1007/s10796-026-10712-8</t>
  </si>
  <si>
    <t>GP5EV</t>
  </si>
  <si>
    <t>WOS:001741963600001</t>
  </si>
  <si>
    <t>Keyl, P; Bischoff, P; Dernbach, G; Bockmayr, M; Fritz, R; Horst, D; Blüthgen, N; Montavon, G; Müller, KR; Klauschen, F</t>
  </si>
  <si>
    <t>The molecular heterogeneity of cancer cells contributes to the often partial response to targeted therapies and relapse of disease due to the escape of resistant cell populations. While single-cell sequencing has started to improve our understanding of this heterogeneity, it offers a mostly descriptive view on cellular types and states. To obtain more functional insights, we propose scGeneRAI, an explainable deep learning approach that uses layer-wise relevance propagation (LRP) to infer gene regulatory networks from static single-cell RNA sequencing data for individual cells. We benchmark our method with synthetic data and apply it to single-cell RNA sequencing data of a cohort of human lung cancers. From the predicted single-cell networks our approach reveals characteristic network patterns for tumor cells and normal epithelial cells and identifies subnetworks that are observed only in (subgroups of) tumor cells of certain patients. While current state-of-the-art methods are limited by their ability to only predict average networks for cell populations, our approach facilitates the reconstruction of networks down to the level of single cells which can be utilized to characterize the heterogeneity of gene regulation within and across tumors.</t>
  </si>
  <si>
    <t>Keyl, Philipp; Bischoff, Philip; Dernbach, Gabriel; Bockmayr, Michael; Fritz, Rebecca; Horst, David; Bluethgen, Nils; Montavon, Gregoire; Mueller, Klaus-Robert; Klauschen, Frederick</t>
  </si>
  <si>
    <t>Klauschen, F (corresponding author), Charite Univ Med Berlin, Inst Pathol, Charitepl 1, D-10117 Berlin, Germany.; Klauschen, F (corresponding author), Free Univ Berlin, Charitepl 1, D-10117 Berlin, Germany.; Klauschen, F (corresponding author), Humboldt Univ, Charitepl 1, D-10117 Berlin, Germany.; Klauschen, F (corresponding author), German Canc Res Ctr, German Canc Consortium DKTK, Berlin Partner Site, Berlin, Germany.; Montavon, G; Müller, KR; Klauschen, F (corresponding author), BIFOLD Berlin Inst Fdn Learning &amp; Data, Berlin, Germany.; Montavon, G; Müller, KR (corresponding author), Tech Univ Berlin, Machine Learning Grp, Marchstr 23, D-10587 Berlin, Germany.; Müller, KR (corresponding author), Korea Univ, Dept Artificial Intelligence, Seoul 136713, South Korea.; Müller, KR (corresponding author), Max Planck Inst Informat, Stuhlsatzenhausweg 4, D-66123 Saarbrucken, Germany.; Klauschen, F (corresponding author), Ludwig Maximilians Univ Munchen, Inst Pathol, Thalkirchner Str 36, D-80337 Munich, Germany.; Klauschen, F (corresponding author), German Canc Res Ctr, German Canc Consortium DKTK, Munich Partner Site, Munich, Germany.</t>
  </si>
  <si>
    <t>gregoire.montavon@tu-berlin.de; klaus-robert.mueller@tu-berlin.de; f.klauschen@lmu.de</t>
  </si>
  <si>
    <t>[Keyl, Philipp; Bischoff, Philip; Dernbach, Gabriel; Bockmayr, Michael; Fritz, Rebecca; Horst, David; Bluethgen, Nils; Klauschen, Frederick] Charite Univ Med Berlin, Inst Pathol, Charitepl 1, D-10117 Berlin, Germany; [Keyl, Philipp; Bischoff, Philip; Dernbach, Gabriel; Bockmayr, Michael; Fritz, Rebecca; Horst, David; Bluethgen, Nils; Klauschen, Frederick] Free Univ Berlin, Charitepl 1, D-10117 Berlin, Germany; [Keyl, Philipp; Bischoff, Philip; Dernbach, Gabriel; Bockmayr, Michael; Fritz, Rebecca; Horst, David; Bluethgen, Nils; Klauschen, Frederick] Humboldt Univ, Charitepl 1, D-10117 Berlin, Germany; [Bischoff, Philip] Charite Univ Med Berlin, Berlin Inst Hlth, Anna Louisa Karsch Str 2, D-10178 Berlin, Germany; [Bischoff, Philip; Horst, David; Klauschen, Frederick] German Canc Res Ctr, German Canc Consortium DKTK, Berlin Partner Site, Berlin, Germany; [Dernbach, Gabriel; Montavon, Gregoire; Mueller, Klaus-Robert; Klauschen, Frederick] BIFOLD Berlin Inst Fdn Learning &amp; Data, Berlin, Germany; [Bockmayr, Michael] Univ Med Ctr Hamburg Eppendorf, Dept Pediat Hematol &amp; Oncolog, Martinistr 52, D-20246 Hamburg, Germany; [Bockmayr, Michael] Univ Med Ctr Hamburg Eppendorf, Mildred Scheel Canc Career Ctr HaTriCS4, Martinistr 52, D-20246 Hamburg, Germany; [Bluethgen, Nils] Humboldt Univ, Free Univ Berlin, Inst Biol, Unter Linden 6, D-10099 Berlin, Germany; [Montavon, Gregoire; Mueller, Klaus-Robert] Tech Univ Berlin, Machine Learning Grp, Marchstr 23, D-10587 Berlin, Germany; [Mueller, Klaus-Robert] Korea Univ, Dept Artificial Intelligence, Seoul 136713, South Korea; [Mueller, Klaus-Robert] Max Planck Inst Informat, Stuhlsatzenhausweg 4, D-66123 Saarbrucken, Germany; [Klauschen, Frederick] Ludwig Maximilians Univ Munchen, Inst Pathol, Thalkirchner Str 36, D-80337 Munich, Germany; [Klauschen, Frederick] German Canc Res Ctr, German Canc Consortium DKTK, Munich Partner Site, Munich, Germany</t>
  </si>
  <si>
    <t>Free University of Berlin; Humboldt University of Berlin; Charite Universitatsmedizin Berlin; Free University of Berlin; Humboldt University of Berlin; Charite Universitatsmedizin Berlin; Free University of Berlin; Humboldt University of Berlin; Charite Universitatsmedizin Berlin; Free University of Berlin; Humboldt University of Berlin; Charite Universitatsmedizin Berlin; Berlin Institute of Health; Helmholtz Association; German Cancer Research Center (DKFZ); University of Hamburg; University Medical Center Hamburg-Eppendorf; University of Hamburg; University Medical Center Hamburg-Eppendorf; Humboldt University of Berlin; Free University of Berlin; Technical University of Berlin; Korea University; Max Planck Society; University of Munich; Helmholtz Association; German Cancer Research Center (DKFZ)</t>
  </si>
  <si>
    <t>Single-cell gene regulatory network prediction by explainable AI</t>
  </si>
  <si>
    <t>NUCLEIC ACIDS RESEARCH</t>
  </si>
  <si>
    <t>CANCER; HETEROGENEITY; EXPRESSION; MUTATIONS; PLUS</t>
  </si>
  <si>
    <t>Bluthgen, Nils/A-1711-2011; Montavon, Grégoire/Q-1836-2016; Bockmayr, Michael/IAP-8309-2023; Bischoff, Philip/HHC-2955-2022; Mueller, Klaus-Robert/C-3196-2013; Keyl, Philipp/MCY-1765-2025; Klauschen, Frederick/C-5637-2015</t>
  </si>
  <si>
    <t>Bockmayr, Michael/0000-0002-9249-4292; Bischoff, Philip/0000-0002-4442-7116; Mueller, Klaus-Robert/0000-0002-3861-7685; Horst, David/0000-0003-4755-5743</t>
  </si>
  <si>
    <t>0305-1048</t>
  </si>
  <si>
    <t>1362-4962</t>
  </si>
  <si>
    <t>NUCLEIC ACIDS RES</t>
  </si>
  <si>
    <t>Nucleic Acids Res.</t>
  </si>
  <si>
    <t>FEB 28 2023</t>
  </si>
  <si>
    <t>10.1093/nar/gkac1212</t>
  </si>
  <si>
    <t>http://dx.doi.org/10.1093/nar/gkac1212</t>
  </si>
  <si>
    <t>9K6XK</t>
  </si>
  <si>
    <t>36629274</t>
  </si>
  <si>
    <t>WOS:000910082400001</t>
  </si>
  <si>
    <t>Geraci, J; Qorri, B; Tsay, M; Cumbaa, C; Leonczyk, P; Alphs, L; Ballard, ED; Zarate, CA Jr; Pani, L</t>
  </si>
  <si>
    <t>Clinical trial failures are frequently driven by patient heterogeneity and limited sample sizes that obscure treatment effects by diluting statistical power. We introduce NetraAI, a novel explainable artificial intelligence (AI) platform that integrates dynamical-systems modeling, evolutionary long-range memory feature selection, and large-language model (LLM)-generated insights, to discover high-effect-size patient subpopulations ("Personas") from high-dimensional clinical data. In a Phase II ketamine trial for treatment-resistant depression (n = 63), NetraAI analyzed psychiatric scale data (175/patient) and MRI-derived features (185/patient). NetraAI outperformed traditional machine learning (ML) models in predicting treatment outcomes, improving predictive accuracy by approximately 25-30% and achieving higher sensitivity and specificity in detecting responders. NetraAI identified a 10-clinical variable model that improved predictive AUC by 0.32 over standard machine learning (ML) models and an 8-MRI feature model achieving 95% accuracy and 100% specificity. These findings demonstrate that an explainable dynamical AI approach can leverage small but rich datasets to uncover hidden clinically meaningful subgroups. NetraAI's precision enrichment strategy has the potential to improve trial success rates and enable personalized medicine by prospectively identifying patients most likely to benefit from a given therapy in oncology, psychiatry, neurodegeneration, and for other disorders.</t>
  </si>
  <si>
    <t>Geraci, Joseph; Qorri, Bessi; Tsay, Mike; Cumbaa, Christian; Leonczyk, Paul; Alphs, Larry; Ballard, Elizabeth D.; Zarate Jr, Carlos A.; Pani, Luca</t>
  </si>
  <si>
    <t>Qorri, B (corresponding author), NetraMark Corp, Toronto, ON, Canada.</t>
  </si>
  <si>
    <t>bessi@netramark.com</t>
  </si>
  <si>
    <t>Intramural Research Program [IRP-NIMH-NIH; ZIAMH002927]</t>
  </si>
  <si>
    <t>Intramural Research Program</t>
  </si>
  <si>
    <t>The authors thank the National Institute of Mental Health (NIMH), and in particular Dr. Elizabeth Ballard and Dr. Carlos A. Zarate Jr., for providing access to the clinical trial dataset that made this research possible. We also acknowledge the support of the Intramural Research Program at the NIMH, National Institutes of Health. We would also like to thank NetraMark for supporting this research.</t>
  </si>
  <si>
    <t>[Geraci, Joseph; Qorri, Bessi; Tsay, Mike; Cumbaa, Christian; Leonczyk, Paul; Alphs, Larry] NetraMark Corp, Toronto, ON, Canada; [Geraci, Joseph] Queens Univ, Dept Pathol &amp; Mol Med, Kingston, ON, Canada; [Geraci, Joseph] Tandem Ctr Pharmacogenet, Ctr Addict &amp; Mental Hlth, Mol Brain Sci Dept, Toronto, ON, Canada; [Geraci, Joseph] Univ Calif San Diego, Arthur C Clarke Ctr Human Imaginat, Sch Phys Sci, San Diego, CA USA; [Ballard, Elizabeth D.; Zarate Jr, Carlos A.] NIMH, Expt Therapeut &amp; Pathophysiol Branch, NIH, Bethesda, MD USA; [Pani, Luca] Univ Miami, Leonard M Miller Sch Med, Dept Psychiat &amp; Behav Sci, Coral Gables, FL USA; [Pani, Luca] Univ Modena &amp; Reggio Emilia, Dept Biomed Metab &amp; Neural Sci, Modena, Italy</t>
  </si>
  <si>
    <t>Queens University - Canada; McMaster University; University of Toronto; Centre for Addiction &amp; Mental Health - Canada; University of California System; University of California San Diego; National Institutes of Health (NIH) - USA; NIH National Institute of Mental Health (NIMH); University of Miami; Universita di Modena e Reggio Emilia</t>
  </si>
  <si>
    <t>Explainable AI-driven precision clinical trial enrichment: demonstration of the NetraAI platform with a phase II depression trial</t>
  </si>
  <si>
    <t>SUBGROUP IDENTIFICATION; MEDICINE; KETAMINE</t>
  </si>
  <si>
    <t>Pani, Luca/AAM-9467-2020; Ballard, Elizabeth/O-6856-2017; Zarate, Carlos/ABD-6843-2021</t>
  </si>
  <si>
    <t>749</t>
  </si>
  <si>
    <t>10.1038/s41746-025-02143-7</t>
  </si>
  <si>
    <t>http://dx.doi.org/10.1038/s41746-025-02143-7</t>
  </si>
  <si>
    <t>O3004</t>
  </si>
  <si>
    <t>41360997</t>
  </si>
  <si>
    <t>WOS:001632438600002</t>
  </si>
  <si>
    <t>Ahmady, S; Kohan, N; Monajemi, A</t>
  </si>
  <si>
    <t>Background: Artificial intelligence (AI) is actively transforming health professions education by introducing innovative methodologies for learning, simulation, and clinical decision support. The recent emergence of autonomous AI agents-equipped with advanced capabilities like memory, planning, and tool integration-creates unprecedented opportunities for medical training. However, this growing technological autonomy simultaneously introduces critical challenges regarding clinical judgment, professional accountability, and educational equity. Methods: This perspective employs a rigorous critical analysis grounded in health professions education, medical philosophy, and AI ethics literature. It systematically evaluates the pedagogical potentials alongside the epistemological risks associated with deploying autonomous AI agents within clinical training environments. Discussion: While AI agents can effectively drive adaptive learning, scalable simulations, and individualized feedback, unmonitored or inappropriate integration risks undermining core clinical reasoning. Over-reliance on algorithmic suggestions can diminish a learner's independent analytical capabilities and propagate inherent data set biases. Conversely, dismissing these technologies risks depriving learners of vital digital competencies. Consequently, the ultimate educational utility of AI agents is fundamentally dictated by deliberate instructional design and robust governance. Conclusion: Rather than serving as replacements for human expertise, AI agents must be harnessed through a human-centered framework that safeguards clinical reasoning, ethical reflection, and professional accountability. By deploying targeted strategies-such as foundational AI literacy, localized data governance, controlled simulation failures, and modernized evaluations like AI-assisted OSCEs-educational institutions can ensure these technologies reinforce human-driven medical practice.</t>
  </si>
  <si>
    <t>Ahmady, Soleiman; Kohan, Noushin; Monajemi, Alireza</t>
  </si>
  <si>
    <t>Kohan, N (corresponding author), Smart Univ Med Sci, Dept Med Educ &amp; Elearning Med Educ, Tehran, Iran.</t>
  </si>
  <si>
    <t>Nu.kohan@gmail.com</t>
  </si>
  <si>
    <t>[Ahmady, Soleiman] Shahid Beheshti Univ Med Sci, Sch Med Educ &amp; Learning Technol, Dept Med Educ, Tehran, Iran; [Ahmady, Soleiman] Karolinska Inst, Dept LIME, Stochholm, Sweden; [Kohan, Noushin] Smart Univ Med Sci, Dept Med Educ &amp; Elearning Med Educ, Tehran, Iran; [Monajemi, Alireza] Inst Humanities &amp; Cultural Studies, Dept Hist &amp; Philosophy Sci, Tehran, Iran</t>
  </si>
  <si>
    <t>Shahid Beheshti University Medical Sciences</t>
  </si>
  <si>
    <t>AI Agents and the Future of Clinical Judgment in Medical Education: Opportunities, Challenges, and the Need for Human-Centered Integration</t>
  </si>
  <si>
    <t>AI agents; AI literacy; artificial intelligence; clinical judgment; clinical reasoning; generative artificial intelligence; health professions education; large language models; medical education; responsible AI</t>
  </si>
  <si>
    <t>AUG 12 2026</t>
  </si>
  <si>
    <t>e73042</t>
  </si>
  <si>
    <t>10.1002/hsr2.73042</t>
  </si>
  <si>
    <t>http://dx.doi.org/10.1002/hsr2.73042</t>
  </si>
  <si>
    <t>MQ6FR</t>
  </si>
  <si>
    <t>WOS:001848544900001</t>
  </si>
  <si>
    <t>Stolte, SE; Volle, K; Indahlastari, A; Albizu, A; Woods, AJ; Brink, K; Hale, M; Fang, RG</t>
  </si>
  <si>
    <t>Deep learning has achieved the state-of-the-art performance across medical imaging tasks; however, model calibration is often not considered. Uncalibrated models are potentially dangerous in high-risk applications since the user does not know when they will fail. Therefore, this paper proposes a novel domain-aware loss function to calibrate deep learning models. The proposed loss function applies a class-wise penalty based on the similarity between classes within a given target domain. Thus, the approach improves the calibration while also ensuring that the model makes less risky errors even when incorrect. The code for this software is available at https://github.com/lab-smile/DOMINO.</t>
  </si>
  <si>
    <t>Stolte, Skylar E.; Volle, Kyle; Indahlastari, Aprinda; Albizu, Alejandro; Woods, Adam J.; Brink, Kevin; Hale, Matthew; Fang, Ruogu</t>
  </si>
  <si>
    <t>Fang, RG (corresponding author), Univ Florida, Herbert Wertheim Coll Engn, J Crayton Pruitt Family Dept Biomed Engn, Gainesville 32611, FL USA.</t>
  </si>
  <si>
    <t>ruogu.fang@ufl.edu; skylastolte4444@ufl.edu</t>
  </si>
  <si>
    <t>National Institutes of Health/National Institute on Aging, USA [NIA RF1AG071469, NIA R01AG054077]; National Science Foundation, USA [1908299]; Air Force Research Laboratory Munitions Directorate, USA [FA8651-08-D-0108 TO48]; NSF-AFRL INTERN Supplement, USA [2130885]; Direct For Computer &amp; Info Scie &amp; Enginr; Div Of Information &amp; Intelligent Systems [1908299] Funding Source: National Science Foundation</t>
  </si>
  <si>
    <t>National Institutes of Health/National Institute on Aging, USA (United States Department of Health &amp; Human Services, National Institutes of Health (NIH) - USA, NIH National Institute on Aging (NIA)); National Science Foundation, USA (National Science Foundation (NSF)); Air Force Research Laboratory Munitions Directorate, USA; NSF-AFRL INTERN Supplement, USA; Direct For Computer &amp; Info Scie &amp; Enginr; Div Of Information &amp; Intelligent Systems (National Science Foundation (NSF), NSF - Directorate for Computer &amp; Information Science &amp; Engineering (CISE), NSF - Division of Information &amp; Intelligent Systems (IIS))</t>
  </si>
  <si>
    <t>This work was supported by the National Institutes of Health/National Institute on Aging, USA(NIA RF1AG071469, NIA R01AG054077), the National Science Foundation, USA (1908299), the Air Force Research Laboratory Munitions Directorate, USA (FA8651-08-D-0108 TO48), and the NSF-AFRL INTERN Supplement, USA (2130885). We acknowledge the people of the NVIDIA AI Technology Center (NVAITC) for their suggestions.</t>
  </si>
  <si>
    <t>[Stolte, Skylar E.; Fang, Ruogu] Univ Florida, Herbert Wertheim Coll Engn, J Crayton Pruitt Family Dept Biomed Engn, Gainesville, FL USA; [Volle, Kyle] Univ Florida, Herbert Wertheim Coll Engn, Dept Mech &amp; Aerosp Engn, Gainesville, FL USA; [Indahlastari, Aprinda; Albizu, Alejandro; Woods, Adam J.; Fang, Ruogu] Univ Florida, McKnight Brain Inst, Ctr Cognit Aging &amp; Memory, Gainesville, FL USA; [Indahlastari, Aprinda; Woods, Adam J.] Univ Florida, Coll Publ Hlth &amp; Hlth Profess, Dept Clin &amp; Hlth Psychol, Gainesville, FL USA; [Albizu, Alejandro; Woods, Adam J.] Univ Florida, Coll Med, Dept Neurosci, Gainesville, FL USA; [Brink, Kevin] US Air Force, Res Lab, Eglin AFB, FL USA; [Fang, Ruogu] Univ Florida, Herbert Wertheim Coll Engn, Dept Elect &amp; Comp Engn, Gainesville, FL USA; [Fang, Ruogu] Univ Florida, Dept Comp &amp; Informat Sci &amp; Engn, Gainesville, FL USA; [Fang, Ruogu] Univ Florida, Herbert Wertheim Coll Engn, J Crayton Pruitt Family Dept Biomed Engn, Gainesville 32611, FL USA</t>
  </si>
  <si>
    <t>State University System of Florida; University of Florida; State University System of Florida; University of Florida; State University System of Florida; University of Florida; State University System of Florida; University of Florida; State University System of Florida; University of Florida; United States Department of Defense; United States Air Force; State University System of Florida; University of Florida; State University System of Florida; University of Florida; State University System of Florida; University of Florida</t>
  </si>
  <si>
    <t>DOMINO: Domain-aware loss for deep learning calibration</t>
  </si>
  <si>
    <t>SOFTWARE IMPACTS</t>
  </si>
  <si>
    <t>Deep learning; Model calibration; Trustworthy AI</t>
  </si>
  <si>
    <t>Fang, Ruogu/AAY-8923-2020; Indahlastari, Aprinda/LZF-2357-2025</t>
  </si>
  <si>
    <t>Stolte, Skylar/0000-0002-9300-1322; Fang, Ruogu/0000-0003-3980-3532</t>
  </si>
  <si>
    <t>2665-9638</t>
  </si>
  <si>
    <t>SOFTW IMPACTS</t>
  </si>
  <si>
    <t>Software Impacts</t>
  </si>
  <si>
    <t>10.1016/j.simpa.2023.100478</t>
  </si>
  <si>
    <t>http://dx.doi.org/10.1016/j.simpa.2023.100478</t>
  </si>
  <si>
    <t>Computer Science, Software Engineering</t>
  </si>
  <si>
    <t>9Q3JK</t>
  </si>
  <si>
    <t>37091721</t>
  </si>
  <si>
    <t>WOS:000944864400001</t>
  </si>
  <si>
    <t>Majhi, B; Kashyap, A</t>
  </si>
  <si>
    <t>The majority of countries globally find that cardiovascular diseases have the greatest death rate. Early detection of heart disease is necessary to prevent deaths from it. Big data for medical diagnostics has made it easier to construct sophisticated machine learning (ML) and deep learning (DL)-based models for the early automatic identification of heart disease. Using three common ECG datasets, i.e., the Physionet Challenge 2016, the PASCAL Challenge Competition, and the MIT-BIH - random forest (RF) and extreme gradient boosting (XGBoost), two tree explainer classifiers are proposed for the detection of heart disease in this study. During pre-processing variety of techniques like bandpass filtering, denoising, butterworth filtering and zero-phase filtering of the signal are carried out. After the signals are restored to the time domain form using IDWT, DWT and EWT are utilized to extract features. SHapley Additive exPlanations (SHAP) is used for the feature importance which identifies important features that have more impact on the prediction output of the models. It is demonstrated from the simulation results that EWT with XGB performs well in the three datasets considered. RF explainer algorithm with EWT feature performs best and results in an AUC of 95.36 % for the PASCAL Challenge Competition dataset. However, with AUC values of 97.44 % and 98.25 % for the Physionet Challenge 2016 and MIT-BIH datasets, respectively, the XGB explainer algorithm with EWT features performs better than (DWT+XGB), (DWT+RF), and (EWT+RF). When all three datasets are compared to the current models, overall the suggested model performs better and has a higher AUC.</t>
  </si>
  <si>
    <t>Majhi, Babita; Kashyap, Aarti</t>
  </si>
  <si>
    <t>Majhi, B (corresponding author), Guru Ghasidas Vishwavidyalaya, Dept Comp Sci &amp; Informat Technol, Bilaspur 495009, Chhattisgarh, India.</t>
  </si>
  <si>
    <t>babita.majhi@gmail.com; aarti.kas2009@gmail.com</t>
  </si>
  <si>
    <t>[Majhi, Babita; Kashyap, Aarti] Guru Ghasidas Vishwavidyalaya, Dept Comp Sci &amp; Informat Technol, Bilaspur 495009, Chhattisgarh, India</t>
  </si>
  <si>
    <t>Guru Ghasidas Vishwavidyalaya</t>
  </si>
  <si>
    <t>Explainable AI-driven machine learning for heart disease detection using ECG signal</t>
  </si>
  <si>
    <t>Heart disease detection; Electrocardiogram (ECG); Explainable artificial intelligence; SHAP; Feature extraction</t>
  </si>
  <si>
    <t>CLASSIFICATION; FEATURES</t>
  </si>
  <si>
    <t>Majhi, Babita/AFL-4971-2022</t>
  </si>
  <si>
    <t>167</t>
  </si>
  <si>
    <t>112225</t>
  </si>
  <si>
    <t>10.1016/j.asoc.2024.112225</t>
  </si>
  <si>
    <t>http://dx.doi.org/10.1016/j.asoc.2024.112225</t>
  </si>
  <si>
    <t>H3O4K</t>
  </si>
  <si>
    <t>WOS:001322564500001</t>
  </si>
  <si>
    <t>Durga, S; Daniel, E; Seetha, S; Reshma, VK; Sachnev, V</t>
  </si>
  <si>
    <t>The computer-aided diagnosis helps medical professionals detect and classify lung diseases from chest X-rays by leveraging medical image processing and central server-based machine learning models. These technologies provide real-time assistance to analyze the input and help efficiently detect the abnormalities at the earliest. However, traditional learning models are not suitable for live scenarios that require privacy, data diversity, and decentralized processing. The Federated learning-based model facilitates the protection of medical data privacy while processing a large volume of medical images, aiming to improve the overall efficiency of the model. This paper proposes a Federated Learning based Ensemble Model (FLEM) framework for an efficient diagnosis of lung diseases. The FLEM utilizes explainable AI techniques, including SHAP, Grad-CAM, and Differential Privacy, to provide transparency and interpretability of predictions while maintaining the privacy and security of medical data. We applied InceptionV3, Conv2D, VGG16, and ResNet-50 models on the COVID-19, TB, and pneumonia datasets and analysed the performance of the models in FLEM and Central Server-based Learning Model (CSLM). The performance analysis shows that the FLEM model outperformed the traditional CSLM model in terms of accuracy, training time, and bandwidth consumption. CSLM witnesses a quicker convergence time than FLEM. Although the CSLM model converged after a considerable number of epochs, it resulted in a 5, 8, 9, and 10% accuracy reduction compared to the FLEM-based training of InceptionV3, Conv2D, VGG16, and ResNet50 that achieved accuracies of 91.8, 88, 92.5, and 95.5%, respectively.</t>
  </si>
  <si>
    <t>Durga, Sivan; Daniel, Esther; Seetha, Surleese; Reshma, Vijaya Kumar; Sachnev, Vasily</t>
  </si>
  <si>
    <t>Durga, S (corresponding author), Amrita Vishwa Vidyapeetham, Amrita Sch Engn, TIFAC CORE Cyber Secur, Coimbatore, India.</t>
  </si>
  <si>
    <t>s_durga@cb.amrita.edu</t>
  </si>
  <si>
    <t>[Durga, Sivan] Amrita Vishwa Vidyapeetham, Amrita Sch Engn, TIFAC CORE Cyber Secur, Coimbatore, India; [Daniel, Esther] Karunya Inst Technol &amp; Sci, Div Comp Sci &amp; Engn, Coimbatore, India; [Seetha, Surleese] CMR Inst Technol, Dept ISE, Bengaluru, India; [Reshma, Vijaya Kumar] Sri Krishna Coll Engn &amp; Technol, Comp Sci &amp; Engn, Coimbatore, India; [Sachnev, Vasily] Catholic Univ Korea, Dept Informat Commun &amp; Elect Engn, Seoul, South Korea</t>
  </si>
  <si>
    <t>Amrita Vishwa Vidyapeetham; Amrita Vishwa Vidyapeetham Coimbatore; Karunya Institute of Technology &amp; Sciences; Sri Krishna College of Engineering &amp; Technology; Catholic University of Korea</t>
  </si>
  <si>
    <t>FLEM-XAI: Federated learning based real time ensemble model with explainable AI framework for an efficient diagnosis of lung diseases</t>
  </si>
  <si>
    <t>central server based learning model; federated learning; ensemble model; explainable AI; SHapley Additive exPlanations; grad-CAM; DP; lung diseases</t>
  </si>
  <si>
    <t>COVID-19; NETWORK</t>
  </si>
  <si>
    <t>Daniel, Esther/AAN-3887-2020; V.K, Reshma/ABY-8532-2022</t>
  </si>
  <si>
    <t>V.K, Reshma/0000-0002-0273-0790</t>
  </si>
  <si>
    <t>1633916</t>
  </si>
  <si>
    <t>10.3389/fcomp.2025.1633916</t>
  </si>
  <si>
    <t>http://dx.doi.org/10.3389/fcomp.2025.1633916</t>
  </si>
  <si>
    <t>6KQ9G</t>
  </si>
  <si>
    <t>WOS:001555632700001</t>
  </si>
  <si>
    <t>Adekoya, A; Saeed, F; Ghaban, W; Qasem, SN</t>
  </si>
  <si>
    <t>Introduction: Heart disease remains a leading cause of global morbidity and mortality, motivating the development of predictive models that are both accurate and clinically interpretable. We introduce the Interpretable Ensemble Learning Framework (IELF), which integrates Explainable Boosting Machines (EBM) with XGBoost, SHAP-based explanations, and LIME for enhanced local interpretability. Methods: IELF was evaluated on two benchmark datasets: Cleveland (n = 303) and Framingham (n = 4,240). Model assessment included 5-fold cross-validation, held-out test sets, calibration, subgroup analyses, and explanation stability evaluation using Kendall's tau and Overlap@10. Results: IELF achieved robust discrimination (AUC 0.899, accuracy 88.5% on Cleveland; AUC 0.696, accuracy 82.6% on Framingham) with balanced precision-recall profiles. Compared with EBM, IELF significantly improved recall, F1, and AUC on the Framingham dataset (p &lt; 0.05), while differences versus XGBoost were less consistent. IELF produced transparent feature rankings aligned with established cardiovascular risk factors and stable explanations across folds. Discussion: IELF is, to our knowledge, the first framework to combine EBM and XGBoost with SHAP and LIME under strict nested cross-validation and calibration procedures. Although headline accuracies are lower than some recent &gt;97% reports, IELF was developed under stricter methodological controls that enhance reproducibility, interpretability, and clinical reliability. These findings position IELF as a trustworthy benchmark for translational AI in cardiovascular risk prediction, complementing high-accuracy but less transparent models.</t>
  </si>
  <si>
    <t>Adekoya, Ayomide; Saeed, Faisal; Ghaban, Wad; Qasem, Sultan Noman</t>
  </si>
  <si>
    <t>Qasem, SN (corresponding author), Imam Mohammad Ibn Saud Islamic Univ IMSIU, Coll Comp &amp; Informat Sci, Comp Sci Dept, Riyadh, Saudi Arabia.</t>
  </si>
  <si>
    <t>snmohammed@imamu.edu.sa</t>
  </si>
  <si>
    <t>Imam Mohammed Ibn Saud Islamic University</t>
  </si>
  <si>
    <t>The authors declare that financial support was received for the research and/or publication of this article. This work was supported and funded by the Deanship of Scientific Research at Imam Mohammad Ibn Saud Islamic University (IMSIU) (grant number IMSIU-DDRSP2501).</t>
  </si>
  <si>
    <t>[Adekoya, Ayomide; Saeed, Faisal] Birmingham City Univ, Dept Comp Sci, Birmingham, England; [Ghaban, Wad] Univ Tabuk, Appl Coll, Tabuk, Saudi Arabia; [Qasem, Sultan Noman] Imam Mohammad Ibn Saud Islamic Univ IMSIU, Coll Comp &amp; Informat Sci, Comp Sci Dept, Riyadh, Saudi Arabia</t>
  </si>
  <si>
    <t>Birmingham City University; University of Tabuk; Imam Mohammad Ibn Saud Islamic University (IMSIU)</t>
  </si>
  <si>
    <t>Ensemble learning approach with explainable AI for improved heart disease prediction</t>
  </si>
  <si>
    <t>FRONTIERS IN PHARMACOLOGY</t>
  </si>
  <si>
    <t>cardiovascular disease; explainable AI; heart disease; ensemble learning; XGBoost; ensemble</t>
  </si>
  <si>
    <t>RISK</t>
  </si>
  <si>
    <t>Ghaban, Wad/HMO-5493-2023; Saeed, Faisal/HNT-0710-2023; Qasem, Sultan/T-2640-2017</t>
  </si>
  <si>
    <t>Saeed, Faisal/0000-0002-2822-1708</t>
  </si>
  <si>
    <t>1663-9812</t>
  </si>
  <si>
    <t>FRONT PHARMACOL</t>
  </si>
  <si>
    <t>Front. Pharmacol.</t>
  </si>
  <si>
    <t>DEC 11 2025</t>
  </si>
  <si>
    <t>1654681</t>
  </si>
  <si>
    <t>10.3389/fphar.2025.1654681</t>
  </si>
  <si>
    <t>http://dx.doi.org/10.3389/fphar.2025.1654681</t>
  </si>
  <si>
    <t>AI2OS</t>
  </si>
  <si>
    <t>41458954</t>
  </si>
  <si>
    <t>WOS:001648759800001</t>
  </si>
  <si>
    <t>Lin, ZY; Dou, HT; Lin, SL</t>
  </si>
  <si>
    <t>This study examines the transformative impact of AI on promoting equitable regional development in China, with a particular focus on dataset diversity, community-driven data collection, and ethical governance frameworks. Employing a quantitative cross-sectional methodology, primary survey data from AI developers, policymakers, and regional planners across 31 provinces were integrated with secondary economic and technological indicators. The results reveal that higher AI dataset diversity is strongly associated with reduced income inequality, enhanced GDP growth, and improved access to education and healthcare services. Community-driven data initiatives significantly enhance dataset representativeness, improving the accuracy, fairness, and policy relevance of AI models. Furthermore, adopting ethical AI governance frameworks positively influences public trust, AI adoption rates, perceived fairness, and stakeholder engagement. Structural Equation Modeling validates the interrelationships among dataset diversity, community involvement, ethical governance, and regional development outcomes. This study highlights actionable strategies for the responsible integration of AI, offering a holistic socio-technical model to drive equitable and sustainable regional development in China.</t>
  </si>
  <si>
    <t>Lin, Zeyu; Dou, Hongtao; Lin, Shanlang</t>
  </si>
  <si>
    <t>Lin, ZY (corresponding author), Tongji Univ, Sch Econ &amp; Management, Shanghai, Peoples R China.</t>
  </si>
  <si>
    <t>linzeyu223344@163.com</t>
  </si>
  <si>
    <t>[Lin, Zeyu; Lin, Shanlang] Tongji Univ, Sch Econ &amp; Management, Shanghai, Peoples R China; [Dou, Hongtao] Chinese Acad Macroecon Res, Inst Spatial Planning &amp; Reg Econ ISPRE, Beiijing 100038, Peoples R China</t>
  </si>
  <si>
    <t>Tongji University</t>
  </si>
  <si>
    <t>Community-powered AI: Enhancing regional development through dataset diversity and ethical governance</t>
  </si>
  <si>
    <t>TECHNOVATION</t>
  </si>
  <si>
    <t>Artificial intelligence; Dataset diversity; Regional development; Ethical AI governance; Community-driven data; Public trust; China; Socio-technical systems</t>
  </si>
  <si>
    <t>ACCEPTANCE</t>
  </si>
  <si>
    <t>lin, zeyu/KJL-4302-2024</t>
  </si>
  <si>
    <t>0166-4972</t>
  </si>
  <si>
    <t>1879-2383</t>
  </si>
  <si>
    <t>Technovation</t>
  </si>
  <si>
    <t>103315</t>
  </si>
  <si>
    <t>10.1016/j.technovation.2025.103315</t>
  </si>
  <si>
    <t>http://dx.doi.org/10.1016/j.technovation.2025.103315</t>
  </si>
  <si>
    <t>Engineering, Industrial; Management; Operations Research &amp; Management Science</t>
  </si>
  <si>
    <t>Engineering; Business &amp; Economics; Operations Research &amp; Management Science</t>
  </si>
  <si>
    <t>5FB3D</t>
  </si>
  <si>
    <t>WOS:001534153000001</t>
  </si>
  <si>
    <t>Nouis, SCE; Uren, V; Jariwala, S</t>
  </si>
  <si>
    <t>Background While artificial intelligence (AI) has emerged as a powerful tool for enhancing diagnostic accuracy and streamlining workflows, key ethical questions remain insufficiently explored-particularly around accountability, transparency, and bias. These challenges become especially critical in domains such as pathology and blood sciences, where opaque AI algorithms and non-representative datasets can impact clinical outcomes. The present work focuses on a single NHS context and does not claim broader generalization.Methods We conducted a local qualitative study across multiple healthcare facilities in a single NHS Trust in the West Midlands, United Kingdom, to investigate healthcare professionals' experiences and perceptions of AI-assisted decision-making. Forty participants-including clinicians, healthcare administrators, and AI developers-took part in semi-structured interviews or focus groups. Transcribed data were analyzed using Braun and Clarke's thematic analysis framework, allowing us to identify core themes relating to the benefits of AI, ethical challenges, and potential mitigation strategies.Results Participants reported notable gains in diagnostic efficiency and resource allocation, underscoring AI's potential to reduce turnaround times for routine tests and enhance detection of abnormalities. Nevertheless, accountability surfaced as a pervasive concern: while clinicians felt ultimately liable for patient outcomes, they also relied on AI-generated insights, prompting questions about liability if systems malfunctioned. Transparency emerged as another major theme, with clinicians emphasizing the difficulty of trusting "black box" models that lack clear rationale or interpretability-particularly for rare or complex cases. Bias was repeatedly cited, especially when algorithms underperformed in minority patient groups or in identifying atypical presentations. These issues raised doubts about the fairness and reliability of AIassisted diagnoses.Conclusions Although AI demonstrates promise for improving efficiency and patient care, unresolved ethical complexities around accountability, transparency, and bias may erode stakeholder confidence and compromise patient safety. Participants called for clearer regulatory frameworks, inclusive training datasets, and stronger clinician- developer collaboration. Future research should incorporate patient perspectives, investigate long-term impacts of AI-driven clinical decisions, and refine ethical guidelines to ensure equitable, responsible AI deployment.</t>
  </si>
  <si>
    <t>Nouis, Saoudi C. E.; Uren, Victoria; Jariwala, Srushti</t>
  </si>
  <si>
    <t>Nouis, SCE (corresponding author), Worcester Royal Hosp, Biochem Dept, Charles Hastings Way, Worcester WR5 1DD, England.; Nouis, SCE (corresponding author), Aston Univ, Business Management, Birmingham, England.</t>
  </si>
  <si>
    <t>saoudi.nouis@nhs.net</t>
  </si>
  <si>
    <t>[Nouis, Saoudi C. E.] Worcester Royal Hosp, Biochem Dept, Charles Hastings Way, Worcester WR5 1DD, England; [Nouis, Saoudi C. E.] Aston Univ, Business Management, Birmingham, England; [Uren, Victoria] Aston Univ, Aston Business Sch, Birmingham, England; [Jariwala, Srushti] Worcester Royal Hosp, Microbiol Dept, Worcester, England</t>
  </si>
  <si>
    <t>Aston University; Aston University</t>
  </si>
  <si>
    <t>Evaluating accountability, transparency, and bias in AI-assisted healthcare decision- making: a qualitative study of healthcare professionals' perspectives in the UK</t>
  </si>
  <si>
    <t>Electronic health record; Artificial intelligence; Clinical Decision-Making; Accountability; Transparency; Bias; Qualitative research; Healthcare ethics</t>
  </si>
  <si>
    <t>CANCER</t>
  </si>
  <si>
    <t>Uren, Victoria/MCX-7667-2025</t>
  </si>
  <si>
    <t>Nouis, Saoudi/0009-0007-9926-248X; Jariwala, Srushti/0009-0002-6927-3544; Uren, Victoria/0000-0002-1303-5574</t>
  </si>
  <si>
    <t>JUL 8 2025</t>
  </si>
  <si>
    <t>10.1186/s12910-025-01243-z</t>
  </si>
  <si>
    <t>http://dx.doi.org/10.1186/s12910-025-01243-z</t>
  </si>
  <si>
    <t>4RC4U</t>
  </si>
  <si>
    <t>40629303</t>
  </si>
  <si>
    <t>WOS:001524669100001</t>
  </si>
  <si>
    <t>Datta, A; Doss, CGP</t>
  </si>
  <si>
    <t>Patients with Non-Small Cell Lung Cancer (NSCLC) present a variety of clinical symptoms, such as dyspnea and chest pain, complicating accurate diagnosis. NSCLC includes subtypes distinguished by histological characteristics, specifically lung adenocarcinoma (LUAD) and lung squamous cell carcinoma (LUSC). This study aims to compare and identify abnormal gene expression patterns in LUAD and LUSC samples relative to adjacent healthy tissues using an explainable artificial intelligence (XAI) framework. The LASSO algorithm was employed to identify the top gene features in the LUAD and LUSC datasets. An ensemble-based extreme gradient boosting (XGBoost) machine learning (ML) algorithm was trained and interpreted using SHapley Additive exPlanations (SHAP), with top features undergoing biological annotation through survival and functional enrichment analyses. The XAI-based SHAP module addresses the opaque nature of ML models. Notably, 35 and 33 genes were identified for LUAD and LUSC, respectively, using the LASSO algorithm. Performance metrics such as average accuracy and Matthew's correlation coefficient were evaluated. The XGBoost model demonstrated an average accuracy of 99.1 % for LUAD and 98.6 % for LUSC. The SFTPC gene emerged as the most significant feature across both NSCLC subtypes. For LUAD, genes such as STX11, CLEC3B, EMP2, and LYVE1 significantly influenced the XAI-SHAP framework. Conversely, GKN2, OGN, SLC39A8, and MMRN1 were identified for LUSC. Survival analysis and functional validation of these genes highlighted the physiological functions observed to be dysregulated in the NSCLC subtypes. These identified genes have the potential to enhance current medical diagnostics and therapeutics.</t>
  </si>
  <si>
    <t>Datta, Ankur; Doss, C. George Priya</t>
  </si>
  <si>
    <t>Doss, CGP (corresponding author), Vellore Inst Technol, Sch Biosci &amp; Technol, Dept Integrat Biol, Lab Integrat Genom, Vellore 632014, Tamil Nadu, India.</t>
  </si>
  <si>
    <t>ankur.datta2023@vitstudent.ac.in; georgepriyadoss@vit.ac.in</t>
  </si>
  <si>
    <t>[Datta, Ankur; Doss, C. George Priya] Vellore Inst Technol, Sch Biosci &amp; Technol, Dept Integrat Biol, Lab Integrat Genom, Vellore 632014, Tamil Nadu, India</t>
  </si>
  <si>
    <t>Comparative investigation of lung adenocarcinoma and squamous cell carcinoma transcriptome to reveal potential candidate biomarkers: An explainable AI approach</t>
  </si>
  <si>
    <t>Explainable Artificial Intelligence; Machine Learning; TCGA; Biomarkers; Survival Analysis; Functional Annotation</t>
  </si>
  <si>
    <t>RISK-FACTORS; GENE-EXPRESSION; FAMILY-HISTORY; CANCER; DISEASE</t>
  </si>
  <si>
    <t>C, George Priya Doss/ABE-4676-2021</t>
  </si>
  <si>
    <t>C, George Priya Doss/0000-0002-5971-8290; Datta, Ankur/0009-0003-5815-191X</t>
  </si>
  <si>
    <t>115</t>
  </si>
  <si>
    <t>108333</t>
  </si>
  <si>
    <t>10.1016/j.compbiolchem.2024.108333</t>
  </si>
  <si>
    <t>http://dx.doi.org/10.1016/j.compbiolchem.2024.108333</t>
  </si>
  <si>
    <t>U5U3I</t>
  </si>
  <si>
    <t>39787672</t>
  </si>
  <si>
    <t>WOS:001412437500001</t>
  </si>
  <si>
    <t>Falkowski, A; Szwed, M; Seitz-Holland, J; Wojtasik, J; Michalik, M; Kubicki, M; Szwed, K</t>
  </si>
  <si>
    <t>Aims Metabolic-bariatric surgery (MBS) remains a cornerstone of obesity treatment, yet 15%-30% of patients fail to achieve its intended benefits. Existing clinical and biochemical markers offer limited value in identifying who will respond favourably to this intervention. We hypothesize that the long-term success of MBS is influenced by individual differences in preoperative brain function.Materials and methods We collected presurgical resting-state fMRI data from 45 patients undergoing MBS, with the aim of identifying neural patterns associated with achieving at least 50% excess weight loss 12 months post-surgery. The data were analysed using both conventional methods and a high-powered machine learning approach. For the latter, we trained five predictive models on functional connectivity, regional brain activity, and clinical variables. We then applied SHapley Additive exPlanations (SHAP) to the best-performing model to interpret its internal logic, thereby revealing the neural features most strongly linked to treatment success.Results Conventional methods proved inadequate for this study. A multilayer perceptron model, trained exclusively on functional connectivity data, achieved a noteworthy AUC of 0.85. Its SHAP analysis revealed key neural circuits in the postcentral gyrus, dorsolateral prefrontal cortex, and angular gyrus-regions associated with interoception, executive control, and social-cognitive processes such as theory of mind.Conclusion Explainable AI-powered fMRI analysis uncovered subtle neural patterns that conventional methods failed to detect. These findings suggest that a patient's "neural readiness" for MBS may extend beyond self-regulatory circuits. It may also depend on their capacity to perceive and interpret internal bodily signals and to process emotional information-both personal and social.</t>
  </si>
  <si>
    <t>Falkowski, Adrian; Szwed, Magdalena; Seitz-Holland, Johanna; Wojtasik, Jakub; Michalik, Maciej; Kubicki, Marek; Szwed, Krzysztof</t>
  </si>
  <si>
    <t>Falkowski, A (corresponding author), Nicolaus Copernicus Univ, Fac Math &amp; Comp Sci, Torun, Poland.; Szwed, M (corresponding author), Nicolaus Copernicus Univ, Dept Clin Neuropsychol, Coll Med, Ul M Curie Sklodowskiej 9, PL-85094 Bydgoszcz, Poland.</t>
  </si>
  <si>
    <t>izinizik@mat.umk.pl; m.szwed@cm.umk.pl</t>
  </si>
  <si>
    <t>Nicolaus Copernicus University</t>
  </si>
  <si>
    <t>BBRF Young Investigator grant (funded by Mary and John Osterhaus and the Brain &amp; Behavior Research Foundation); National Institute of Mental Health, Grant/Award Number: K99MH131850; Nicolaus Copernicus University, Grant/Award Number: 90-SIDUB.6102.24.2022.DB3</t>
  </si>
  <si>
    <t>[Falkowski, Adrian] Nicolaus Copernicus Univ, Fac Math &amp; Comp Sci, Torun, Poland; [Szwed, Magdalena; Szwed, Krzysztof] Nicolaus Copernicus Univ Torun, Fac Hlth Sci, Coll Med Bydgoszcz, Dept Clin Neuropsychol, Torun, Poland; [Seitz-Holland, Johanna; Kubicki, Marek] Harvard Med Sch, Dept Psychiat, Mass Gen Brigham, Somerville, MA USA; [Wojtasik, Jakub] Nicolaus Copernicus Univ, Doctoral Sch Social Sci, Torun, Poland; [Michalik, Maciej] Jan Biziel Univ Hosp 2 Bydgoszcz, Clin Gen &amp; Minimally Invas Surg, Bydgoszcz, Poland; [Kubicki, Marek] Harvard Med Sch, Dept Radiol, Mass Gen Brigham, Boston, MA USA; [Szwed, Krzysztof] Bydgoszcz Univ Sci &amp; Technol, Fac Med, Bydgoszcz, Poland</t>
  </si>
  <si>
    <t>Nicolaus Copernicus University; Nicolaus Copernicus University; Mass General Brigham; Nicolaus Copernicus University; Harvard University; Mass General Brigham; Harvard Medical School; Bydgoszcz University of Science &amp; Technology</t>
  </si>
  <si>
    <t>Neural pathways to bariatric success: What explainable AI reveals that conventional fMRI methods may miss</t>
  </si>
  <si>
    <t>DIABETES OBESITY &amp; METABOLISM</t>
  </si>
  <si>
    <t>bariatric surgery; cohort study; obesity care; obesity therapy; weight management</t>
  </si>
  <si>
    <t>OBESITY</t>
  </si>
  <si>
    <t>Wojtasik, Jakub/OZF-6936-2025; Seitz-Holland, Johanna/KXA-4324-2024; /G-9706-2014; Falkowski, Adrian/LRC-7368-2024</t>
  </si>
  <si>
    <t>1462-8902</t>
  </si>
  <si>
    <t>1463-1326</t>
  </si>
  <si>
    <t>DIABETES OBES METAB</t>
  </si>
  <si>
    <t>Diabetes Obes. Metab.</t>
  </si>
  <si>
    <t>6567</t>
  </si>
  <si>
    <t>6576</t>
  </si>
  <si>
    <t>10.1111/dom.70058</t>
  </si>
  <si>
    <t>http://dx.doi.org/10.1111/dom.70058</t>
  </si>
  <si>
    <t>8QM6S</t>
  </si>
  <si>
    <t>40878593</t>
  </si>
  <si>
    <t>WOS:001562159100001</t>
  </si>
  <si>
    <t>Kim, JK; Bae, MN; Lee, K; Kim, JC; Hong, SG</t>
  </si>
  <si>
    <t>Osteopenia and sarcopenia can cause various senile diseases and are key factors related to the quality of life in old age. There is need for portable tools and methods that can analyze osteopenia and sarcopenia risks during daily life, rather than requiring a specialized hospital setting. Gait is a suitable indicator of musculoskeletal diseases; therefore, we analyzed the gait signal obtained from an inertial-sensor-based wearable gait device as a tool to manage bone loss and muscle loss in daily life. To analyze the inertial-sensor-based gait, the inertial signal was classified into seven gait phases, and descriptive statistical parameters were obtained for each gait phase. Subsequently, explainable artificial intelligence was utilized to analyze the contribution and importance of descriptive statistical parameters on osteopenia and sarcopenia. It was found that XGBoost yielded a high accuracy of 88.69% for osteopenia, whereas the random forest approach showed a high accuracy of 93.75% for sarcopenia. Transfer learning with a ResNet backbone exhibited appropriate performance but showed lower accuracy than the descriptive statistical parameter-based identification result. The proposed gait analysis method confirmed high classification accuracy and the statistical significance of gait factors that can be used for osteopenia and sarcopenia management.</t>
  </si>
  <si>
    <t>Kim, Jeong-Kyun; Bae, Myung-Nam; Lee, Kangbok; Kim, Jae-Chul; Hong, Sang Gi</t>
  </si>
  <si>
    <t>Hong, SG (corresponding author), Univ Sci &amp; Technol, Dept Comp Software, Daejeon 34113, South Korea.; Hong, SG (corresponding author), Elect &amp; Telecommun Res Inst, Intelligent Convergence Res Lab, Daejeon 34129, South Korea.</t>
  </si>
  <si>
    <t>mnbae@etri.re.kr; kblee@etri.re.kr; sghong@etri.re.kr; kim.jk@etri.re.kr; kimjc@etri.re.kr</t>
  </si>
  <si>
    <t>National Research Foundation of Korea (NRF) - Korea government (MSIT) [2021M3I2A1077405, 22DRMS-B146826-05]; Ministry of the Interior and Safety of the Korean government</t>
  </si>
  <si>
    <t>National Research Foundation of Korea (NRF) - Korea government (MSIT) (National Research Foundation of Korea, Ministry of Science &amp; ICT (MMSTI)); Ministry of the Interior and Safety of the Korean government (Ministry of the Interior &amp; Safety (MOIS), Republic of Korea)</t>
  </si>
  <si>
    <t>This study was supported by a National Research Foundation of Korea (NRF) grant funded by the Korea government (MSIT) (No. 2021M3I2A1077405) and by a grant (22DRMS-B146826-05) from the Development of Customized Contents Provision Technology for Realistic Disaster Management Based on Spatial Information Program funded by the Ministry of the Interior and Safety of the Korean government.</t>
  </si>
  <si>
    <t>[Kim, Jeong-Kyun; Hong, Sang Gi] Univ Sci &amp; Technol, Dept Comp Software, Daejeon 34113, South Korea; [Kim, Jeong-Kyun; Bae, Myung-Nam; Lee, Kangbok; Kim, Jae-Chul; Hong, Sang Gi] Elect &amp; Telecommun Res Inst, Intelligent Convergence Res Lab, Daejeon 34129, South Korea</t>
  </si>
  <si>
    <t>University of Science &amp; Technology (UST); Electronics &amp; Telecommunications Research Institute - Korea (ETRI)</t>
  </si>
  <si>
    <t>Explainable Artificial Intelligence and Wearable Sensor-Based Gait Analysis to Identify Patients with Osteopenia and Sarcopenia in Daily Life</t>
  </si>
  <si>
    <t>BIOSENSORS-BASEL</t>
  </si>
  <si>
    <t>osteopenia; sarcopenia; XAI; SHAP; IMU; gait analysis</t>
  </si>
  <si>
    <t>OLDER-ADULTS; RISK</t>
  </si>
  <si>
    <t>Hong, Sang Gi/0000-0001-8135-3286; Kim, Jeong-Kyun/0000-0003-1822-1752; Bae, Myungnam/0000-0003-0519-3545</t>
  </si>
  <si>
    <t>2079-6374</t>
  </si>
  <si>
    <t>Biosensors-Basel</t>
  </si>
  <si>
    <t>10.3390/bios12030167</t>
  </si>
  <si>
    <t>http://dx.doi.org/10.3390/bios12030167</t>
  </si>
  <si>
    <t>Chemistry, Analytical; Nanoscience &amp; Nanotechnology; Instruments &amp; Instrumentation</t>
  </si>
  <si>
    <t>Chemistry; Science &amp; Technology - Other Topics; Instruments &amp; Instrumentation</t>
  </si>
  <si>
    <t>0D5DC</t>
  </si>
  <si>
    <t>35323437</t>
  </si>
  <si>
    <t>WOS:000776014800001</t>
  </si>
  <si>
    <t>Keyl, P; Keyl, J; Mock, A; Dernbach, G; Mochmann, L; Kiermeyer, N; Jurmeister, P; Bockmayr, M; Schwarz, R; Montavon, G; Müller, KR; Klauschen, F</t>
  </si>
  <si>
    <t>Personalized treatment selection is crucial for cancer patients due to the high variability in drug response. While actionable mutations can increasingly inform treatment decisions, most therapies still rely on population-based approaches. Here, we introduce neural interaction explainable AI (NeurixAI), an explainable and highly scalable deep learning framework that models drug-gene interactions and identifies transcriptomic patterns linked with drug response. Trained on data from 546 646 drug perturbation experiments involving 1135 drugs and molecular profiles from 476 tumors, NeurixAI accurately predicted treatment responses for 272 targeted and 30 chemotherapeutic drugs in unseen tumor samples (Spearman's rho &gt;0.2), maintaining high performance on an external validation set. Additionally, NeurixAI identified the anticancer potential of 160 repurposed non-cancer drugs. Using explainable artificial intelligence (xAI), our framework uncovered key genes influencing drug response at the individual tumor level and revealed both known and novel mechanisms of drug resistance. These findings demonstrate the potential of integrating transcriptomics with xAI to optimize cancer treatment, enable drug repurposing, and identify new therapeutic targets.[GRAPHICS]</t>
  </si>
  <si>
    <t>Keyl, Philipp; Keyl, Julius; Mock, Andreas; Dernbach, Gabriel; Mochmann, Liliana H.; Kiermeyer, Niklas; Jurmeister, Philipp; Bockmayr, Michael; Schwarz, Roland F.; Montavon, Gregoire; Mueller, Klaus-Robert; Klauschen, Frederick</t>
  </si>
  <si>
    <t>Keyl, P (corresponding author), Charite Univ Med Berlin, Inst Pathol, D-10117 Berlin, Germany.; Keyl, P (corresponding author), Ludwig Maximilians Univ Munchen, Inst Pathol, Fac Med, D-80337 Munich, Germany.; Keyl, P (corresponding author), BIFOLD Berlin Inst Fdn Learning &amp; Data, D-10587 Berlin, Germany.; Keyl, P (corresponding author), Univ Cologne, Inst Computat Canc Biol ICCB, Ctr Integrated Oncol CIO, Canc Res Ctr Cologne Essen CCCE,Fac Med, D-50931 Cologne, Germany.; Keyl, P (corresponding author), Univ Cologne, Univ Hosp Cologne, D-50931 Cologne, Germany.</t>
  </si>
  <si>
    <t>philippgerrit.keyl@med.uni-muenchen.de</t>
  </si>
  <si>
    <t>German Research Foundation [2025]</t>
  </si>
  <si>
    <t>The graphical abstract and Fig. 1 were created in BioRender. Mochmann, L. (2025) https://BioRender.com/quoc7qw.</t>
  </si>
  <si>
    <t>[Keyl, Philipp; Bockmayr, Michael; Klauschen, Frederick] Charite Univ Med Berlin, Inst Pathol, D-10117 Berlin, Germany; [Keyl, Philipp; Mock, Andreas; Mochmann, Liliana H.; Kiermeyer, Niklas; Jurmeister, Philipp; Klauschen, Frederick] Ludwig Maximilians Univ Munchen, Inst Pathol, Fac Med, D-80337 Munich, Germany; [Keyl, Philipp; Schwarz, Roland F.; Montavon, Gregoire; Mueller, Klaus-Robert; Klauschen, Frederick] BIFOLD Berlin Inst Fdn Learning &amp; Data, D-10587 Berlin, Germany; [Keyl, Philipp; Schwarz, Roland F.] Univ Cologne, Inst Computat Canc Biol ICCB, Ctr Integrated Oncol CIO, Canc Res Ctr Cologne Essen CCCE,Fac Med, D-50931 Cologne, Germany; [Keyl, Philipp; Schwarz, Roland F.] Univ Cologne, Univ Hosp Cologne, D-50931 Cologne, Germany; [Keyl, Julius] Univ Hosp Essen AoR, Inst Artificial Intelligence Med, Essen, Germany; [Keyl, Julius] Univ Hosp Essen AoR, Inst Pathol, D-45147 Essen, Germany; [Mock, Andreas; Kiermeyer, Niklas; Jurmeister, Philipp; Klauschen, Frederick] German Canc Res Ctr, German Canc Consortium DKTK, Munich Partner Site, D-80336 Munich, Germany; [Dernbach, Gabriel; Montavon, Gregoire; Mueller, Klaus-Robert] Tech Univ Berlin, Machine Learning Grp, D-10587 Berlin, Germany; [Dernbach, Gabriel] Aignostics GmbH, D-10555 Berlin, Germany; [Bockmayr, Michael] Univ Med Ctr Hamburg Eppendorf, Dept Pediat Hematol &amp; Oncol, D-20246 Hamburg, Germany; [Bockmayr, Michael] Univ Med Ctr Hamburg Eppendorf, bAIome Ctr Biomed AI, D-20246 Hamburg, Germany; [Montavon, Gregoire] Free Univ Berlin, Dept Math &amp; Comp Sci, D-14195 Berlin, Germany; [Mueller, Klaus-Robert] Korea Univ, Dept Artificial Intelligence, Seoul 136713, South Korea; [Mueller, Klaus-Robert] MPI Informat, D-66123 Saarbrucken, Germany</t>
  </si>
  <si>
    <t>Free University of Berlin; Humboldt University of Berlin; Charite Universitatsmedizin Berlin; University of Munich; University of Cologne; University of Cologne; Helmholtz Association; German Cancer Research Center (DKFZ); Technical University of Berlin; University of Hamburg; University Medical Center Hamburg-Eppendorf; University of Hamburg; University Medical Center Hamburg-Eppendorf; Free University of Berlin; Korea University; Max Planck Society</t>
  </si>
  <si>
    <t>Neural interaction explainable AI predicts drug response across cancers</t>
  </si>
  <si>
    <t>NAR CANCER</t>
  </si>
  <si>
    <t>NATRIURETIC-PEPTIDE; MDR-1 EXPRESSION; RAS MUTATIONS; IN-VITRO; RESISTANCE; GENE; IDENTIFICATION; CARCINOMA; NETWORKS; ONCOLOGY</t>
  </si>
  <si>
    <t>Mueller, Klaus-Robert/C-3196-2013; Jurmeister, Philipp/OIS-2772-2025; Klauschen, Frederick/C-5637-2015; Keyl, Philipp/MCY-1765-2025; Montavon, Grégoire/Q-1836-2016; Bockmayr, Michael/IAP-8309-2023; Mock, Andreas/HKV-3382-2023</t>
  </si>
  <si>
    <t>Keyl, Julius/0000-0002-5617-091X; Mochmann, Liliana/0000-0002-6960-748X; Mueller, Klaus-Robert/0000-0002-3861-7685</t>
  </si>
  <si>
    <t>2632-8674</t>
  </si>
  <si>
    <t>NAR Cancer</t>
  </si>
  <si>
    <t>zcaf029</t>
  </si>
  <si>
    <t>10.1093/narcan/zcaf029</t>
  </si>
  <si>
    <t>http://dx.doi.org/10.1093/narcan/zcaf029</t>
  </si>
  <si>
    <t>Biochemistry &amp; Molecular Biology; Oncology</t>
  </si>
  <si>
    <t>6YW0P</t>
  </si>
  <si>
    <t>40918644</t>
  </si>
  <si>
    <t>WOS:001565289700001</t>
  </si>
  <si>
    <t>Firat, Y</t>
  </si>
  <si>
    <t>Introduction Early Autism spectrum disorder (ASD) diagnosis is critical for intervention, yet current methods rely on subjective clinical observations. This study develops objective tools to classify ASD severity using 3D motor movement analysis, addressing motor abnormalities as core diagnostic features.Methods A Random Forest (RF) model classified three severity levels using 463 motor features from 25 Kinect V2 joint points. Data from 109 children (50 typical, 50 moderate ASD, 9 severe ASD) were validated via 5-fold cross-validation and two held-out test sets (20% each). Shapley Additive Explanations (SHAP) analysis identified critical motor biomarkers.Results The model achieved 84.6 +/- 10.9% accuracy (5-fold cross-validation) and 86.4% accuracy (internal and held-out test sets). For severe ASD, the model achieved 100% classification accuracy on synthetic test data (4/4 cases; 95% CI: 39.8%-100.0%). However, this result represents a methodological proof-of-concept rather than clinical validation, as severe ASD features were synthetically generated from moderate ASD data and the model has not been validated on real Kinect-derived severe ASD motor data. SHAP analysis identified wrist movements, knee trajectories, and elbow-to-foot distances as key motor biomarkers for severity classification.Discussion This Kinect-based approach with RF and SHAP offers effective, interpretable ASD severity assessment for typical and moderate ASD classes, with promising methodological foundations for severe ASD pending validation on real data.</t>
  </si>
  <si>
    <t>Firat, Yelda</t>
  </si>
  <si>
    <t>Firat, Y (corresponding author), Mudanya Univ, Dept Comp Engn, Bursa, Turkiye.</t>
  </si>
  <si>
    <t>yelda.firat@mudanya.edu.tr</t>
  </si>
  <si>
    <t>[Firat, Yelda] Mudanya Univ, Dept Comp Engn, Bursa, Turkiye</t>
  </si>
  <si>
    <t>Mudanya University</t>
  </si>
  <si>
    <t>SHAP-based explainable AI framework for autism severity classification using 3D motor biomarkers</t>
  </si>
  <si>
    <t>autism spectrum disorder; motor biomarkers; random forest; SHAP analysis; violence level classification</t>
  </si>
  <si>
    <t>firat, yelda/ORI-8183-2025</t>
  </si>
  <si>
    <t>MAR 23 2026</t>
  </si>
  <si>
    <t>1751654</t>
  </si>
  <si>
    <t>10.3389/fpsyt.2026.1751654</t>
  </si>
  <si>
    <t>http://dx.doi.org/10.3389/fpsyt.2026.1751654</t>
  </si>
  <si>
    <t>FX3OW</t>
  </si>
  <si>
    <t>41947815</t>
  </si>
  <si>
    <t>WOS:001729632900001</t>
  </si>
  <si>
    <t>Lopez-Lopez, V; Morise, Z; Albadalejo-Gonzalez, M; Gavara, CG; Goh, BKP; Koh, YX; Paul, SJ; Hilal, MA; Mishima, K; Kruerger, JAP; Herman, P; Cerezuela, A; Brusadin, R; Kaizu, T; Lujan, J; Rotellar, F; Monden, K; Dalmau, M; Gotohda, N; Kudo, M; Kanazawa, A; Kato, Y; Nitta, H; Amano, S; Valle, RD; Giuffrida, M; Ueno, M; Otsuka, Y; Asano, D; Tanabe, M; Itano, O; Minagawa, T; Eshmuminov, D; Herrero, I; Ramírez, P; Ruipérez-Valiente, JA; Robles-Campos, R; Wakabayashi, G</t>
  </si>
  <si>
    <t>BackgroundArtificial intelligence (AI) is becoming more useful as a decision-making and outcomes predictor tool. We have developed AI models to predict surgical complexity and the postoperative course in laparoscopic liver surgery for segments 7 and 8.MethodsWe included patients with lesions located in segments 7 and 8 operated by minimally invasive liver surgery from an international multi-institutional database. We have employed AI models to predict surgical complexity and postoperative outcomes. Furthermore, we have applied SHapley Additive exPlanations (SHAP) to make the AI models interpretable. Finally, we analyzed the surgeries not converted to open versus those converted to open.ResultsOverall, 585 patients and 22 variables were included. Multi-layer Perceptron (MLP) showed the highest performance for predicting surgery complexity and Random Forest (RF) for predicting postoperative outcomes. SHAP detected that MLP and RF gave the highest relevance to the variables "resection type" and "largest tumor size" for predicting surgery complexity and postoperative outcomes. In addition, we explored between surgeries converted to open and non-converted, finding statistically significant differences in the variables "tumor location," "blood loss," "complications," and "operation time."ConclusionWe have observed how the application of SHAP allows us to understand the predictions of AI models in surgical complexity and the postoperative outcomes of laparoscopic liver surgery in segments 7 and 8.</t>
  </si>
  <si>
    <t>Lopez-Lopez, Victor; Morise, Zeniche; Albadalejo-Gonzalez, Mariano; Gavara, Concepcion Gomez; Goh, Brian K. P.; Koh, Ye Xin; Paul, Sijberden Jasper; Hilal, Mohammed Abu; Mishima, Kohei; Kruerger, Jaime Arthur Pirola; Herman, Paulo; Cerezuela, Alvaro; Brusadin, Roberto; Kaizu, Takashi; Lujan, Juan; Rotellar, Fernando; Monden, Kazuteru; Dalmau, Mar; Gotohda, Naoto; Kudo, Masashi; Kanazawa, Akishige; Kato, Yutaro; Nitta, Hiroyuki; Amano, Satoshi; Valle, Raffaele Dalla; Giuffrida, Mario; Ueno, Masaki; Otsuka, Yuichiro; Asano, Daisuke; Tanabe, Minoru; Itano, Osamu; Minagawa, Takuya; Eshmuminov, Dilmurodjon; Herrero, Irene; Ramirez, Pablo; Ruiperez-Valiente, Jose A.; Robles-Campos, Ricardo; Wakabayashi, Go</t>
  </si>
  <si>
    <t>Ruipérez-Valiente, JA (corresponding author), Univ Murcia, Dept Informat &amp; Commun Engn, Murcia, Spain.</t>
  </si>
  <si>
    <t>jruiperez@um.es</t>
  </si>
  <si>
    <t>Universidad de Murcia</t>
  </si>
  <si>
    <t>[Lopez-Lopez, Victor; Cerezuela, Alvaro; Brusadin, Roberto; Lujan, Juan; Ramirez, Pablo; Robles-Campos, Ricardo] Clin &amp; Univ Hosp Virgen La Arrixaca, IMIB ARRIXACA, Dept Gen Visceral &amp; Transplantat Surg, Murcia, Spain; [Morise, Zeniche] Fujita Hlth Univ, Dept Surg, Okazaki Med Ctr, Sch Med, Okazaki, Aichi 4440827, Japan; [Albadalejo-Gonzalez, Mariano; Ruiperez-Valiente, Jose A.] Univ Murcia, Dept Informat &amp; Commun Engn, Murcia, Spain; [Gavara, Concepcion Gomez; Dalmau, Mar] Barcelona Auton Univ, Vall dHebron Univ Hosp, Dept HPB Surg &amp; Transplants, Barcelona, Spain; [Goh, Brian K. P.; Koh, Ye Xin] Singapore Gen Hosp, Dept Hepatopancreatobiliary &amp; Transplant Surg, Singapore, Singapore; [Goh, Brian K. P.; Koh, Ye Xin] Natl Canc Ctr Singapore, Singapore, Singapore; [Goh, Brian K. P.; Koh, Ye Xin] Duke Natl Univ Singapore Med Sch, Surg Acad Clin Programme, Singapore, Singapore; [Paul, Sijberden Jasper; Hilal, Mohammed Abu] Fdn Poliambulanza Ist Osped, Dept Surg, Brescia, Italy; [Hilal, Mohammed Abu] Univ Hosp Southampton NHS Fdn Trust, Dept Surg, Southampton, England; [Mishima, Kohei; Wakabayashi, Go] Ageo Cent Gen Hosp, Dept Surg, Ageo, Japan; [Kruerger, Jaime Arthur Pirola; Herman, Paulo] Univ Sao Paulo, Hosp Clin HCFMUSP, Fac Med, Serv Cirurgia Figado,Div Cirurgia Aparelho Digest,, Sao Paulo, Brazil; [Kaizu, Takashi] Kitasato Univ, Sch Med, Dept Gen Pediat &amp; Hepatobiliary Pancreat Surg, Sagamihara, Japan; [Lujan, Juan; Rotellar, Fernando] Univ Navarra, Clin Univ Navarra, Sch Med, Dept Gen Surg, Pamplona, Spain; [Monden, Kazuteru] Fukuyama City Hosp, Dept Surg, Hiroshima, Japan; [Gotohda, Naoto; Kudo, Masashi] Natl Canc Ctr Hosp East, Dept Colorectal Surg, Kashiwa, Japan; [Kanazawa, Akishige] Osaka City Gen Hosp, Dept Hepatobiliary Pancreat Surg, Osaka, Japan; [Kato, Yutaro] Fujita Hlth Univ, Dept Surg, Toyoake, Japan; [Nitta, Hiroyuki; Amano, Satoshi] Iwate Med Univ, Dept Surg, Morioka, Iwate, Japan; [Valle, Raffaele Dalla; Giuffrida, Mario] Parma Univ Hosp, Gen Surg Unit, Parma, Italy; [Ueno, Masaki] Wakayama Med Univ, Dept Surg 2, 811-1 Kimiidera, Wakayama, Wakayama, Japan; [Otsuka, Yuichiro] Toho Univ, Dept Surg Pathol, Tokyo, Japan; [Asano, Daisuke; Tanabe, Minoru] Tokyo Med &amp; Dent Univ, Grad Sch Med, Dept Hepatobiliary &amp; Pancreat Surg, Tokyo, Japan; [Itano, Osamu; Minagawa, Takuya] Int Univ Hlth &amp; Welf, Sch Med, Dept Hepatobiliary Pancreat &amp; Gastrointestinal Sur, Chiba, Japan; [Eshmuminov, Dilmurodjon] Univ Hosp Zurich, Dept Surg &amp; Transplantat, Zurich, Switzerland; [Eshmuminov, Dilmurodjon] Univ Zurich, Zurich, Switzerland; [Herrero, Irene] Getafe Univ Hosp, Dept Angiol &amp; Vasc Surg, Madrid, Spain</t>
  </si>
  <si>
    <t>Hospital Clinico Universitario Virgen de la Arrixaca; Fujita Health University; University of Murcia; Hospital Universitari Vall d'Hebron; Singapore General Hospital; National Cancer Centre Singapore (NCCS); National University of Singapore; University of Southampton; University Hospital Southampton NHS Foundation Trust; Universidade de Sao Paulo; Kitasato University; University of Navarra; National Cancer Center - Japan; Osaka City General Hospital; Fujita Health University; Iwate Medical University; University of Parma; University Hospital of Parma; Wakayama Medical University; Toho University; Institute of Science Tokyo; Tokyo Medical &amp; Dental University (TMDU); International University of Health &amp; Welfare; University of Zurich; University Zurich Hospital; University of Zurich; Hospital Universitario de Getafe</t>
  </si>
  <si>
    <t>Explainable artificial intelligence prediction-based model in laparoscopic liver surgery for segments 7 and 8: an international multicenter study</t>
  </si>
  <si>
    <t>SURGICAL ENDOSCOPY AND OTHER INTERVENTIONAL TECHNIQUES</t>
  </si>
  <si>
    <t>Artificial intelligence; Making decision; Minimally invasive surgery; Liver resection</t>
  </si>
  <si>
    <t>RESECTIONS; POSTEROSUPERIOR</t>
  </si>
  <si>
    <t>Tanabe, Minoru/O-2016-2016; Minagawa, Takuya/NIS-5352-2025; Herman, Paulo/J-5457-2013; /AAY-6774-2021; Valiente, José/U-8795-2018; Giuffrida, Mario/HTN-3001-2023; Otsuka, Yuichiro/AAT-5899-2021; Rotellar, Fernando/G-7750-2018; Gotohda, Naoto/AAP-6951-2020; Gómez Gavara, Concepción/MTB-3165-2025; Abu Hilal, Mohammed/OGO-7057-2025; Mishima, Kohei/KSL-9685-2024</t>
  </si>
  <si>
    <t>Eshmuminov, Dilmurodjon/0000-0002-9575-7094; Giuffrida, Mario/0000-0001-8335-3941; Rotellar, Fernando/0000-0002-6557-0712; Gómez Gavara, Concepción/0000-0001-8312-3273; Abu Hilal, Mohammed/0000-0002-3162-4639; Mishima, Kohei/0000-0003-4284-2989</t>
  </si>
  <si>
    <t>0930-2794</t>
  </si>
  <si>
    <t>1432-2218</t>
  </si>
  <si>
    <t>SURG ENDOSC</t>
  </si>
  <si>
    <t>Surg. Endosc.</t>
  </si>
  <si>
    <t>1894</t>
  </si>
  <si>
    <t>1901</t>
  </si>
  <si>
    <t>10.1007/s00464-024-10681-6</t>
  </si>
  <si>
    <t>http://dx.doi.org/10.1007/s00464-024-10681-6</t>
  </si>
  <si>
    <t>MS2J1</t>
  </si>
  <si>
    <t>38315197</t>
  </si>
  <si>
    <t>WOS:001156360600003</t>
  </si>
  <si>
    <t>Kawai, Y; Kogeichi, Y; Yamamoto, K; Miyazaki, K; Asai, H; Fukushima, H</t>
  </si>
  <si>
    <t>Predicting poor neurological outcomes after resuscitation is important for planning treatment strategies. We constructed an explainable artificial intelligence-based prognostic model using head computed tomography (CT) scans taken immediately within 3 h of resuscitation from cardiac arrest and compared its predictive accuracy with that of previous methods using gray-to-white matter ratio (GWR). We included 321 consecutive patients admitted to our institution after resuscitation for out-of-hospital cardiopulmonary arrest with circulation resumption over 6 years. A machine learning model using head CT images with transfer learning was used to predict the neurological outcomes at 1 month. These predictions were compared with the predictions of GWR for multiple regions of interest in head CT using receiver operating characteristic (ROC)-area under curve (AUC) and precision recall (PR)-AUC. The regions of focus were visualized using a heatmap. Both methods had similar ROC-AUCs, but the machine learning model had a higher PR-AUC (0.73 vs. 0.58). The machine learning-focused area of interest for classification was the boundary between gray and white matter, which overlapped with the area of focus when diagnosing hypoxic- ischemic brain injury. The machine learning model for predicting poor outcomes had superior accuracy to conventional methods and could help optimize treatment.</t>
  </si>
  <si>
    <t>Kawai, Yasuyuki; Kogeichi, Yohei; Yamamoto, Koji; Miyazaki, Keita; Asai, Hideki; Fukushima, Hidetada</t>
  </si>
  <si>
    <t>Kawai, Y (corresponding author), Nara Med Univ, Dept Emergency &amp; Crit Care Med, 840 Shijo Cho, Kashihara, Nara 6348522, Japan.</t>
  </si>
  <si>
    <t>k6k6k@naramed-u.ac.jp</t>
  </si>
  <si>
    <t>[Kawai, Yasuyuki; Kogeichi, Yohei; Yamamoto, Koji; Miyazaki, Keita; Asai, Hideki; Fukushima, Hidetada] Nara Med Univ, Dept Emergency &amp; Crit Care Med, 840 Shijo Cho, Kashihara, Nara 6348522, Japan</t>
  </si>
  <si>
    <t>Nara Medical University</t>
  </si>
  <si>
    <t>Explainable artificial intelligence-based prediction of poor neurological outcome from head computed tomography in the immediate post-resuscitation phase</t>
  </si>
  <si>
    <t>CARDIAC-ARREST; COMATOSE PATIENTS; CT; PROGNOSTICATION; ASSOCIATION; VALIDATION; MATTER; EDEMA</t>
  </si>
  <si>
    <t>Yamamoto, Koji/N-1647-2015</t>
  </si>
  <si>
    <t>APR 8 2023</t>
  </si>
  <si>
    <t>5759</t>
  </si>
  <si>
    <t>10.1038/s41598-023-32899-5</t>
  </si>
  <si>
    <t>http://dx.doi.org/10.1038/s41598-023-32899-5</t>
  </si>
  <si>
    <t>J6UH7</t>
  </si>
  <si>
    <t>37031248</t>
  </si>
  <si>
    <t>WOS:001010944600019</t>
  </si>
  <si>
    <t>Al Bataineh, A; Vamsi, B; Al-Refai, A</t>
  </si>
  <si>
    <t>Diabetic distress is a significant psychological burden affecting many individuals with Type-2 Diabetes Mellitus. Despite its prevalence, it remains underrecognized, and its impact can be complex. This study explores the integration of multimodal data sources and machine learning to identify diabetic distress and emotional burden in patients with Type-2 Diabetes Mellitus. The study highlights the use of Explainable Artificial Intelligence to make predictions more transparent. It combines patient information like age, gender, laboratory results, and survey scores to train and compare machine learning methods. Models tested include Ridge regression, Lasso regression, linear and logistic regression, neural networks, support vector machines, random forests, and various boosting techniques. Among all of these, Extreme Gradient Boosting with SHapley Additive exPlanations delivered the best results. It was 96.14% accurate, 0.94 precise, had an ROC-AUC of 0.98, an F1-score of 0.95, and a recall of 0.95. The approach also generates explanations of why a specific prediction is being generated. For instance, it shows how specific blood glucose levels or distress subscale scores influence the predicted emotional load. These clear explanations enable clinicians to make sense of both the model's performance and the reasoning behind it. Such transparency is critical to the building of trust in machine learning-based decision support systems for diabetes care takers influencing DDS.</t>
  </si>
  <si>
    <t>Al Bataineh, Ali; Vamsi, Bandi; Al-Refai, Abdullah</t>
  </si>
  <si>
    <t>Al Bataineh, A (corresponding author), Norwich Univ, Artificial Intelligence Ctr, Northfield, VT 05663 USA.</t>
  </si>
  <si>
    <t>aalbatai@norwich.edu</t>
  </si>
  <si>
    <t>[Al Bataineh, Ali] Norwich Univ, Artificial Intelligence Ctr, Northfield, VT 05663 USA; [Vamsi, Bandi] Madanapalle Inst Technol &amp; Sci, Dept Artificial Intelligence, Madanapalle 517326, Andhra Pradesh, India; [Al-Refai, Abdullah] Princess Sumaya Univ Technol, King Hussein Sch Comp Sci, Software Engn Dept, Amman 11941, Jordan</t>
  </si>
  <si>
    <t>Madanapalle Institute of Technology &amp; Science; Princess Sumaya University for Technology</t>
  </si>
  <si>
    <t>Predicting Diabetic Distress and Emotional Burden in Type-2 Diabetes Using Explainable AI</t>
  </si>
  <si>
    <t>Diabetes; Machine learning; Accuracy; Random forests; Psychology; Predictive models; Explainable AI; Depression; Anxiety disorders; Support vector machines; Clinical decision support; diabetic distress (DDS); explainable AI (XAI); machine learning (ML); multimodal data analysis; SHapley additive exPlanations (SHAP); type-2 diabetes mellitus (T2DM); XGBoost</t>
  </si>
  <si>
    <t>Bandi, Vamsi/AAW-8723-2021</t>
  </si>
  <si>
    <t>109484</t>
  </si>
  <si>
    <t>109502</t>
  </si>
  <si>
    <t>10.1109/ACCESS.2025.3582191</t>
  </si>
  <si>
    <t>http://dx.doi.org/10.1109/ACCESS.2025.3582191</t>
  </si>
  <si>
    <t>4MN7R</t>
  </si>
  <si>
    <t>WOS:001521568200042</t>
  </si>
  <si>
    <t>Thrun, MC; Hoffmann, J; Röhnert, M; von Bonin, M; Oelschlägel, U; Brendel, C; Ultsch, A</t>
  </si>
  <si>
    <t>Three different Flow Cytometry datasets consisting of diagnostic samples of either peripheral blood (pB) or bone marrow (BM) from patients without any sign of bone marrow disease at two different health care centers are provided. In Flow Cytometry, each cell rapidly passes through a laser beam one by one, and two light scatter, and eight surface parameters of more than 100.000 cells are measured per sample of each patient. The technology swiftly characterizes cells of the immune system at the single-cell level based on antigens presented on the cell surface that are targeted by a set of fluorochrome-conjugated antibodies. The first dataset consists of N = 14 sample files measured in Marburg and the second dataset of N = 44 data files measured in Dresden, of which half are BM samples and half are pB samples. The third dataset contains N = 25 healthy bone marrow samples and N = 25 leukemia bone marrow samples measured in Marburg.The data has been scaled to log between zero and six and used to identify cell populations that are simultaneously meaningful to the clinician and relevant to the distinction of pB vs BM, and BM vs leukemia. Explainable artificial intelligence methods should distinguish these samples and provide meaningful explanations for the classification without taking more than several hours to compute their results. The data described in this article are available in Mendeley Data [1] . (C) 2022 The Authors. Published by Elsevier Inc.</t>
  </si>
  <si>
    <t>Thrun, Michael C.; Hoffmann, Joerg; Roehnert, Maximilian; von Bonin, Malte; Oelschlaegel, Uta; Brendel, Cornelia; Ultsch, Alfred</t>
  </si>
  <si>
    <t>Thrun, MC (corresponding author), Philipps Univ Marburg, Databion Math &amp; Comp Sci, Hans Meerwein Str 6, D-35032 Marburg, Germany.; Thrun, MC (corresponding author), Philipps Univ, Dept Hematol Oncol &amp; Immunol J, Baldinger Str, D-35032 Marburg, Germany.</t>
  </si>
  <si>
    <t>mthrun@informatik.uni-marburg.de</t>
  </si>
  <si>
    <t>[Thrun, Michael C.; Ultsch, Alfred] Philipps Univ Marburg, Databion Math &amp; Comp Sci, Hans Meerwein Str 6, D-35032 Marburg, Germany; [Thrun, Michael C.; Hoffmann, Joerg; Brendel, Cornelia] Philipps Univ, Dept Hematol Oncol &amp; Immunol J, Baldinger Str, D-35032 Marburg, Germany; [Roehnert, Maximilian; von Bonin, Malte; Oelschlaegel, Uta] Univ Klinikum Carl Gustav Carus, Med Klin &amp; Poliklin Bereich Innere Med Hamatol &amp;, Dresden, Germany</t>
  </si>
  <si>
    <t>Philipps University Marburg; Philipps University Marburg; Technische Universitat Dresden; Carl Gustav Carus University Hospital</t>
  </si>
  <si>
    <t>Flow cytometry datasets consisting of peripheral blood and bone marrow samples for the evaluation of explainable artificial intelligence methods</t>
  </si>
  <si>
    <t>DATA IN BRIEF</t>
  </si>
  <si>
    <t>Article; Data Paper</t>
  </si>
  <si>
    <t>Cell populations; Immunophenotyping; Explainable artificial intelligence; Benchmarking; Flow cytometry; Human blood; Human bone marrow; Interpretable machine learning</t>
  </si>
  <si>
    <t>Thrun, Michael/AAM-3231-2020; Brendel, Cornelia/U-5901-2019</t>
  </si>
  <si>
    <t>Thrun, Michael/0000-0001-9542-5543; Röhnert, Maximilian Alexander/0000-0001-8213-2047</t>
  </si>
  <si>
    <t>2352-3409</t>
  </si>
  <si>
    <t>DATA BRIEF</t>
  </si>
  <si>
    <t>Data Brief</t>
  </si>
  <si>
    <t>108382</t>
  </si>
  <si>
    <t>10.1016/j.dib.2022.108382</t>
  </si>
  <si>
    <t>http://dx.doi.org/10.1016/j.dib.2022.108382</t>
  </si>
  <si>
    <t>3H8WH</t>
  </si>
  <si>
    <t>35799850</t>
  </si>
  <si>
    <t>WOS:000832310400017</t>
  </si>
  <si>
    <t>She, WJ; Siriaraya, P; Iwakoshi, H; Kuwahara, N; Senoo, K</t>
  </si>
  <si>
    <t>Background: The opaque nature of artificial intelligence (AI) algorithms has led to distrust in medical contexts, particularly in the treatment and monitoring of atrial fibrillation. Although previous studies in explainable AI have demonstrated potential to address this issue, they often focus solely on electrocardiography graphs and lack real-world field insights. Objective: We addressed this gap by incorporating standardized clinical interpretation of electrocardiography graphs into the system and collaborating with cardiologists to co-design and evaluate this approach using real-world patient cases and data. Methods: We conducted a 3-stage iterative design process with 23 cardiologists to co-design, evaluate, and pilot an explainable AI application. In the first stage, we identified 4 physician personas and 7 explainability strategies, which were reviewed in the second stage. A total of 4 strategies were deemed highly effective and feasible for pilot deployment. On the basis of these strategies, we developed a progressive web application and tested it with cardiologists in the third stage. Results: The final progressive web application prototype received above-average user experience evaluations and effectively motivated physicians to adopt it owing to its ease of use, reliable information, and explainable functionality. In addition, we gathered in-depth field insights from cardiologists who used the system in clinical contexts. Conclusions: Our study identified effective explainability strategies, emphasized the importance of curating actionable features and setting accurate expectations, and suggested that many of these insights could apply to other disease care contexts, paving the way for future real-world clinical evaluations.</t>
  </si>
  <si>
    <t>She, Wan Jou; Siriaraya, Panote; Iwakoshi, Hibiki; Kuwahara, Noriaki; Senoo, Keitaro</t>
  </si>
  <si>
    <t>Senoo, K (corresponding author), Kyoto Prefectural Univ Med, Grad Sch Med Sci, Dept Cardiac Arrhythmia Res &amp; Innovat, 465 Kajii Cho Hirokoji,Kamigyo Ku, Kyoto, Kyoto 6028566, Japan.</t>
  </si>
  <si>
    <t>k-senoo@koto.kpu-m.ac.jp</t>
  </si>
  <si>
    <t>Japanese Circulation Society; Grants-in-Aid for Scientific Research [23K17007] Funding Source: KAKEN</t>
  </si>
  <si>
    <t>Japanese Circulation Society (Japanese Circulation Society); Grants-in-Aid for Scientific Research (Ministry of Education, Culture, Sports, Science and Technology, Japan (MEXT), Japan Society for the Promotion of Science, Grants-in-Aid for Scientific Research (KAKENHI))</t>
  </si>
  <si>
    <t>Acknowledgments This work was supported by a research grant from the Japanese Circulation Society (2021) .</t>
  </si>
  <si>
    <t>[She, Wan Jou; Siriaraya, Panote; Kuwahara, Noriaki] Kyoto Inst Technol, Fac Informat &amp; Human Sci, Kyoto, Japan; [Iwakoshi, Hibiki; Senoo, Keitaro] Kyoto Prefectural Univ Med, Grad Sch Med Sci, Dept Cardiovasc Med, Kyoto, Japan; [Iwakoshi, Hibiki; Senoo, Keitaro] Kyoto Prefectural Univ Med, Grad Sch Med Sci, Dept Cardiac Arrhythmia Res &amp; Innovat, 465 Kajii Cho Hirokoji,Kamigyo Ku, Kyoto, Kyoto 6028566, Japan; [Kuwahara, Noriaki] Kyoto Inst Technol, Dept Adv Fibro Sci, Kyoto, Japan</t>
  </si>
  <si>
    <t>Kyoto Institute of Technology; Kyoto Prefectural University of Medicine; Kyoto Prefectural University of Medicine; Kyoto Institute of Technology</t>
  </si>
  <si>
    <t>An Explainable AI Application (AF'fective) to Support Monitoring of Patients With Atrial Fibrillation After Catheter Ablation: Qualitative Focus Group, Design Session, and Interview Study</t>
  </si>
  <si>
    <t>JMIR HUMAN FACTORS</t>
  </si>
  <si>
    <t>atrial fibrillation; explainable artificial intelligence; explainable AI; user-centered design; prevention; postablation monitoring</t>
  </si>
  <si>
    <t>ARTIFICIAL-INTELLIGENCE; TECHNOLOGY; ACCEPTANCE; MANAGEMENT; DIAGNOSIS; MODEL</t>
  </si>
  <si>
    <t>She, Wan Jou/IUM-4909-2023</t>
  </si>
  <si>
    <t>Senoo, Keitaro/0000-0002-8597-7165; Siriaraya, Panote/0000-0002-4695-6417; She, Wan Jou/0000-0002-1549-5777</t>
  </si>
  <si>
    <t>2292-9495</t>
  </si>
  <si>
    <t>JMIR HUM FACTORS</t>
  </si>
  <si>
    <t>JMIR Hum. Factors</t>
  </si>
  <si>
    <t>e65923</t>
  </si>
  <si>
    <t>10.2196/65923</t>
  </si>
  <si>
    <t>http://dx.doi.org/10.2196/65923</t>
  </si>
  <si>
    <t>X7K6Z</t>
  </si>
  <si>
    <t>39946707</t>
  </si>
  <si>
    <t>WOS:001427096700001</t>
  </si>
  <si>
    <t>Razavi-Termeh, SV; Sadeghi-Niaraki, A; Ali, F; Naqvi, RA; Choi, SM</t>
  </si>
  <si>
    <t>Urbanization's impact on climate is increasingly recognized as a significant public health challenge, particularly for respiratory conditions like asthma. Despite progress in understanding asthma, a critical gap remains regarding the interaction between urban environmental factors and asthma-prone areas. This study addresses this gap by applying innovative spatio-temporal modeling techniques with explainable artificial intelligence (XAI). Using data from 872 asthma patients in Tehran, Iran, and 19 factors affecting asthma exacerbations, including climate and air pollution, spatio-temporal modeling was conducted using XGBoost (eXtreme Gradient Boosting) algorithm optimization by the Bat algorithm (BA). Evaluation of asthma-prone area maps using receiver operating characteristic (ROC) curves revealed accuracies of 97.3 % in spring, 97.5 % in summer, 97.8 % in autumn, and 98.4 % in winter. Interpretability analysis of the XGBoost model utilizing the SHAP (Shapley Additive exPlanations) method highlighted rainfall in spring and autumn and temperature in summer and winter as having the most significant impacts on asthma. Particulate matter (PM2.5) in spring, carbon monoxide (CO) in summer, ozone (O-3) in autumn, and PM10 in winter exhibited the most substantial effects among air pollution factors. This research enhances understanding of asthma dynamics in urban environments, informing targeted interventions for urban planning strategies to mitigate adverse health consequences of urbanization.</t>
  </si>
  <si>
    <t>Razavi-Termeh, Seyed Vahid; Sadeghi-Niaraki, Abolghasem; Ali, Farman; Naqvi, Rizwan Ali; Choi, Soo-Mi</t>
  </si>
  <si>
    <t>Sadeghi-Niaraki, A (corresponding author), Sejong Univ, XR Res Ctr, Dept Comp Sci &amp; Engn &amp; Convergence Engn Intelligen, Seoul, South Korea.; Ali, F (corresponding author), Sungkyunkwan Univ, Coll Comp &amp; Informat, Sch Convergence, Dept Comp Sci &amp; Engn, Seoul 03063, South Korea.</t>
  </si>
  <si>
    <t>a.sadeghi@sejong.ac.kr; farmankanju@yahoo.com</t>
  </si>
  <si>
    <t>ITRC Support Program [IITP-2024-RS-2022-00156354]; Metaverse Support Program to Nurture the Best Talents - Ministry of Science and ICT of Korea [IITP-2024-RS-2023-00254529]; Institute of Information and Communications Technology Planning and Evaluation (IITP)</t>
  </si>
  <si>
    <t>ITRC Support Program; Metaverse Support Program to Nurture the Best Talents - Ministry of Science and ICT of Korea; Institute of Information and Communications Technology Planning and Evaluation (IITP) (Institute for Information &amp; Communication Technology Planning &amp; Evaluation (IITP), Republic of Korea)</t>
  </si>
  <si>
    <t>This work was supported in part by the ITRC Support Program under Grant IITP-2024-RS-2022-00156354 and in part by the Metaverse Support Program to Nurture the Best Talents under Grant IITP-2024-RS-2023-00254529 funded by the Ministry of Science and ICT of Korea and the Institute of Information and Communications Technology Planning and Evaluation (IITP).</t>
  </si>
  <si>
    <t>[Razavi-Termeh, Seyed Vahid; Sadeghi-Niaraki, Abolghasem; Choi, Soo-Mi] Sejong Univ, XR Res Ctr, Dept Comp Sci &amp; Engn &amp; Convergence Engn Intelligen, Seoul, South Korea; [Ali, Farman] Sungkyunkwan Univ, Coll Comp &amp; Informat, Sch Convergence, Dept Comp Sci &amp; Engn, Seoul 03063, South Korea; [Naqvi, Rizwan Ali] Sejong Univ, Dept Intelligent Mechatron Engn, Seoul, South Korea</t>
  </si>
  <si>
    <t>Sejong University; Sungkyunkwan University (SKKU); Sejong University</t>
  </si>
  <si>
    <t>Spatio-temporal modeling of asthma-prone areas: Exploring the influence of urban climate factors with explainable artificial intelligence (XAI)</t>
  </si>
  <si>
    <t>SUSTAINABLE CITIES AND SOCIETY</t>
  </si>
  <si>
    <t>Urban environmental factors; Asthma; Spatio-temporal modeling; Explainable artificial intelligence (XAI); Healthy cities</t>
  </si>
  <si>
    <t>PARTICULATE MATTER; AIR-POLLUTION; EXPOSURE; ALLERGY; GIS; OPTIMIZATION; PREDICTION</t>
  </si>
  <si>
    <t>Ali, farman/AAA-9677-2020; Sadeghi-Niaraki, Abolghasem/AAS-8441-2020; Naqvi, Rizwan/AAW-9242-2020; Razavi-Termeh, Seyed Vahid/ABD-7101-2020</t>
  </si>
  <si>
    <t>Ali, farman/0000-0002-9420-1588; Sadeghi-Niaraki, Abolghasem/0000-0002-0048-8216; Choi, Soo-Mi/0000-0002-6710-1434; Razavi-Termeh, Seyed Vahid/0000-0001-5898-9892</t>
  </si>
  <si>
    <t>2210-6707</t>
  </si>
  <si>
    <t>2210-6715</t>
  </si>
  <si>
    <t>SUSTAIN CITIES SOC</t>
  </si>
  <si>
    <t>Sust. Cities Soc.</t>
  </si>
  <si>
    <t>DEC 1 2024</t>
  </si>
  <si>
    <t>116</t>
  </si>
  <si>
    <t>105889</t>
  </si>
  <si>
    <t>10.1016/j.scs.2024.105889</t>
  </si>
  <si>
    <t>http://dx.doi.org/10.1016/j.scs.2024.105889</t>
  </si>
  <si>
    <t>Construction &amp; Building Technology; Green &amp; Sustainable Science &amp; Technology; Energy &amp; Fuels</t>
  </si>
  <si>
    <t>Construction &amp; Building Technology; Science &amp; Technology - Other Topics; Energy &amp; Fuels</t>
  </si>
  <si>
    <t>L9D6S</t>
  </si>
  <si>
    <t>WOS:001353658000001</t>
  </si>
  <si>
    <t>Abdelwahab, Y; Kholief, M; Sedky, AAH</t>
  </si>
  <si>
    <t>With the increasing use of machine learning across various fields to address several aims and goals, the complexity of the ML and Deep Learning (DL) approaches used to provide solutions has also increased. In the last few years, Explainable AI (XAI) methods to further justify and interpret deep learning models have been introduced across several domains and fields. While most papers have applied XAI to English and other Latin-based languages, this paper aims to explain attention-based long short-term memory (LSTM) results across Arabic Sentiment Analysis (ASA), which is considered an uncharted area in previous research. With the use of Local Interpretable Model-agnostic Explanation (LIME), we intend to further justify and demonstrate how the LSTM leads to the prediction of sentiment polarity within ASA in domain-specific Arabic texts regarding medical insights on LASIK surgery across Twitter users. In our research, the LSTM reached an accuracy of 79.1% on the proposed data set. Throughout the representation of sentiments using LIME, it demonstrated accurate results regarding how specific words contributed to the overall sentiment polarity classification. Furthermore, we compared the word count with the probability weights given across the examples, in order to further validate the LIME results in the context of ASA.</t>
  </si>
  <si>
    <t>Abdelwahab, Youmna; Kholief, Mohamed; Sedky, Ahmed Ahmed Hesham</t>
  </si>
  <si>
    <t>Abdelwahab, Y (corresponding author), Arab Acad Sci Technol &amp; Maritime Transport, Coll Comp, Alexandria 1029, Egypt.</t>
  </si>
  <si>
    <t>Youmna.Abdelfattah5@student.aast.edu</t>
  </si>
  <si>
    <t>[Abdelwahab, Youmna; Kholief, Mohamed; Sedky, Ahmed Ahmed Hesham] Arab Acad Sci Technol &amp; Maritime Transport, Coll Comp, Alexandria 1029, Egypt</t>
  </si>
  <si>
    <t>Egyptian Knowledge Bank (EKB); Arab Academy for Science, Technology &amp; Maritime Transport</t>
  </si>
  <si>
    <t>Justifying Arabic Text Sentiment Analysis Using Explainable AI (XAI): LASIK Surgeries Case Study</t>
  </si>
  <si>
    <t>deep learning; LSTM; Arabic sentiment analysis; Explainable AI; text mining</t>
  </si>
  <si>
    <t>Kholief, Mohamed/0000-0002-0043-6205; Abdelwahab Abdelfattah, Youmna/0000-0001-7332-1938</t>
  </si>
  <si>
    <t>10.3390/info13110536</t>
  </si>
  <si>
    <t>http://dx.doi.org/10.3390/info13110536</t>
  </si>
  <si>
    <t>6V5IL</t>
  </si>
  <si>
    <t>WOS:000895081200001</t>
  </si>
  <si>
    <t>Colak, C; Yagin, FH; Algarni, A; Algarni, A; Al-Hashem, F; Ardigò, LP</t>
  </si>
  <si>
    <t>Background and objectives: Breast cancer (BC) is the most common type of cancer in women, accounting for more than 30% of new female cancers each year. Although various treatments are available for BC, most cancer-related deaths are due to incurable metastases. Therefore, the early diagnosis and treatment of BC are crucial before metastasis. Mammography and ultrasonography are primarily used in the clinic for the initial identification and staging of BC; these methods are useful for general screening but have limitations in terms of sensitivity and specificity. Omics-based biomarkers, like metabolomics, can make early diagnosis much more accurate, make tracking the disease's progression more accurate, and help make personalized treatment plans that are tailored to each tumor's specific molecular profile. Metabolomics technology is a feasible and comprehensive method for early disease detection and biomarker identification at the molecular level. This research aimed to establish an interpretable predictive artificial intelligence (AI) model using plasma-based metabolomics panel data to identify potential biomarkers that distinguish BC individuals from healthy controls. Method and materials: A cohort of 138 BC patients and 76 healthy controls were studied. Plasma metabolites were examined using LC-TOFMS and GC-TOFMS techniques. Extreme Gradient Boosting (XGBoost), Light Gradient Boosting Machine (LightGBM), Adaptive Boosting (AdaBoost), and Random Forest (RF) were evaluated using performance metrics such as Receiver Operating Characteristic-Area Under the Curve (ROC AUC), accuracy, sensitivity, specificity, and F1 score. ROC and Precision-Recall (PR) curves were generated for comparative analysis. The SHapley Additive Descriptions (SHAP) analysis evaluated the optimal prediction model for interpretability. Results: The RF algorithm showed improved accuracy (0.963 +/- 0.043) and sensitivity (0.977 +/- 0.051); however, LightGBM achieved the highest ROC AUC (0.983 +/- 0.028). RF also achieved the best Precision-Recall Area under the Curve (PR AUC) at 0.989. SHAP search found glycerophosphocholine and pentosidine as the most significant discriminatory metabolites. Uracil, glutamine, and butyrylcarnitine were also among the significant metabolites. Conclusions: Metabolomics biomarkers and an explainable AI (XAI)-based prediction model showed significant diagnostic accuracy and sensitivity in the detection of BC. The proposed XAI system using interpretable metabolite data can serve as a clinical decision support tool to improve early diagnosis processes.</t>
  </si>
  <si>
    <t>Yagin, FH (corresponding author), Inonu Univ, Fac Med, Dept Biostat &amp; Med Informat, TR-44280 Malatya, Turkiye.; Ardigò, LP (corresponding author), NLA Univ Coll, Dept Teacher Educ, Linstows Gate 3, N-0166 Oslo, Norway.</t>
  </si>
  <si>
    <t>Proposed Comprehensive Methodology Integrated with Explainable Artificial Intelligence for Prediction of Possible Biomarkers in Metabolomics Panel of Plasma Samples for Breast Cancer Detection</t>
  </si>
  <si>
    <t>breast cancer; metabolomics; biomarker; machine learning; explainable artificial intelligence</t>
  </si>
  <si>
    <t>YAĞIN, Fatma Hilal/ABI-8066-2020; ÇOLAK, Cemil/ABI-3261-2020; Algarni, Abdulmohsen/HRA-7138-2023; Algarni, Ali/KIL-6898-2024; Ardigò, Luca Paolo/H-8955-2019; AL-Hashem, Fahaid/GPS-8057-2022</t>
  </si>
  <si>
    <t>YAĞIN, Fatma Hilal/0000-0002-9848-7958; ÇOLAK, Cemil/0000-0001-5406-098X; Algarni, Abdulmohsen/0000-0002-7556-958X; Algarni, Ali/0009-0002-6718-517X; Ardigò, Luca Paolo/0000-0001-7677-5070</t>
  </si>
  <si>
    <t>581</t>
  </si>
  <si>
    <t>10.3390/medicina61040581</t>
  </si>
  <si>
    <t>http://dx.doi.org/10.3390/medicina61040581</t>
  </si>
  <si>
    <t>1WE9U</t>
  </si>
  <si>
    <t>40282875</t>
  </si>
  <si>
    <t>WOS:001475112800001</t>
  </si>
  <si>
    <t>Heinke, A; Huang, LL; Simpkins, KU; Kalaw, FGP; Karsolia, A; Singh, K; Soundarajan, S; Panny, B; Nebeker, C; Baxter, SL; Lee, CS; Lee, AY; Patel, B</t>
  </si>
  <si>
    <t>Artificial Intelligence (AI) is rapidly transforming healthcare, but also raising concerns about algorithmic biases that mostly stem from the training data. It is widely supported that transparent dataset documentation is key to enabling responsible AI development. Several standardized dataset documentation approaches have been established, such as Datasheet, Dataset Nutrition Label, Accountability Documentation, Healthsheet, and Data Card. However, their suitability and usage for health datasets remain unclear. In this Analysis, we compared all five approaches and evaluated their alignment with the STANDING Together Recommendations for Documentation of Health Datasets. We also investigated their real-world usage and gathered insights from generators and consumers of health datasets. Our findings reveal that none of these documentation approaches are used widely or fully suited for health datasets. We recommend developing a standard documentation approach for health datasets along with clear guidelines and automation tools to support adoption.</t>
  </si>
  <si>
    <t>Heinke, Anna; Huang, Lingling; Simpkins, Kyongmi U.; Kalaw, Fritz Gerald P.; Karsolia, Apoorva; Singh, Kiratjit; Soundarajan, Sanjay; Panny, Benjamin; Nebeker, Camille; Baxter, Sally L.; Lee, Cecilia S.; Lee, Aaron Y.; Patel, Bhavesh</t>
  </si>
  <si>
    <t>Patel, B (corresponding author), Calif Med Innovat Inst, FAIR Data Innovat Hub, San Diego, CA 92121 USA.</t>
  </si>
  <si>
    <t>bpatel@calmi2.org</t>
  </si>
  <si>
    <t>National Institutes of Health Bridge2AI Project [OT2OD032644]</t>
  </si>
  <si>
    <t>National Institutes of Health Bridge2AI Project (United States Department of Health &amp; Human Services, National Institutes of Health (NIH) - USA, Office of the Administrator (NIH))</t>
  </si>
  <si>
    <t>This work was supported by the US National Institutes of Health (NIH) through grant OT2OD032644.</t>
  </si>
  <si>
    <t>[Heinke, Anna] Jacobs Retina Ctr, La Jolla, CA USA; [Heinke, Anna; Huang, Lingling; Simpkins, Kyongmi U.; Kalaw, Fritz Gerald P.; Karsolia, Apoorva; Baxter, Sally L.] Univ Calif San Diego, Viterbi Family Dept Ophthalmol, La Jolla, CA 92037 USA; [Heinke, Anna; Huang, Lingling; Simpkins, Kyongmi U.; Kalaw, Fritz Gerald P.; Karsolia, Apoorva; Baxter, Sally L.] Univ Calif San Diego, Shiley Eye Inst, La Jolla, CA 92037 USA; [Heinke, Anna; Kalaw, Fritz Gerald P.; Baxter, Sally L.] Univ Calif San Diego, Viterbi Family Dept Ophthalmol, Div Ophthalmol Informat &amp; Data Sci, La Jolla, CA USA; [Kalaw, Fritz Gerald P.; Baxter, Sally L.] Univ Calif San Diego, Dept Med, Div Biomed Informat, La Jolla, CA USA; [Singh, Kiratjit] Univ Calif Davis, Dept Elect &amp; Comp Engn, Davis, CA USA; [Soundarajan, Sanjay; Patel, Bhavesh] Calif Med Innovat Inst, FAIR Data Innovat Hub, San Diego, CA 92121 USA; [Panny, Benjamin] Univ Pittsburgh, Intelligent Syst Program, Pittsburgh, PA USA; [Nebeker, Camille] Univ Calif San Diego, Herbert Wertheim Sch Publ Hlth &amp; Human Longev Sci, La Jolla, CA USA; [Lee, Cecilia S.; Lee, Aaron Y.] Univ Washington, Dept Ophthalmol, Seattle, WA USA; [Lee, Cecilia S.; Lee, Aaron Y.] Washington Univ St Louis, John Hardesty MD Dept Ophthalmol &amp; Visual Sci, St Louis, MO USA</t>
  </si>
  <si>
    <t>University of California System; University of California San Diego; University of California System; University of California San Diego; University of California System; University of California San Diego; University of California System; University of California San Diego; University of California System; University of California Davis; Pennsylvania Commonwealth System of Higher Education (PCSHE); University of Pittsburgh; University of California System; University of California San Diego; University of Washington; University of Washington Seattle; Washington University (WUSTL)</t>
  </si>
  <si>
    <t>AI READI Consortium</t>
  </si>
  <si>
    <t>Dataset documentation for responsible AI: analysis of suitability and usage for health datasets</t>
  </si>
  <si>
    <t>Heinke, Anna/NSU-4050-2025; lee, cecilia/AEP-6583-2022</t>
  </si>
  <si>
    <t>MAY 9 2026</t>
  </si>
  <si>
    <t>547</t>
  </si>
  <si>
    <t>10.1038/s41746-026-02714-2</t>
  </si>
  <si>
    <t>http://dx.doi.org/10.1038/s41746-026-02714-2</t>
  </si>
  <si>
    <t>LG3HB</t>
  </si>
  <si>
    <t>42106553</t>
  </si>
  <si>
    <t>WOS:001823916200002</t>
  </si>
  <si>
    <t>Varaprasad, SA; Goel, T</t>
  </si>
  <si>
    <t>Schizophrenia (SZ) is a complex mental disorder characterized by a profound disruption in cognition and emotion, often resulting in a distorted perception of reality. Magnetic resonance imaging (MRI) is an essential tool for diagnosing SZ which helps to understand the organization of the brain. Functional MRI (fMRI) is a specialized imaging technique to measure and map brain activity by detecting changes in blood flow and oxygenation. The proposed paper correlates the results using an explainable deep learning approach to identify the significant regions of SZ patients using group-level analysis for both structural MRI (sMRI) and fMRI data. The study found that the heat maps for Grad-CAM show clear visualization in the frontal lobe for the classification of SZ and CN with a 97.33% accuracy. The group difference analysis reveals that sMRI data shows intense voxel activity in the right superior frontal gyrus of the frontal lobe in SZ patients. Also, the group difference between SZ and CN during n-back tasks of fMRI data indicates significant voxel activation in the frontal cortex of the frontal lobe. These findings suggest that the frontal lobe plays a crucial role in the diagnosis of SZ, aiding clinicians in planning the treatment.</t>
  </si>
  <si>
    <t>Varaprasad, S. A.; Goel, Tripti</t>
  </si>
  <si>
    <t>Goel, T (corresponding author), Natl Inst Technol Silchar, Biomed Imaging Lab, Silchar 788010, Assam, India.</t>
  </si>
  <si>
    <t>triptigoel@ece.nits.ac.in; sirigineedi21_rs@ece.nits.ac.in</t>
  </si>
  <si>
    <t>[Varaprasad, S. A.; Goel, Tripti] Natl Inst Technol Silchar, Biomed Imaging Lab, Silchar 788010, Assam, India</t>
  </si>
  <si>
    <t>National Institute of Technology (NIT System); National Institute of Technology Silchar</t>
  </si>
  <si>
    <t>Exploring the significance of the frontal lobe for diagnosis of schizophrenia using explainable artificial intelligence and group level analysis</t>
  </si>
  <si>
    <t>PSYCHIATRY RESEARCH-NEUROIMAGING</t>
  </si>
  <si>
    <t>Frontal lobe; Gradient-weighted Class Activation Mapping (Grad-CAM); Structural magnetic resonance imaging; Functional magnetic resonance imaging; Statistical analysis</t>
  </si>
  <si>
    <t>, SIRIGINEEDI A VARAPRASAD/0000-0001-8605-2853</t>
  </si>
  <si>
    <t>0925-4927</t>
  </si>
  <si>
    <t>1872-7506</t>
  </si>
  <si>
    <t>PSYCHIAT RES-NEUROIM</t>
  </si>
  <si>
    <t>Psychiatry Res. Neuroimaging</t>
  </si>
  <si>
    <t>349</t>
  </si>
  <si>
    <t>111969</t>
  </si>
  <si>
    <t>10.1016/j.pscychresns.2025.111969</t>
  </si>
  <si>
    <t>http://dx.doi.org/10.1016/j.pscychresns.2025.111969</t>
  </si>
  <si>
    <t>Clinical Neurology; Neuroimaging; Psychiatry</t>
  </si>
  <si>
    <t>Neurosciences &amp; Neurology; Psychiatry</t>
  </si>
  <si>
    <t>0LB3W</t>
  </si>
  <si>
    <t>40096788</t>
  </si>
  <si>
    <t>WOS:001449916300001</t>
  </si>
  <si>
    <t>Sharma, NK; Shahid, S; Kumar, S; Sharma, S; Kumar, N; Gupta, T; Gupta, RK</t>
  </si>
  <si>
    <t>Administration of anesthesia is essential in surgical procedures, ensuring patient unconsciousness and safety. Traditional Depth of Anesthesia (DoA) assessment methods rely heavily on the clinical expertise of anesthesiologists and patient physiological responses, which can vary widely due to age, weight, and ethnicity. This variability poses significant challenges in maintaining appropriate anesthesia levels and making timely decisions in critical situations. To address these challenges, we propose XAI-VSDoA, an explainable AI model using vital signs designed to augment DoA assessment by providing accurate predictions and interpretable insights. In this work, we experimented with various machine learning classifiers, including XGBoost, CatBoost, LightGBM, Random Forest, ResNet, and Feed-forward Neural Networks. Among these, the XGBoost model achieved the highest accuracy, with 99.34% on the University of Queensland dataset and 93.07% on the VitalDB dataset. Statistical testing confirmed that XGBoost outperformed the other models. We employed explainable AI techniques such as LIME and SHAP to identify the top 10 features significantly influencing the model's predictions, ensuring the model's transparency and reliability. These methods consistently highlighted the same influential features, reinforcing the model's interpretability. Our proposed scheme demonstrated exceptional performance using numeric vital signs, with XAI techniques validating the key features. This interpretability boosts confidence in the model, enhancing its utility to augument and support the clininal observations of anethesiologiss in anesthesia management. Our findings underscore the potential of XAI-VSDoA as a valuable tool for clinical use, enhancing patient safety and decision-making in anesthesia.</t>
  </si>
  <si>
    <t>Sharma, Neeraj Kumar; Shahid, Sakeena; Kumar, Subodh; Sharma, Sanjeev; Kumar, Naveen; Gupta, Tanya; Gupta, Rakesh Kumar</t>
  </si>
  <si>
    <t>Kumar, S (corresponding author), Cent Univ Rajasthan, Dept Data Sci &amp; Analyt, Ajmer 305817, Rajasthan, India.</t>
  </si>
  <si>
    <t>subodh.kumar@curaj.ac.in</t>
  </si>
  <si>
    <t>Indian Council of Medical Research (ICMR), New Delhi, India [2021-13397]</t>
  </si>
  <si>
    <t>Indian Council of Medical Research (ICMR), New Delhi, India (Indian Council of Medical Research (ICMR))</t>
  </si>
  <si>
    <t>This work was supported by the Indian Council of Medical Research (ICMR), New Delhi, India, under the Extramural Research Program under Project 2021-13397.</t>
  </si>
  <si>
    <t>[Sharma, Neeraj Kumar] Univ Delhi, Ram Lal Anand Coll, Dept Comp Sci, Delhi 110021, India; [Shahid, Sakeena] Univ Delhi, Sri Guru Tegh Bahadur Khalsa Coll, Dept Comp Sci, Delhi 110021, India; [Kumar, Subodh] Cent Univ Rajasthan, Dept Data Sci &amp; Analyt, Ajmer 305817, Rajasthan, India; [Sharma, Sanjeev] Atal Bihari Vajpayee Inst Med Sci &amp; Dr Ram Manohar, Dept Anaesthesia, Delhi 110001, India; [Kumar, Naveen; Gupta, Tanya] Univ Delhi, Dept Comp Sci, Delhi 110021, India; [Gupta, Rakesh Kumar] Univ Delhi, Ram Lal Anand Coll, Dept Microbiol, Delhi 110021, India</t>
  </si>
  <si>
    <t>University of Delhi; Sri Guru Tegh Bahadur Khalsa College Delhi; University of Delhi; Central University of Rajasthan (CURAJ); University of Delhi; University of Delhi</t>
  </si>
  <si>
    <t>XAI-VSDoA: An Explainable AI-Based Scheme Using Vital Signs to Assess Depth of Anesthesia</t>
  </si>
  <si>
    <t>Anesthesia; Biomedical monitoring; Monitoring; Brain modeling; Heart rate variability; Boosting; Explainable AI; Depth of anesthesia; Bispectral Index; local interpretable model-agnostic explanations (LIME); machine learning; SHapley Additive exPlanations (SHAP); explainable artificial intelligence (XAI); vital signs; vital signs</t>
  </si>
  <si>
    <t>EEG SIGNALS; AWARENESS</t>
  </si>
  <si>
    <t>Kumar, Naveen/N-9993-2018; KUMAR, SUBODH/IUN-3200-2023; /AAM-4793-2020; Sharma, Neeraj Kumar/IXN-0199-2023</t>
  </si>
  <si>
    <t>Kumar, Naveen/0000-0001-9869-460X; KUMAR, SUBODH/0000-0002-7885-2612; Shahid, Sakeena/0009-0003-1596-4742; Sharma, Neeraj Kumar/0000-0003-3663-8914</t>
  </si>
  <si>
    <t>119185</t>
  </si>
  <si>
    <t>119206</t>
  </si>
  <si>
    <t>10.1109/ACCESS.2024.3449704</t>
  </si>
  <si>
    <t>http://dx.doi.org/10.1109/ACCESS.2024.3449704</t>
  </si>
  <si>
    <t>F0E1Q</t>
  </si>
  <si>
    <t>WOS:001306631300001</t>
  </si>
  <si>
    <t>Ashfaq, MT; Javaid, N; Alrajeh, N; Ali, SS</t>
  </si>
  <si>
    <t>Accurate predictive models are crucial for early detection and intervention of Heart Disease (HD), which continues to be a major cause of death worldwide. However, the challenges of high dimensionality and data imbalance affect the precision and generalizability of predictions. We propose a novel deep model, the Fully Connected Wave Network (FCW-Net), for early HD prediction. To mitigate class imbalance, Proximity Weighted Synthetic (ProWSyn) oversampling technique is employed, while Principal Component Analysis (PCA) is used to reduce dimensionality, enhancing model efficiency and prediction accuracy. With an AUC-ROC of 0.9622, an accuracy of 0.9237, a precision of 0.8856, an F1-score of 0.9268, and a recall of 0.9721, our results demonstrate that the FCW-Net deep model achieves superior performance than baseline models when using PCA and ProWSyn. Model transparency is further improved by eXplainable Artificial Intelligence technique, SHapley Additive exPlanations analysis, which provides insights into feature contributions to HD risk.</t>
  </si>
  <si>
    <t>Ashfaq, Muhammad Talha; Javaid, Nadeem; Alrajeh, Nabil; Ali, Syed Saqib</t>
  </si>
  <si>
    <t>Javaid, N (corresponding author), Natl Yunlin Univ Sci &amp; Technol, Int Grad Sch Artificial Intelligence, ComSens Lab, Yunlin 64002, Taiwan.</t>
  </si>
  <si>
    <t>King Saud University [RSPD2025R648]; King Saud University</t>
  </si>
  <si>
    <t>King Saud University (King Saud University); King Saud University (King Saud University)</t>
  </si>
  <si>
    <t>The authors extend their appreciation to the Researchers Supporting Program for Project number (RSPD2025R648), at King Saud University for supporting this research project.</t>
  </si>
  <si>
    <t>[Ashfaq, Muhammad Talha] COMSATS Univ Islamabad, Dept Comp Sci, Islamabad 44000, Pakistan; [Javaid, Nadeem] Natl Yunlin Univ Sci &amp; Technol, Int Grad Sch Artificial Intelligence, ComSens Lab, Yunlin 64002, Taiwan; [Alrajeh, Nabil; Ali, Syed Saqib] King Saud Univ, Coll Appl Med Sci, Dept Biomed Technol, Riyadh 11633, Saudi Arabia</t>
  </si>
  <si>
    <t>COMSATS University Islamabad (CUI); National Yunlin University Science &amp; Technology; King Saud University</t>
  </si>
  <si>
    <t>An explainable AI based new deep learning solution for efficient heart disease prediction at early stages</t>
  </si>
  <si>
    <t>Deep learning; Heart disease; Healthcare; Principal Component Analysis; Proximity Weighted Synthetic; Fully Connected Wave Network; eXplainable Artificial Intelligence technique; SHapley Additive exPlanations</t>
  </si>
  <si>
    <t>Ashfaq, Muhammad/OHU-5310-2025; Javaid, Nadeem/B-8835-2014</t>
  </si>
  <si>
    <t>FEB 6 2025</t>
  </si>
  <si>
    <t>10.1007/s12530-025-09664-2</t>
  </si>
  <si>
    <t>http://dx.doi.org/10.1007/s12530-025-09664-2</t>
  </si>
  <si>
    <t>U9R4X</t>
  </si>
  <si>
    <t>WOS:001415075100003</t>
  </si>
  <si>
    <t>Gluszak, L; Gluszak, F</t>
  </si>
  <si>
    <t>Autonomous artificial intelligence (AI) agents are no longer advisory. They execute transactions, orchestrate multi-agent pipelines and modify enterprise data with minimal human intervention. Yet the governance frameworks organisations rely on were built for a different artefact: one that recommends rather than acts. This paper argues that delegation, not architecture, is the primary variable that governance frameworks for agentic AI must address and that existing frameworks, including NIST AI RMF and the EU AI Act, do not adequately operationalise governance at the delegation level. A multi-corpus bibliometric analysis of 795 peer-reviewed publications (2020-2026) provides evidence of three structurally isolated scholarly communities (AI ethics governance, MLOps operationalisation and agentic enterprise integration) developing in parallel without convergence, leaving the high-autonomy, high-accountability quadrant theoretically underserved. Grounded in three complementary theoretical pillars (IT Governance theory, Socio-Technical Systems theory and IS Artefact Delegation theory), we derive the Delegated Agentic Governance Model (DAGM): a conditional governance matrix that assigns governance requirements to each level of autonomy delegated to AI agents across three tiers (Advisory, Operational, Autonomous). We introduce Generative AI governance debt as a prerequisite construct, articulate seven design principles and derive three falsifiable propositions linking delegation-governance alignment to enterprise failure rates. The DAGM provides AI managers with an immediately actionable governance readiness instrument and establishes the theoretical foundation for a research agenda on delegation-calibrated AI governance across finance, healthcare and manufacturing.</t>
  </si>
  <si>
    <t>Gluszak, Leila; Gluszak, Filip</t>
  </si>
  <si>
    <t>Gluszak, L (corresponding author), Paris Nanterre Univ, F-92001 Nanterre, France.</t>
  </si>
  <si>
    <t>filip.gluszak@yahoo.com; leila.gluszak@outlook.com</t>
  </si>
  <si>
    <t>[Gluszak, Leila] Paris Nanterre Univ, F-92001 Nanterre, France; [Gluszak, Filip] Sciences Po, F-75007 Paris, France</t>
  </si>
  <si>
    <t>Delegated Agentic Governance: A Delegation-Centred Framework for Managing Autonomous AI in Organisations</t>
  </si>
  <si>
    <t>JOURNAL OF INFORMATION &amp; KNOWLEDGE MANAGEMENT</t>
  </si>
  <si>
    <t>Agentic AI; IS artefact delegation; AI governance; AI management; delegated agentic governance model; GenAI governance debt; autonomy levels; bibliometric analysis</t>
  </si>
  <si>
    <t>0219-6492</t>
  </si>
  <si>
    <t>1793-6926</t>
  </si>
  <si>
    <t>J INF KNOWL MANAG</t>
  </si>
  <si>
    <t>J. Inf. Knowl. Manag.</t>
  </si>
  <si>
    <t>10.1142/S0219649226500486</t>
  </si>
  <si>
    <t>http://dx.doi.org/10.1142/S0219649226500486</t>
  </si>
  <si>
    <t>Information Science &amp; Library Science</t>
  </si>
  <si>
    <t>LI0UZ</t>
  </si>
  <si>
    <t>WOS:001825104900001</t>
  </si>
  <si>
    <t>Rahman, J; Delaforce, A; Bradford, D; Li, J; Magrabi, F; Cook, D; Brankovic, A</t>
  </si>
  <si>
    <t>Background: Artificial intelligence (AI)-driven clinical decision support (CDS) tools offer promising solutions for health care delivery by optimizing resource allocation, detecting deterioration, and enabling early interventions. However, adoption remains limited due to insufficient validation and a lack of transparency and trust. Explainable AI (XAI) seeks to improve user understanding of AI outputs; however, how clinicians interpret and integrate these explanations into their decision-making remains underexplored. Furthermore, discrepancies in explanations, known as the "disagreement problem," can undermine trust and, at worst, lead to poor clinical decisions. Objective: This study examines clinicians' perspectives on the role and value of explainability in AI-driven CDS tools within Australian critical care settings and the impact of discrepancies in AI-generated explanations on clinical decision-making. Methods: Qualitative data were collected using semistructured interviews with 14 clinical experts, incorporating scenario-based exercises, and were analyzed using inductive thematic analysis. Results: Clinicians valued explainability, particularly in complex or unfamiliar situations, when explanations were clear, plausible, and actionable. Trust and perceived usefulness extended beyond explanation quality, encompassing factors such as system accuracy, alignment with clinicians' reasoning, workflow integration, and perceived reliability. Discrepancies in explanations generated by different XAI methods were not a major concern, provided that the AI-generated predictive alerts were accurate. Conclusions: This study provides design recommendations for developing trustworthy, user-centric CDS tools that incorporate XAI. Findings highlight that explainability is critical for establishing initial trust in AI-driven tools by supporting perceived usefulness, but its importance diminishes over time and with user expertise and familiarity, as learned usefulness takes precedence. Recommendations highlight the importance of aligning the design and implementation of AI tools with clinicians' needs to enhance trust, mitigate risks, and promote successful adoption for improved patient outcomes.</t>
  </si>
  <si>
    <t>Rahman, Jessica; Delaforce, Alana; Bradford, DanaKai; Li, Jane; Magrabi, Farah; Cook, David; Brankovic, Aida</t>
  </si>
  <si>
    <t>Rahman, J (corresponding author), Commonwealth Sci &amp; Ind Res Org CSIRO, Australian Ehlth Res Ctr, 160 Hawkesbury Rd, Sydney, NSW 2145, Australia.</t>
  </si>
  <si>
    <t>jessica.rahman@csiro.au</t>
  </si>
  <si>
    <t>CSIRO Responsible Innovation Future Science Platform; Australian e-Health Research Centre</t>
  </si>
  <si>
    <t>CSIRO Responsible Innovation Future Science Platform (Commonwealth Scientific &amp; Industrial Research Organisation (CSIRO), CSIRO Data61); Australian e-Health Research Centre (Commonwealth Scientific &amp; Industrial Research Organisation (CSIRO))</t>
  </si>
  <si>
    <t>This project was funded by the CSIRO Responsible Innovation Future Science Platform and the Australian e-Health Research Centre.</t>
  </si>
  <si>
    <t>[Rahman, Jessica; Li, Jane] Commonwealth Sci &amp; Ind Res Org CSIRO, Australian Ehlth Res Ctr, 160 Hawkesbury Rd, Sydney, NSW 2145, Australia; [Delaforce, Alana; Bradford, DanaKai; Cook, David; Brankovic, Aida] Commonwealth Sci &amp; Ind Res Org CSIRO, Australian Ehlth Res Ctr, Brisbane, Qld, Australia; [Delaforce, Alana] Griffith Univ, Sch Nursing &amp; Midwifery, Brisbane, Australia; [Magrabi, Farah] Macquarie Univ, Australian Inst Hlth Innovat, Sydney, Australia; [Cook, David] Princess Alexandra Hosp, Intens Care Unit, Brisbane, Australia</t>
  </si>
  <si>
    <t>Commonwealth Scientific &amp; Industrial Research Organisation (CSIRO); Commonwealth Scientific &amp; Industrial Research Organisation (CSIRO); Australian e-Health Research Centre; Griffith University; Macquarie University; Princess Alexandra Hospital</t>
  </si>
  <si>
    <t>The Role of Explanations in AI-Generated Alerts: Qualitative Study of Clinical Views on Explainable AI in Predictive Tools</t>
  </si>
  <si>
    <t>artificial intelligence; explainable artificial intelligence; explainable AI; disagreement in XAI; clinical decision support; qualitative research; human factors</t>
  </si>
  <si>
    <t>Bradford, DanaKai/B-7561-2017; Brankovic, Aida/GVU-4562-2022; Magrabi, Farah/AFO-8425-2022; Delaforce, Alana/LDG-3998-2024</t>
  </si>
  <si>
    <t>e81460</t>
  </si>
  <si>
    <t>10.2196/81460</t>
  </si>
  <si>
    <t>http://dx.doi.org/10.2196/81460</t>
  </si>
  <si>
    <t>HP3BW</t>
  </si>
  <si>
    <t>42066251</t>
  </si>
  <si>
    <t>WOS:001759470800001</t>
  </si>
  <si>
    <t>Xi, JN; Wang, D; Yang, XB; Zhang, WS; Huang, QH</t>
  </si>
  <si>
    <t>The application of Artificial Intelligence (AI) on cancer drug recommendation can prompt the development of personalized cancer therapy. However, most of the current AI drug recommendations cannot give explainable inferences, where their prediction procedures are black boxes, and are difficult to earn the trust of doctors or patients. In explainable inference, the key steps during the recommendation procedures can be located easily, facilitating model adjustment for wrong predictions and model generalization for new drugs/samples. In this paper, we analyze the necessity of developing explainable AI drug recommendation, and propose an evaluation metric called traceability rate. The traceability rate is calculated as the proportion of correct predictions that are traceable along the knowledge graph in all the ground truths. We further conduct an experiment on a benchmark drug response dataset to apply the traceability rate as evaluation metric, where the results show a trade-off between model performance and explainability. Therefore, the explainable AI drug recommendation still demands for further improvement to meet the requirement of clinical personalized therapy.</t>
  </si>
  <si>
    <t>Xi, Jianing; Wang, Dan; Yang, Xuebing; Zhang, Wensheng; Huang, Qinghua</t>
  </si>
  <si>
    <t>Xi, JN; Huang, QH (corresponding author), Northwestern Polytech Univ, Sch Artificial Intelligence Opt &amp; Elect iOPEN, Xian 710072, Peoples R China.</t>
  </si>
  <si>
    <t>qhhuang@nwpu.edu.cn; xjn@nwpu.edu.cn</t>
  </si>
  <si>
    <t>National Key Research and Development Program of China [2018AAA0102104]; National Natural Science Foundation of China [61901322, 62071382]</t>
  </si>
  <si>
    <t>National Key Research and Development Program of China (National Key Research &amp; Development Program of China); National Natural Science Foundation of China (National Natural Science Foundation of China (NSFC))</t>
  </si>
  <si>
    <t>Acknowledgment This work is supported in partially by the National Key Research and Development Program of China (Grant No. 2018AAA0102104) , and partially by the National Natural Science Foundation of China (Grant Nos. 61901322 and 62071382) . (Corresponding authors: Jianing Xi; Qinghua Huang.)</t>
  </si>
  <si>
    <t>[Xi, Jianing; Huang, Qinghua] Northwestern Polytech Univ, Sch Artificial Intelligence Opt &amp; Elect iOPEN, Xian 710072, Peoples R China; [Wang, Dan] Northwestern Polytech Univ, Sch Comp Sci, Xian 710072, Peoples R China; [Yang, Xuebing; Zhang, Wensheng] Chinese Acad Sci, Inst Automat, Res Ctr Precis Sensing &amp; Control, Beijing 100190, Peoples R China; [Zhang, Wensheng] Univ Chinese Acad Sci, Beijing 101408, Peoples R China</t>
  </si>
  <si>
    <t>Northwestern Polytechnical University; Northwestern Polytechnical University; Chinese Academy of Sciences; Institute of Automation, CAS; Chinese Academy of Sciences; University of Chinese Academy of Sciences, CAS</t>
  </si>
  <si>
    <t>Cancer omic data based explainable AI drug recommendation inference: A traceability perspective for explainability</t>
  </si>
  <si>
    <t>Drug recommendation; Explainability; Traceability; Omic data</t>
  </si>
  <si>
    <t>SENSITIVITY; INTELLIGENCE</t>
  </si>
  <si>
    <t>Xi, Jianing/R-2778-2017; Huang, Qinghua/L-8708-2019</t>
  </si>
  <si>
    <t>Huang, Qinghua/0000-0003-1080-6940; , dan/0000-0002-1709-5232</t>
  </si>
  <si>
    <t>104144</t>
  </si>
  <si>
    <t>10.1016/j.bspc.2022.104144</t>
  </si>
  <si>
    <t>http://dx.doi.org/10.1016/j.bspc.2022.104144</t>
  </si>
  <si>
    <t>5I1OX</t>
  </si>
  <si>
    <t>WOS:000868136200005</t>
  </si>
  <si>
    <t>Tjebane, MM; Musonda, I</t>
  </si>
  <si>
    <t>Healthcare facilities are pivotal in ensuring continuous access to services, particularly for individuals with complex health conditions. Effective asset information management (AIM) in these facilities through artificial intelligence (AI) can enhance operational efficiency. The exploratory bibliometric and systematic review assesses the status and trends of AI applications in AIM within healthcare facilities. The findings reveal a significant gap between research findings and practical implementation, highlighting the need for further integration and real-world usage of AI-powered solutions in healthcare facilities settings. This study identified notable gaps, including the need for research on utilising AI to enhance asset management in healthcare, including maintenance scheduling and procurement processes. Involving stakeholders, such as healthcare professionals, facility managers, and patients, in effective facility management using AI requires further investigation. Research is needed to evaluate the economic benefits and develop robust ethical guidelines for responsible AI implementation. Notably, previous research has given limited attention to AI for healthcare asset information management, with emerging trends focusing more on AI and infrastructure than the "Asset" aspect. Implementing AI-powered solutions tailored to the unique needs of healthcare facilities and evaluating cost-effectiveness will lead to improved asset management practices, enhanced decision-making processes, and, ultimately, more efficient and effective healthcare operations.</t>
  </si>
  <si>
    <t>Tjebane, Motheo Meta; Musonda, Innocent</t>
  </si>
  <si>
    <t>Tjebane, MM (corresponding author), Mangosuthu Univ Technol, Dept Construct Management &amp; Quant Surveying, Durban, South Africa.; Tjebane, MM (corresponding author), Univ Johannesburg, Fac Engn &amp; Built Environm, Ctr Appl Res &amp; Innovat Built Environm, Johannesburg, South Africa.</t>
  </si>
  <si>
    <t>tjebane.motheo@mut.ac.za</t>
  </si>
  <si>
    <t>[Tjebane, Motheo Meta] Mangosuthu Univ Technol, Dept Construct Management &amp; Quant Surveying, Durban, South Africa; [Tjebane, Motheo Meta; Musonda, Innocent] Univ Johannesburg, Fac Engn &amp; Built Environm, Ctr Appl Res &amp; Innovat Built Environm, Johannesburg, South Africa</t>
  </si>
  <si>
    <t>Mangosuthu University of Technology; University of Johannesburg</t>
  </si>
  <si>
    <t>Artificial intelligence in healthcare facilities asset information management: mixed review</t>
  </si>
  <si>
    <t>INFRASTRUCTURE ASSET MANAGEMENT</t>
  </si>
  <si>
    <t>artificial intelligence; asset information management; healthcare facilities; exploratory review; UN SDG 9; UN SDG 11</t>
  </si>
  <si>
    <t>MAINTENANCE MANAGEMENT; MODELING BIM; IMPACT; IMPLEMENTATION; PERFORMANCE</t>
  </si>
  <si>
    <t>MUSONDA, INNOCENT/AAH-2363-2019; tjebane, motheo/HKM-7641-2023</t>
  </si>
  <si>
    <t>MUSONDA, INNOCENT/0000-0003-0270-6157</t>
  </si>
  <si>
    <t>95</t>
  </si>
  <si>
    <t>2053-0242</t>
  </si>
  <si>
    <t>2053-0250</t>
  </si>
  <si>
    <t>INFRASTRUCT ASSET MA</t>
  </si>
  <si>
    <t>Infrastruct. Asset Manag.</t>
  </si>
  <si>
    <t>JUN 2 2025</t>
  </si>
  <si>
    <t>94</t>
  </si>
  <si>
    <t>10.1680/jinam.23.00033</t>
  </si>
  <si>
    <t>http://dx.doi.org/10.1680/jinam.23.00033</t>
  </si>
  <si>
    <t>Management</t>
  </si>
  <si>
    <t>3FW5Q</t>
  </si>
  <si>
    <t>WOS:001320352000001</t>
  </si>
  <si>
    <t>Abnoosian, K; Farnoosh, R; Noushkaran, H; Javaheri, D; Shimal, HA; Abdulkarem, AA</t>
  </si>
  <si>
    <t>Type 2 diabetes (T2D) is a growing global health crisis, affecting over 537 million people as of 2021. Early prediction remains particularly challenging in low- and middle-income countries due to missing data, class imbalance, and population-specific risk factors. This study presents a four-stage predictive framework- Feature-Weighted Class-Adaptive Generative Imputation Network-Weighted Classifier Aggregation Ensemble (FW-CAGIN-WCAE)-designed to address these limitations. First, Zero-Threshold Feature Removal (ZTFR) is applied to eliminate low-quality variables. Second, missing values are imputed FW-CAGIN, a novel class-aware and feature-weighted GAN model that accounts for both class and feature importance. Third, a performance-weighted ensemble of 15 machine and deep learning algorithms is constructed. Finally, SHAP analysis is used to uncover population-specific risk indicators. The proposed method was evaluated on three benchmark datasets-PIDD, FHGDD, and BDD-and their combinations, using nested five-fold cross-validation. The model achieved a peak AUC of 0.936 +/- 0.018 in PIDD-BDD combination and reduced the imputation mean absolute error (MAE) from 0.8028 to 0.0033. It also lowered AUC variability by 36.3% and improved the diagnostic odds ratio (DOR) to 68.4 +/- 20.5. SHAP analysis identified as a key predictive feature across both Asian and European populations. These findings demonstrate that the proposed framework offers an accurate, interpretable, and population-sensitive solution for early T2D detection, especially in resource-limited healthcare settings.</t>
  </si>
  <si>
    <t>Abnoosian, Karlo; Farnoosh, Rahman; Noushkaran, Hamidreza; Javaheri, Danial; Shimal, Hasnat Azeez; Abdulkarem, Abdullah Abdulamer</t>
  </si>
  <si>
    <t>Farnoosh, R (corresponding author), Iran Univ Sci &amp; Technol, Sch Math &amp; Comp Sci, Tehran 1684613114, Iran.</t>
  </si>
  <si>
    <t>rfarnoosh@iust.ac.ir</t>
  </si>
  <si>
    <t>[Abnoosian, Karlo; Farnoosh, Rahman; Noushkaran, Hamidreza; Shimal, Hasnat Azeez; Abdulkarem, Abdullah Abdulamer] Iran Univ Sci &amp; Technol, Sch Math &amp; Comp Sci, Tehran 1684613114, Iran; [Javaheri, Danial] Univ West Scotland, Dept Comp Engn &amp; Phys Sci, London Campus, London E14 2BA, England</t>
  </si>
  <si>
    <t>Iran University Science &amp; Technology</t>
  </si>
  <si>
    <t>An ethnic-sensitive hybrid framework for T2D prediction with explainable AI and weighted ensembles</t>
  </si>
  <si>
    <t>Type 2 diabetes prediction; FW-CAGIN imputation; Ensemble learning; SHAP analysis; Feature selection; Population-specific risk</t>
  </si>
  <si>
    <t>DIABETES-MELLITUS; MISSING DATA; MODEL</t>
  </si>
  <si>
    <t>Abnoosian, karlo/AAW-6744-2021</t>
  </si>
  <si>
    <t>Abnoosian, karlo/0000-0003-2738-8271</t>
  </si>
  <si>
    <t>DEC 23 2025</t>
  </si>
  <si>
    <t>1696</t>
  </si>
  <si>
    <t>10.1038/s41598-025-31234-4</t>
  </si>
  <si>
    <t>http://dx.doi.org/10.1038/s41598-025-31234-4</t>
  </si>
  <si>
    <t>CD1CY</t>
  </si>
  <si>
    <t>41436827</t>
  </si>
  <si>
    <t>WOS:001662921600002</t>
  </si>
  <si>
    <t>Ansari, ZA; Pant, H; Khan, A; Uddaraju, S; Prasad, PVH; Sarfaraz, A</t>
  </si>
  <si>
    <t>Purpose This study investigates breast cancer diagnosis using radiomic features, Genetic Algorithms (GA) for feature selection, and Explainable AI (XAI) techniques. Method Local Interpretable Model-Agnostic Explanations (LIME) were applied to enhance the interpretability of machine learning (ML) models e.g., Logistic Regression (LR), Random Forest (RF), Support Vector Machine (SVM), Naive Bayes (NB), and XGBoost. GA was used to select optimal radiomic features, improving predictive accuracy and computational efficiency. Results GA significantly improved classifier performance. RF precision increased from 82.69% to 85.26%, and NB from 66.67% to 81.41%. Accuracy improvements were also observed in LR, SVM, and XGBoost. GA-enhanced models achieved higher LIME fidelity scores, with NB improving from 66.42 to 99.89, indicating more reliable interpretability. Conclusion Integrating radiomic features with GA-optimized classifiers enhances breast cancer prediction. LIME provides essential model transparency, supporting clinical adoption by clarifying decision-making processes.</t>
  </si>
  <si>
    <t>Ansari, Zulfkar Ali; Pant, Hemlata; Khan, Ahmed; Uddaraju, Susmitha; Prasad, P. Venkata Hari; Sarfaraz, Aaliya</t>
  </si>
  <si>
    <t>Khan, A (corresponding author), Crown Inst Higher Educ, Canberra, Australia.</t>
  </si>
  <si>
    <t>ahmedkhaniub@gmail.com</t>
  </si>
  <si>
    <t>[Ansari, Zulfkar Ali] Symbiosis Int Univ, Symbiosis Inst Technol, Dept Artificial Intelligence &amp; Machine Learning, Pune 412115, Maharashtra, India; [Pant, Hemlata] Pranveer Singh Inst Technol PSIT, Comp Sci &amp; Engn, Kanpur, India; [Khan, Ahmed; Sarfaraz, Aaliya] Crown Inst Higher Educ, Canberra, Australia; [Prasad, P. Venkata Hari] Koneru Lakshmaiah Educ Fdn, Dept Comp Sci &amp; Engn, Guntur 522302, Andhra Pradesh, India; [Uddaraju, Susmitha] Koneru Lakshmaiah Educ Fdn Univ, Dept Comp Sci &amp; Engn, Vaddeswaram 522502, Andhra Pradesh, India</t>
  </si>
  <si>
    <t>Symbiosis International University; Symbiosis Institute of Technology (SIT); Crown Institute of Higher Education; Koneru Lakshmaiah Education Foundation (K L Deemed to be University); Koneru Lakshmaiah Education Foundation (K L Deemed to be University)</t>
  </si>
  <si>
    <t>Integrating genetic algorithms and explainable AI for radiomics-based breast cancer detection</t>
  </si>
  <si>
    <t>HEALTH AND TECHNOLOGY</t>
  </si>
  <si>
    <t>Breast cancer; Explainable AI; Genetic algorithm; LIME; Machine learning</t>
  </si>
  <si>
    <t>MACHINE</t>
  </si>
  <si>
    <t>, P. Venkata Hari Prasad/JVN-9027-2024; uddaraju, susmitha/AEL-2194-2022; Ali, Zulfikar/HHS-9683-2022</t>
  </si>
  <si>
    <t>, P. Venkata Hari Prasad/0009-0003-0533-6769; uddaraju, susmitha/0000-0003-2697-1940</t>
  </si>
  <si>
    <t>2190-7188</t>
  </si>
  <si>
    <t>2190-7196</t>
  </si>
  <si>
    <t>HEALTH TECHNOL-GER</t>
  </si>
  <si>
    <t>Health Technol.</t>
  </si>
  <si>
    <t>503</t>
  </si>
  <si>
    <t>514</t>
  </si>
  <si>
    <t>10.1007/s12553-026-01064-z</t>
  </si>
  <si>
    <t>http://dx.doi.org/10.1007/s12553-026-01064-z</t>
  </si>
  <si>
    <t>GZ8PD</t>
  </si>
  <si>
    <t>WOS:001715773600001</t>
  </si>
  <si>
    <t>Kothadiya, DR; Bhatt, CM; Rehman, A; Alamri, FS; Saba, T</t>
  </si>
  <si>
    <t>Deep learning has significantly aided current advancements in artificial intelligence. Deep learning techniques have significantly outperformed more than typical machine learning approaches, in various fields like Computer Vision, Natural Language Processing (NLP), Robotics Science, and Human-Computer Interaction (HCI). Deep learning models are ineffective in outlining their fundamental mechanism. That's the reason the deep learning model mainly consider as Black-Box. To establish confidence and responsibility, deep learning applications need to explain the model's decision in addition to the prediction of results. The explainable AI (XAI) research has created methods that offer these interpretations for already trained neural networks. It's highly recommended for computer vision tasks relevant to medical science, defense system, and many more. The proposed study is associated with XAI for Sign Language Recognition. The methodology uses an attention-based ensemble learning approach to create a prediction model more accurate. The proposed methodology used ResNet50 with the Self Attention model to design ensemble learning architecture. The proposed ensemble learning approach has achieved remarkable accuracy at 98.20%. In interpreting ensemble learning prediction, the author has proposed SignExplainer to explain the relevancy (in percentage) of predicted results. SignExplainer has illustrated excellent results, compared to other conventional Explainable AI models reported in state of the art.</t>
  </si>
  <si>
    <t>Kothadiya, Deep R.; Bhatt, Chintan M.; Rehman, Amjad; Alamri, Faten S.; Saba, Tanzila</t>
  </si>
  <si>
    <t>Kothadiya, DR (corresponding author), Charotar Univ Sci &amp; Technol CHARUSAT, Chandubhai S Patel Inst Technol CSPIT, Fac Technol FTE, U&amp;PU Patel Dept Comp Engn, Changa 388421, India.; Kothadiya, DR (corresponding author), Prince Sultan Univ, Coll Comp &amp; Informat Sci CCIS, Artificial Intelligence &amp; Data Analyt Lab AIDA, Riyadh 11586, Saudi Arabia.</t>
  </si>
  <si>
    <t>chintan.bhatt@sot.pdpu.ac.in; deepkothadiya.ce@charusat.ac.in</t>
  </si>
  <si>
    <t>Princess Nourah bint Abdulrahman University [PNURSP2023R346]</t>
  </si>
  <si>
    <t>This research was funded by Princess Nourah bint Abdulrahman University and Researchers Supporting Project number (PNURSP2023R346), Princess Nourah bint Abdulrahman University, Riyadh, Saudi Arabia. The authors would also like to acknowledge the support of Prince Sultan University for paying the Article Processing Charges (APC) of this publication.</t>
  </si>
  <si>
    <t>[Kothadiya, Deep R.] Charotar Univ Sci &amp; Technol CHARUSAT, Chandubhai S Patel Inst Technol CSPIT, Fac Technol FTE, U&amp;PU Patel Dept Comp Engn, Changa 388421, India; [Kothadiya, Deep R.; Rehman, Amjad; Saba, Tanzila] Prince Sultan Univ, Coll Comp &amp; Informat Sci CCIS, Artificial Intelligence &amp; Data Analyt Lab AIDA, Riyadh 11586, Saudi Arabia; [Bhatt, Chintan M.] Pandit Deendayal Energy Univ, Sch Engn &amp; Technol, Dept Comp Sci &amp; Engn, Gandhinagar 382007, Gujarat, India; [Alamri, Faten S.] Princess Nourah bint Abdulrahman Univ, Coll Sci, Dept Math Sci, Riyadh 11671, Saudi Arabia</t>
  </si>
  <si>
    <t>Charotar University of Science &amp; Technology - Charusat; Prince Sultan University; Pandit Deendayal Energy University; Princess Nourah bint Abdulrahman University</t>
  </si>
  <si>
    <t>SignExplainer: An Explainable AI-Enabled Framework for Sign Language Recognition With Ensemble Learning</t>
  </si>
  <si>
    <t>Deep learning; Artificial intelligence; Computational modeling; Predictive models; Assistive technologies; Computer vision; Gesture recognition; computer vision; explainable AI; SignExplainer; classification; sign language; technological development</t>
  </si>
  <si>
    <t>Bhatt, Chintan/AAF-5827-2020; Rehman, Amjad/GXV-0915-2022; Kothadiya, Deep/AAX-9328-2020; Alamri, Faten/ABC-1561-2021; Saba, Tanzila/D-4593-2018</t>
  </si>
  <si>
    <t>Bhatt, Chintan/0000-0002-0423-0159; Rehman, Amjad/0000-0002-3817-2655; Kothadiya, Deep/0000-0002-5997-1720; Saba, Tanzila/0000-0003-3138-3801</t>
  </si>
  <si>
    <t>47410</t>
  </si>
  <si>
    <t>47419</t>
  </si>
  <si>
    <t>10.1109/ACCESS.2023.3274851</t>
  </si>
  <si>
    <t>http://dx.doi.org/10.1109/ACCESS.2023.3274851</t>
  </si>
  <si>
    <t>J5OK2</t>
  </si>
  <si>
    <t>WOS:001010107400001</t>
  </si>
  <si>
    <t>Dhakshinamoorthy, S; Peiyasmi, K</t>
  </si>
  <si>
    <t>Federated Learning (FL) based Artificial Intelligence (AI) governance framework for privacy-preserving healthcare prediction allows decentralized model training across various healthcare institutions without sharing of sensitive patient information. This approach enhances data privacy and supports in safeguarding patient confidentiality. However, there remains challenges, like ensuring model convergence, managing communication overhead, and maintaining robust security against attacks. To overcome these hurdles, the Shuffle Split Attention Forward Taylor Network (S2AFTNet) is proposed for privacy preserved healthcare prediction using FL. Firstly, the local training based on local data is done at each local model. The model training includes data acquisition, normalization using Quantile normalization, selecting features by Multi-Subspace Randomization and Collaboration-based unsupervised Feature Selection (SRCFS), data augmentation using Adaptive Synthetic (ADASYN) approach, and healthcare prediction using S2AFTNet is formed by combining Split-Attention Networks (ResNeSt), Shuffle Attention Network (SA-Net), and Taylor concept. Then, weights from local model training data are aggregated and averaged. Further, global model is applied on each local model based on averaged weights. Moreover, S2AFTNet performance is analyzed with metrics like, loss function, Mean Squared Error (MSE), and Root Mean Squared Error (RMSE), that achieved superior values of 0.034, 7.23, and 13.88%.</t>
  </si>
  <si>
    <t>Dhakshinamoorthy, Sivakumar; Peiyasmi, Karthikeyan</t>
  </si>
  <si>
    <t>Peiyasmi, K (corresponding author), RV Univ, Sch Comp Sci &amp; Engn, Bengaluru, India.</t>
  </si>
  <si>
    <t>sivakumard@rvu.edu.in; karthikeyanp@rvu.edu.in</t>
  </si>
  <si>
    <t>[Dhakshinamoorthy, Sivakumar; Peiyasmi, Karthikeyan] RV Univ, Sch Comp Sci &amp; Engn, Bengaluru, India</t>
  </si>
  <si>
    <t>Federated AI Framework for Privacy-Preserving Healthcare Prediction with Shuffle-Split Attention Networks</t>
  </si>
  <si>
    <t>KSII TRANSACTIONS ON INTERNET AND INFORMATION SYSTEMS</t>
  </si>
  <si>
    <t>Artificial Intelligence; Federated Learning; Quantile normalization; Shuffle Attention Network; Split-Attention Networks</t>
  </si>
  <si>
    <t>KSII-KOR SOC INTERNET INFORMATION</t>
  </si>
  <si>
    <t>GANGNAM-GU</t>
  </si>
  <si>
    <t>KOR SCI &amp; TECHNOL CTR, 409 ON 4TH FLR, MAIN BLDG, 635-4 YEOKSAM 1-DONG, GANGNAM-GU, SEOUL 00000, SOUTH KOREA</t>
  </si>
  <si>
    <t>1976-7277</t>
  </si>
  <si>
    <t>KSII T INTERNET INF</t>
  </si>
  <si>
    <t>KSII Trans. Internet Inf. Syst.</t>
  </si>
  <si>
    <t>MAR 31 2026</t>
  </si>
  <si>
    <t>1200</t>
  </si>
  <si>
    <t>1222</t>
  </si>
  <si>
    <t>10.3837/tiis.2026.03.006</t>
  </si>
  <si>
    <t>http://dx.doi.org/10.3837/tiis.2026.03.006</t>
  </si>
  <si>
    <t>GD0NJ</t>
  </si>
  <si>
    <t>WOS:001733493400006</t>
  </si>
  <si>
    <t>Ge, ZY; Wang, BW; Chang, JY; Yu, ZQ; Zhou, ZY; Zhang, J; Duan, ZJ</t>
  </si>
  <si>
    <t>ObjectivesGastroesophageal reflux disease (GERD) is a complex disease with a high worldwide prevalence. The Los Angeles classification (LA-grade) system is meaningful for assessing the endoscopic severity of GERD. Deep learning (DL) methods have been widely used in the field of endoscopy. However, few DL-assisted researches have concentrated on the diagnosis of GERD. This study is the first to develop a five-category classification DL model based on the LA-grade using explainable artificial intelligence (XAI).Materials and methodsA total of 2081 endoscopic images were used for the development of a DL model, and the classification accuracy of the models and endoscopists with different levels of experience was compared.ResultsSome mainstream DL models were utilized, of which DenseNet-121 outperformed. The area under the curve (AUC) of the DenseNet-121 was 0.968, and its classification accuracy (86.7%) was significantly higher than that of junior (71.5%) and experienced (77.4%) endoscopists. An XAI evaluation was also performed to explore the perception consistency between the DL model and endoscopists, which showed meaningful results for real-world applications.ConclusionsThe DL model showed a potential in improving the accuracy of endoscopists in LA-grading of GERD, and it has noticeable clinical application prospects and is worthy of further promotion.</t>
  </si>
  <si>
    <t>Ge, Zhenyang; Wang, Bowen; Chang, Jiuyang; Yu, Zequn; Zhou, Zhenyuan; Zhang, Jing; Duan, Zhijun</t>
  </si>
  <si>
    <t>Duan, ZJ (corresponding author), Dalian Med Univ, Dept Gastroenterol, Affiliated Hosp 1, Dalian, Peoples R China.; Zhang, J (corresponding author), Dalian Municipal Cent Hosp, Dept Digest Endoscopy, Dalian, Peoples R China.</t>
  </si>
  <si>
    <t>zj84402001@163.com; cathydoctor@sina.com</t>
  </si>
  <si>
    <t>[Ge, Zhenyang; Duan, Zhijun] Dalian Med Univ, Dept Gastroenterol, Affiliated Hosp 1, Dalian, Peoples R China; [Ge, Zhenyang; Zhang, Jing] Dalian Municipal Cent Hosp, Dept Digest Endoscopy, Dalian, Peoples R China; [Wang, Bowen] Osaka Univ, Grad Sch Informat, Sci &amp; Technol, Yamadaoka, Osaka, Japan; [Chang, Jiuyang] Dalian Med Univ, Dept Cardiol, Affiliated Hosp 1, Dalian, Peoples R China; [Chang, Jiuyang] Osaka Univ, Grad Sch Med, Dept Cardiovasc Med, Yamadaoka, Osaka, Japan; [Yu, Zequn] Dalian Med Univ, Dept Resp &amp; Crit Care Med, Affiliated Hosp 1, Dalian, Peoples R China; [Zhou, Zhenyuan] Dalian Municipal Cent Hosp, Informat Management Dept, Dalian, Peoples R China</t>
  </si>
  <si>
    <t>Dalian Medical University; Dalian University of Technology; University of Osaka; Dalian Medical University; University of Osaka; Dalian Medical University; Dalian University of Technology</t>
  </si>
  <si>
    <t>Using deep learning and explainable artificial intelligence to assess the severity of gastroesophageal reflux disease according to the Los Angeles Classification System</t>
  </si>
  <si>
    <t>SCANDINAVIAN JOURNAL OF GASTROENTEROLOGY</t>
  </si>
  <si>
    <t>Gastroesophageal reflux disease; deep learning; explainable artificial intelligence; classification; endoscopy</t>
  </si>
  <si>
    <t>NEURAL-NETWORKS; ESOPHAGITIS; VALIDATION; CANCER</t>
  </si>
  <si>
    <t>Bowen, Wang/0000-0002-2911-5595; Chang, Jiuyang/0000-0001-9644-0737</t>
  </si>
  <si>
    <t>0036-5521</t>
  </si>
  <si>
    <t>1502-7708</t>
  </si>
  <si>
    <t>SCAND J GASTROENTERO</t>
  </si>
  <si>
    <t>Scand. J. Gastroenterol.</t>
  </si>
  <si>
    <t>JUN 3 2023</t>
  </si>
  <si>
    <t>596</t>
  </si>
  <si>
    <t>604</t>
  </si>
  <si>
    <t>10.1080/00365521.2022.2163185</t>
  </si>
  <si>
    <t>http://dx.doi.org/10.1080/00365521.2022.2163185</t>
  </si>
  <si>
    <t>G4YS6</t>
  </si>
  <si>
    <t>36625026</t>
  </si>
  <si>
    <t>WOS:000909825800001</t>
  </si>
  <si>
    <t>Mnyambo, JJ; Aly, A; Ifeachor, E; Wei, YH</t>
  </si>
  <si>
    <t>Drug-resistant tuberculosis (DR-TB) continues to pose a major global health challenge, with hundreds of thousands of new cases reported annually, resulting in a substantial mortality burden. Delayed or inaccurate diagnosis contributes to ongoing transmission, treatment failure, and increased deaths, highlighting the need for timely and dependable detection, particularly in low-resource healthcare settings. Although chest Xrays (CXRs) are widely available and commonly used for tuberculosis screening, reliable and interpretable approaches for distinguishing drug-resistant from drug-sensitive tuberculosis (DS-TB) remain limited. Despite recent advances in deep learning, explainable artificial intelligence (XAI) methods for DR-TB identification are still underexplored, thereby reducing clinical trust and adoption. In this study, we propose a data-efficient image transformer (DEiT) framework for classifying DR-TB and DS-TB from chest X-rays, integrating multiple XAI techniques. The proposed model outperformed contemporary convolutional neural networks (CNNs) and transformer baselines, achieving high diagnostic accuracy and robust feature representations. Explainability was provided using Raw Attention, Gradient-weighted Class Activation Mapping (Grad-CAM), and Local Interpretable Model-agnostic Explanations (LIME), which consistently highlighted clinically relevant DR-TB manifestations, including consolidations, infiltrates, collapse, cavitation, and nodular patterns across lung regions. Quantitative analyses revealed a trade-off between explanation faithfulness and interpretability, with strong agreement observed between Raw Attention and Grad-CAM, and complementary insights provided by LIME. Cross-dataset evaluation on the Shenzhen chest X-ray set demonstrated effective transferability to heterogeneous imaging conditions, while ablation studies confirmed the contribution of key architectural components. These findings establish DEiT as an interpretable solution for DR-TB classification, supporting AI-assisted triage, early diagnosis, and decision support.</t>
  </si>
  <si>
    <t>Mnyambo, Joan Jonathan; Aly, Amir; Ifeachor, Emmanuel; Wei, Yinghui</t>
  </si>
  <si>
    <t>Mnyambo, JJ (corresponding author), Univ Plymouth, Sch Engn Comp &amp; Math, Plymouth, England.</t>
  </si>
  <si>
    <t>joan.mnyambo@plymouth.ac.uk</t>
  </si>
  <si>
    <t>Commonwealth Scholarship Commission (CSC), United Kingdom, under the Foreign, Commonwealth and Development Office (FCDO) scholarship programme [TZCS-2023-543]; University of Plymouth, United Kingdom; Government of Tanzania through the Ministry of Education, Science and Technology</t>
  </si>
  <si>
    <t>Commonwealth Scholarship Commission (CSC), United Kingdom, under the Foreign, Commonwealth and Development Office (FCDO) scholarship programme; University of Plymouth, United Kingdom; Government of Tanzania through the Ministry of Education, Science and Technology</t>
  </si>
  <si>
    <t>This research was funded by the Commonwealth Scholarship Commission (CSC), United Kingdom, under the Foreign, Commonwealth and Development Office (FCDO) scholarship programme (Scholarship No. TZCS-2023-543), in collaboration with the University of Plymouth, United Kingdom. It also received support from the Government of Tanzania through the Ministry of Education, Science and Technology.</t>
  </si>
  <si>
    <t>[Mnyambo, Joan Jonathan; Aly, Amir; Ifeachor, Emmanuel] Univ Plymouth, Sch Engn Comp &amp; Math, Plymouth, England; [Mnyambo, Joan Jonathan] Sokoine Univ Agr, Dept Informat &amp; Informat Technol, Morogoro, Tanzania; [Wei, Yinghui] Univ Exeter, Med Sch, Fac Hlth &amp; Life Sci, Exeter, England; [Wei, Yinghui] NIHR Appl Res Collaborat South West Peninsula, Plymouth, England</t>
  </si>
  <si>
    <t>University of Plymouth; Sokoine University of Agriculture; University of Exeter</t>
  </si>
  <si>
    <t>Explainable AI for drug-resistant tuberculosis detection from chest X-rays: Multi-level interpretability and cross-dataset transfer learning</t>
  </si>
  <si>
    <t>Tuberculosis; Drug-resistant tuberculosis; Chest X-ray; Vision transformers; XAI; Interpretability</t>
  </si>
  <si>
    <t>TB</t>
  </si>
  <si>
    <t>110989</t>
  </si>
  <si>
    <t>10.1016/j.bspc.2026.110989</t>
  </si>
  <si>
    <t>http://dx.doi.org/10.1016/j.bspc.2026.110989</t>
  </si>
  <si>
    <t>LF8YA</t>
  </si>
  <si>
    <t>WOS:001823622300001</t>
  </si>
  <si>
    <t>Pellano, KN; Struemke, I; Ihlen, EAF</t>
  </si>
  <si>
    <t>The advancement of deep learning in human activity recognition (HAR) using 3D skeleton data is critical for applications in healthcare, security, sports, and human-computer interaction. This paper tackles a well-known gap in the field, which is the lack of testing in the applicability and reliability of XAI evaluation metrics in the skeleton-based HAR domain. We have tested established XAI metrics, namely faithfulness and stability on Class Activation Mapping (CAM) and Gradient-weighted Class Activation Mapping (Grad-CAM) to address this problem. This study introduces a perturbation method that produces variations within the error tolerance of motion sensor tracking, ensuring the resultant skeletal data points remain within the plausible output range of human movement as captured by the tracking device. We used the NTU RGB+D 60 dataset and the EfficientGCN architecture for HAR model training and testing. The evaluation involved systematically perturbing the 3D skeleton data by applying controlled displacements at different magnitudes to assess the impact on XAI metric performance across multiple action classes. Our findings reveal that faithfulness may not consistently serve as a reliable metric across all classes for the EfficientGCN model, indicating its limited applicability in certain contexts. In contrast, stability proves to be a more robust metric, showing dependability across different perturbation magnitudes. Additionally, CAM and Grad-CAM yielded almost identical explanations, leading to closely similar metric outcomes. This suggests a need for the exploration of additional metrics and the application of more diverse XAI methods to broaden the understanding and effectiveness of XAI in skeleton-based HAR.</t>
  </si>
  <si>
    <t>Pellano, Kimji N.; Struemke, Inga; Ihlen, Espen A. F.</t>
  </si>
  <si>
    <t>Pellano, KN (corresponding author), Norwegian Univ Sci &amp; Technol, Fac Med &amp; Hlth Sci, Dept Neuromed &amp; Movement Sci, Trondheim, Norway.</t>
  </si>
  <si>
    <t>inga.strumke@ntnu.no; espen.ihlen@ntnu.no; kimji.pellano@ntnu.no</t>
  </si>
  <si>
    <t>Research Council of Norway</t>
  </si>
  <si>
    <t>Research Council of Norway (Research Council of Norway)</t>
  </si>
  <si>
    <t>We would like to thank the Norwegian Open AI Lab for the additional computational resources provided to perform the experiments.</t>
  </si>
  <si>
    <t>[Pellano, Kimji N.; Ihlen, Espen A. F.] Norwegian Univ Sci &amp; Technol, Fac Med &amp; Hlth Sci, Dept Neuromed &amp; Movement Sci, Trondheim, Norway; [Struemke, Inga] Norwegian Univ Sci &amp; Technol, Fac Informat Technol &amp; Elect Engn, Dept Comp Sci, N-7034 Trondheim, Norway</t>
  </si>
  <si>
    <t>Norwegian University of Science &amp; Technology (NTNU); Norwegian University of Science &amp; Technology (NTNU)</t>
  </si>
  <si>
    <t>From Movements to Metrics: Evaluating Explainable AI Methods in Skeleton-Based Human Activity Recognition</t>
  </si>
  <si>
    <t>SENSORS</t>
  </si>
  <si>
    <t>explainable AI; CAM; Grad-CAM; skeleton data; human activity recognition</t>
  </si>
  <si>
    <t>Strümke, Inga/0000-0003-1820-6544; Ihlen, Espen Alexander Fürst/0000-0002-2469-1809; Pellano, Kimji/0000-0002-5423-9418</t>
  </si>
  <si>
    <t>1424-8220</t>
  </si>
  <si>
    <t>SENSORS-BASEL</t>
  </si>
  <si>
    <t>Sensors</t>
  </si>
  <si>
    <t>1940</t>
  </si>
  <si>
    <t>10.3390/s24061940</t>
  </si>
  <si>
    <t>http://dx.doi.org/10.3390/s24061940</t>
  </si>
  <si>
    <t>Chemistry, Analytical; Engineering, Electrical &amp; Electronic; Instruments &amp; Instrumentation</t>
  </si>
  <si>
    <t>Chemistry; Engineering; Instruments &amp; Instrumentation</t>
  </si>
  <si>
    <t>MH4J0</t>
  </si>
  <si>
    <t>38544204</t>
  </si>
  <si>
    <t>WOS:001192717000001</t>
  </si>
  <si>
    <t>Davis, SE; Dorn, C; Park, DJ; Matheny, ME</t>
  </si>
  <si>
    <t>Objectives While performance drift of clinical prediction models is well-documented, the potential for algorithmic biases to emerge post-deployment has had limited characterization. A better understanding of how temporal model performance may shift across subpopulations is required to incorporate fairness drift into model maintenance strategies.Materials and Methods We explore fairness drift in a national population over 11 years, with and without model maintenance aimed at sustaining population-level performance. We trained random forest models predicting 30-day post-surgical readmission, mortality, and pneumonia using 2013 data from US Department of Veterans Affairs facilities. We evaluated performance quarterly from 2014 to 2023 by self-reported race and sex. We estimated discrimination, calibration, and accuracy, and operationalized fairness using metric parity measured as the gap between disadvantaged and advantaged groups.Results Our cohort included 1 739 666 surgical cases. We observed fairness drift in both the original and temporally updated models. Model updating had a larger impact on overall performance than fairness gaps. During periods of stable fairness, updating models at the population level increased, decreased, or did not impact fairness gaps. During periods of fairness drift, updating models restored fairness in some cases and exacerbated fairness gaps in others.Discussion This exploratory study highlights that algorithmic fairness cannot be assured through one-time assessments during model development. Temporal changes in fairness may take multiple forms and interact with model updating strategies in unanticipated ways.Conclusion Equitable and sustainable clinical artificial intelligence deployments will require novel methods to monitor algorithmic fairness, detect emerging bias, and adopt model updates that promote fairness.</t>
  </si>
  <si>
    <t>Davis, Sharon E.; Dorn, Chad; Park, Daniel J.; Matheny, Michael E.</t>
  </si>
  <si>
    <t>Davis, SE (corresponding author), Vanderbilt Univ, Med Ctr, Dept Biomed Informat, 2525 West End Ave,Suite 1475, Nashville, TN 37203 USA.</t>
  </si>
  <si>
    <t>sharon.e.davis.1@vumc.org</t>
  </si>
  <si>
    <t>NICHD NIH HHS [P50 HD103537] Funding Source: Medline</t>
  </si>
  <si>
    <t>NICHD NIH HHS (United States Department of Health &amp; Human Services, National Institutes of Health (NIH) - USA, NIH Eunice Kennedy Shriver National Institute of Child Health &amp; Human Development (NICHD))</t>
  </si>
  <si>
    <t>[Davis, Sharon E.; Dorn, Chad; Park, Daniel J.; Matheny, Michael E.] Vanderbilt Univ, Med Ctr, Dept Biomed Informat, 2525 West End Ave,Suite 1475, Nashville, TN 37203 USA; [Matheny, Michael E.] Vanderbilt Univ, Med Ctr, Dept Med, Nashville, TN 37232 USA; [Matheny, Michael E.] Vanderbilt Univ, Med Ctr, Dept Biostat, Nashville, TN 37203 USA; [Matheny, Michael E.] Vet Hlth Adm, Tennessee Valley Healthcare Syst, VA Med Ctr, Nashville, TN 37212 USA</t>
  </si>
  <si>
    <t>Vanderbilt University; Vanderbilt University; Vanderbilt University; US Department of Veterans Affairs; Veterans Health Administration (VHA); VA Tennessee Valley Healthcare System</t>
  </si>
  <si>
    <t>Emerging algorithmic bias: fairness drift as the next dimension of model maintenance and sustainability</t>
  </si>
  <si>
    <t>JOURNAL OF THE AMERICAN MEDICAL INFORMATICS ASSOCIATION</t>
  </si>
  <si>
    <t>algorithmic fairness; dataset shift; predictive analytics; model updating; performance drift</t>
  </si>
  <si>
    <t>RISK CALCULATOR</t>
  </si>
  <si>
    <t>Davis, Sharon/JMB-6345-2023; Matheny, Michael/B-3541-2008</t>
  </si>
  <si>
    <t>Davis, Sharon/0000-0003-0792-8867</t>
  </si>
  <si>
    <t>1067-5027</t>
  </si>
  <si>
    <t>1527-974X</t>
  </si>
  <si>
    <t>J AM MED INFORM ASSN</t>
  </si>
  <si>
    <t>J. Am. Med. Inf. Assoc.</t>
  </si>
  <si>
    <t>10.1093/jamia/ocaf039</t>
  </si>
  <si>
    <t>http://dx.doi.org/10.1093/jamia/ocaf039</t>
  </si>
  <si>
    <t>Computer Science, Information Systems; Computer Science, Interdisciplinary Applications; Health Care Sciences &amp; Services; Information Science &amp; Library Science; Medical Informatics</t>
  </si>
  <si>
    <t>Computer Science; Health Care Sciences &amp; Services; Information Science &amp; Library Science; Medical Informatics</t>
  </si>
  <si>
    <t>1RR7Z</t>
  </si>
  <si>
    <t>40079820</t>
  </si>
  <si>
    <t>WOS:001443595500001</t>
  </si>
  <si>
    <t>Bouhouita-Guermech, S; Haidar, H</t>
  </si>
  <si>
    <t>The increasing integration of artificial intelligence (AI) in healthcare presents a host of ethical, legal, social, and political challenges involving various stakeholders. These challenges prompt various studies proposing frameworks and guidelines to tackle these issues, emphasizing distinct phases of AI development, deployment, and oversight. As a result, the notion of responsible AI has become widespread, incorporating ethical principles such as transparency, fairness, responsibility, and privacy. This paper explores the existing literature on AI use in healthcare to examine how it addresses, defines, and discusses the concept of responsibility. We conducted a scoping review of literature related to AI responsibility in healthcare, searching databases and reference lists between January 2017 and January 2022 for terms related to "responsibility" and "AI in healthcare", and their derivatives. Following screening, 136 articles were included. Data were grouped into four thematic categories: (1) the variety of terminology used to describe and address responsibility; (2) principles and concepts associated with responsibility; (3) stakeholders' responsibilities in AI clinical development, use, and deployment; and (4) recommendations for addressing responsibility concerns. The results show the lack of a clear definition of AI responsibility in healthcare and highlight the importance of ensuring responsible development and implementation of AI in healthcare. Further research is necessary to clarify this notion to contribute to developing frameworks regarding the type of responsibility (ethical/moral/professional, legal, and causal) of various stakeholders involved in the AI lifecycle.</t>
  </si>
  <si>
    <t>Bouhouita-Guermech, Sarah; Haidar, Hazar</t>
  </si>
  <si>
    <t>Bouhouita-Guermech, S (corresponding author), McGill Univ, Ctr Genom &amp; Policy, Montreal, PQ, Canada.</t>
  </si>
  <si>
    <t>sarah.bouhouita-guermech@umontreal.ca</t>
  </si>
  <si>
    <t>Universit du Qubec Rimouski</t>
  </si>
  <si>
    <t>[Bouhouita-Guermech, Sarah] McGill Univ, Ctr Genom &amp; Policy, Montreal, PQ, Canada; [Haidar, Hazar] Univ Quebec Rimouski UQAR, Dept Letters &amp; Humanities, Eth Programs, Rimouski, PQ, Canada</t>
  </si>
  <si>
    <t>University of Quebec; Universite du Quebec a Rimouski</t>
  </si>
  <si>
    <t>Scoping Review Shows the Dynamics and Complexities Inherent to the Notion of "Responsibility" in Artificial Intelligence within the Healthcare Context</t>
  </si>
  <si>
    <t>ASIAN BIOETHICS REVIEW</t>
  </si>
  <si>
    <t>Artificial intelligence; AI ethics; Responsibility; Healthcare</t>
  </si>
  <si>
    <t>MOBILE HEALTH; BIG DATA; PRIVACY; MHEALTH; TRUST</t>
  </si>
  <si>
    <t>Haidar, Hazar/AAJ-9396-2021</t>
  </si>
  <si>
    <t>1793-8759</t>
  </si>
  <si>
    <t>1793-9453</t>
  </si>
  <si>
    <t>ASIAN BIOETHICS REV</t>
  </si>
  <si>
    <t>Asian Bioeth. Rev.</t>
  </si>
  <si>
    <t>344</t>
  </si>
  <si>
    <t>10.1007/s41649-024-00292-7</t>
  </si>
  <si>
    <t>http://dx.doi.org/10.1007/s41649-024-00292-7</t>
  </si>
  <si>
    <t>Ethics; Medical Ethics</t>
  </si>
  <si>
    <t>Social Sciences - Other Topics; Medical Ethics</t>
  </si>
  <si>
    <t>YV3A6</t>
  </si>
  <si>
    <t>39022380</t>
  </si>
  <si>
    <t>WOS:001243869500001</t>
  </si>
  <si>
    <t>Chaurasiya, U; Tripathi, R; Sahu, TP</t>
  </si>
  <si>
    <t>The Internet of Things (IoT) has significantly influenced areas such as healthcare, agriculture, industrial systems, and smart infrastructure. However, the rapid increase in the number of connected devices has introduced major security concerns, especially the risk of Distributed Denial of Service attacks. These attacks take advantage of the limited processing power and weak security configurations of many IoT devices, leading to network disruptions and service failures. This study presents an efficient intrusion detection approach that combines Binary Bat Algorithm (BBAT) based feature selection with an ensemble of lightweight machine learning models, including Extra Trees, Decision Trees, Random Forest, and XGBoost. The BBAT algorithm helps reduce the number of features while preserving classification accuracy, thereby lowering computational cost. To handle class imbalance, we incorporate the Synthetic Minority Over-sampling Technique, improving detection of underrepresented attack types. For interpretability, we apply Local Interpretable Model-agnostic Explanations (LIME) to identify key features that influence classification outcomes, supporting transparency and operational trust. The method is evaluated using three benchmark datasets-ToN-IoT, NSL-KDD, and UNSW-NB15 achieved high accuracy of 99.99%, 99.37%, and 99.08%, respectively. Comparative analysis with existing methods confirms the robustness, efficiency, and explainability of the proposed detection approach.</t>
  </si>
  <si>
    <t>Chaurasiya, Upendra; Tripathi, Rakesh; Sahu, Tirath Prasad</t>
  </si>
  <si>
    <t>Chaurasiya, U (corresponding author), Natl Inst Technol, Dept Informat Technol, Raipur, Chhattisgarh, India.</t>
  </si>
  <si>
    <t>uchaurasiya.phd2022.it@nitrr.ac.in</t>
  </si>
  <si>
    <t>[Chaurasiya, Upendra; Tripathi, Rakesh; Sahu, Tirath Prasad] Natl Inst Technol, Dept Informat Technol, Raipur, Chhattisgarh, India</t>
  </si>
  <si>
    <t>National Institute of Technology (NIT System); National Institute of Technology Raipur</t>
  </si>
  <si>
    <t>Enhancing IoT Network Security: A Feature Selection and Explainable AI Approach for DDoS Attack Detection</t>
  </si>
  <si>
    <t>IRANIAN JOURNAL OF SCIENCE</t>
  </si>
  <si>
    <t>Internet of things (IoT); Network security; Distributed denial of service (DDoS); Feature selection; Binary bat algorithm; Ensemble learning; Explainable AI; Intrusion detection system; Machine learning; SMOTE; LIME</t>
  </si>
  <si>
    <t>INTRUSION DETECTION</t>
  </si>
  <si>
    <t>/AAF-6307-2020</t>
  </si>
  <si>
    <t>SPRINGER INT PUBL AG</t>
  </si>
  <si>
    <t>CHAM</t>
  </si>
  <si>
    <t>GEWERBESTRASSE 11, CHAM, CH-6330, SWITZERLAND</t>
  </si>
  <si>
    <t>2731-8095</t>
  </si>
  <si>
    <t>2731-8109</t>
  </si>
  <si>
    <t>IRAN J SCI</t>
  </si>
  <si>
    <t>Iran. J. Sci.</t>
  </si>
  <si>
    <t>617</t>
  </si>
  <si>
    <t>634</t>
  </si>
  <si>
    <t>10.1007/s40995-025-01851-9</t>
  </si>
  <si>
    <t>http://dx.doi.org/10.1007/s40995-025-01851-9</t>
  </si>
  <si>
    <t>GR0CW</t>
  </si>
  <si>
    <t>WOS:001532905100001</t>
  </si>
  <si>
    <t>Arslanoglu, K; Karaköse, M</t>
  </si>
  <si>
    <t>Background/Objectives: The use of edge-cloud architectures has increased rapidly to move the analysis of AI-enabled health data to global environments. However, data security, communication overhead, cost-effectiveness, and data transmission losses are still important problems to be solved. Methods: In this paper, we propose a reliable, explainable, and energy-efficient stress detection framework supported by a cost-oriented blockchain-based content-defined chunking approach to minimise the losses during data transfer. In the proposed architecture, the Nurse Stress dataset represents IoMT data. While the chunking process reduces communication volume and storage costs by avoiding data duplication, blockchain technology eliminates the risks of unauthorised access and manipulation by ensuring the immutability and traceability of data blocks. Results: All Transformer-based models have demonstrated over 99% accuracy. The TimesNet model, in particular, has been designated as the system's reference model, exhibiting superior performance in terms of both stability and accuracy. The main contribution of this study lies in proposing one of the first integrated frameworks that jointly employs chunking-based data management, blockchain-enabled trust mechanisms, and edge-cloud computing with XAI to ensure secure and transparent IoMT data processing. The proposed system not only performs highly accurate stress detection, but also optimises the dimensions of reliable data transmission, energy and cost efficiency, and clinical reliability. Conclusions: In this respect, the study presents a scalable, reliable, and repeatable approach in health decision support systems by combining data security, integrity, and explainability issues, which are addressed separately in the literature, in a holistic manner.</t>
  </si>
  <si>
    <t>Arslanoglu, Kubra; Karakose, Mehmet</t>
  </si>
  <si>
    <t>Arslanoglu, K (corresponding author), Firat Univ, Dept Software Engn, TR-23119 Elazig, Turkiye.</t>
  </si>
  <si>
    <t>mkarakose@firat.edu.tr; karslanoglu@firat.edu.tr</t>
  </si>
  <si>
    <t>[Arslanoglu, Kubra] Firat Univ, Dept Software Engn, TR-23119 Elazig, Turkiye; [Karakose, Mehmet] Firat Univ, Dept Comp Engn, TR-23119 Elazig, Turkiye</t>
  </si>
  <si>
    <t>Firat University; Firat University</t>
  </si>
  <si>
    <t>An Efficient Clinical Decision Support Framework Using IoMT Based on Explainable and Trustworthy Artificial Intelligence with Transformer Model and Blockchain-Integrated Chunking</t>
  </si>
  <si>
    <t>internet of medical things; cloud; edge; artificial intelligence; blockchain; explainability; trustworthy</t>
  </si>
  <si>
    <t>ENERGY-EFFICIENT; CLOUD; EDGE; ARCHITECTURE</t>
  </si>
  <si>
    <t>Arslanoğlu, Kübra/ISS-3553-2023; KARAKOSE, Mehmet/G-9963-2013</t>
  </si>
  <si>
    <t>10.3390/diagnostics16010007</t>
  </si>
  <si>
    <t>http://dx.doi.org/10.3390/diagnostics16010007</t>
  </si>
  <si>
    <t>AV3UR</t>
  </si>
  <si>
    <t>41515502</t>
  </si>
  <si>
    <t>WOS:001657663800001</t>
  </si>
  <si>
    <t>Abe, S; Tago, S; Yokoyama, K; Ogawa, M; Takei, T; Imoto, S; Fuji, M</t>
  </si>
  <si>
    <t>Simple Summary To treat diseases caused by genetic mutations, such as mutations in genes and cancer cells, genomic medicine is being promoted to identify disease-causing variants in individual patients using comprehensive genetic analysis (next-generation sequencing, or NGS) for diagnosis and treatment. However, clinical interpretation of the large amount of variant data output by NGS is a time-consuming task and has become a bottleneck in the promotion of genomic medicine. Although AI development to support this task has been conducted in various fields, none has yet been realized that has both high estimation accuracy and explainability at the same time. Therefore, we propose an AI with high estimation accuracy and explanatory power, which will eliminate the bottlenecks in genomic medicine. Background: To treat diseases caused by genetic variants, it is necessary to identify disease-causing variants in patients. However, since there are a large number of disease-causing variants, the application of AI is required. We propose AI to solve this problem and report the results of its application in identifying disease-causing variants. Methods: To assist physicians in their task of identifying disease-causing variants, we propose an explainable AI (XAI) that combines high estimation accuracy with explainability using a knowledge graph. We integrated databases for genomic medicine and constructed a large knowledge graph that was used to achieve the XAI. Results: We compared our XAI with random forests and decision trees. Conclusion: We propose an XAI that uses knowledge graphs for explanation. The proposed method achieves high estimation performance and explainability. This will support the promotion of genomic medicine.</t>
  </si>
  <si>
    <t>Abe, Shuya; Tago, Shinichiro; Yokoyama, Kazuaki; Ogawa, Miho; Takei, Tomomi; Imoto, Seiya; Fuji, Masaru</t>
  </si>
  <si>
    <t>Fuji, M (corresponding author), Fujitsu Ltd, Artificial Intelligence Lab, Fujitsu Res, Kawasaki 2118588, Japan.</t>
  </si>
  <si>
    <t>Genomic Information of Japan Agency for Medical Research and Development [JP20KK0205013]; Grants-in-Aid for Scientific Research [21H02711] Funding Source: KAKEN</t>
  </si>
  <si>
    <t>Genomic Information of Japan Agency for Medical Research and Development; Grants-in-Aid for Scientific Research (Ministry of Education, Culture, Sports, Science and Technology, Japan (MEXT), Japan Society for the Promotion of Science, Grants-in-Aid for Scientific Research (KAKENHI))</t>
  </si>
  <si>
    <t>This research was supported in part by Program for an Integrated Database of Clinical and Genomic Information of Japan Agency for Medical Research and Development under Grant Number JP20KK0205013, together with Kyoto University.</t>
  </si>
  <si>
    <t>[Abe, Shuya; Tago, Shinichiro; Fuji, Masaru] Fujitsu Ltd, Artificial Intelligence Lab, Fujitsu Res, Kawasaki 2118588, Japan; [Yokoyama, Kazuaki; Ogawa, Miho; Takei, Tomomi] Univ Tokyo, IMSUT Hosp, Inst Med Sci, Dept Cell Proc &amp; Transfus, Tokyo 1088639, Japan; [Imoto, Seiya] Univ Tokyo, Inst Med Sci, Human Genome Ctr, Div Hlth Med Intelligence, Tokyo 1088639, Japan</t>
  </si>
  <si>
    <t>Fujitsu Ltd; University of Tokyo; University of Tokyo</t>
  </si>
  <si>
    <t>Explainable AI for Estimating Pathogenicity of Genetic Variants Using Large-Scale Knowledge Graphs</t>
  </si>
  <si>
    <t>explainable AI; deep learning; knowledge graph; precision medicine; cancer genomic medicine</t>
  </si>
  <si>
    <t>PREDICTION; GENOMICS; ELEMENTS; SERVER; WEB</t>
  </si>
  <si>
    <t>Ogawa, Miho/0009-0005-8685-2099; Tago, Shin-ichiro/0000-0003-3071-5165; YOKOYAMA, KAZUAKI/0000-0002-2556-3833</t>
  </si>
  <si>
    <t>1118</t>
  </si>
  <si>
    <t>10.3390/cancers15041118</t>
  </si>
  <si>
    <t>http://dx.doi.org/10.3390/cancers15041118</t>
  </si>
  <si>
    <t>9H6GT</t>
  </si>
  <si>
    <t>36831459</t>
  </si>
  <si>
    <t>WOS:000938929900001</t>
  </si>
  <si>
    <t>Cetintav, B; Yalcin, A</t>
  </si>
  <si>
    <t>Colic is a leading cause of mortality in horses, demanding precise and timely interventions. This study integrates machine learning and explainable artificial intelligence (XAI) to predict survival outcomes in horses with colic, using clinical, procedural, and diagnostic data. Random forest and XGBoost emerged as top-performing models, achieving F1 scores of 85.9% and 86.1%, respectively. SHAP (Shapley additive explanations) was employed to provide interpretable insights, offering both global and local explanations for model predictions. The analysis revealed that key features, such as pulse rate, lesion type, and total protein levels, significantly influenced survival likelihood. Local interpretations highlighted the unique contribution of clinical factors to individual cases, enabling personalized insights that guide targeted treatment strategies. These tailored predictions empower veterinarians to prioritize interventions based on the specific conditions of each horse, moving beyond generalized care protocols. By combining predictive accuracy with interpretability, this study advances precision veterinary medicine, enhancing outcomes for equine colic cases and setting a benchmark for future applications of AI in animal health.</t>
  </si>
  <si>
    <t>Cetintav, Bekir; Yalcin, Ahmet</t>
  </si>
  <si>
    <t>Cetintav, B (corresponding author), Burdur Mehmet Akif Ersoy Univ, Vet Fac, Dept Biostat, TR-15030 Burdur, Merkez, Turkiye.</t>
  </si>
  <si>
    <t>ahmtylcinn15@gmail.com; bekircetintav@mehmetakif.edu.tr</t>
  </si>
  <si>
    <t>Scientific and Technological Research Council of Turkiye (TUBITAK)</t>
  </si>
  <si>
    <t>Scientific and Technological Research Council of Turkiye (TUBITAK) (Turkiye Bilimsel ve Teknolojik Arastirma Kurumu (TUBITAK))</t>
  </si>
  <si>
    <t>This research was supported by the Scientific and Technological Research Council of Turkiye (TUBITAK) through the 2210/A National MSc/MA Scholarship Program, awarded to Ahmet Yalcin.</t>
  </si>
  <si>
    <t>[Cetintav, Bekir] Burdur Mehmet Akif Ersoy Univ, Vet Fac, Dept Biostat, TR-15030 Burdur, Merkez, Turkiye; [Yalcin, Ahmet] Burdur Mehmet Akif Ersoy Univ, Inst Sci, TR-15030 Burdur, Merkez, Turkiye</t>
  </si>
  <si>
    <t>Mehmet Akif Ersoy University; Mehmet Akif Ersoy University</t>
  </si>
  <si>
    <t>From Prediction to Precision: Explainable AI-Driven Insights for Targeted Treatment in Equine Colic</t>
  </si>
  <si>
    <t>ANIMALS</t>
  </si>
  <si>
    <t>equine colic; explainable artificial intelligence (XAI); machine learning in veterinary medicine; SHAP; precision animal health management; targeted veterinary medicine</t>
  </si>
  <si>
    <t>YALÇIN, AHMET/OMK-6546-2025; Cetintav, Bekir/AAE-9930-2019</t>
  </si>
  <si>
    <t>YALÇIN, AHMET/0009-0001-6093-8282; Cetintav, Bekir/0000-0001-7251-1211</t>
  </si>
  <si>
    <t>2076-2615</t>
  </si>
  <si>
    <t>ANIMALS-BASEL</t>
  </si>
  <si>
    <t>Animals</t>
  </si>
  <si>
    <t>10.3390/ani15020126</t>
  </si>
  <si>
    <t>http://dx.doi.org/10.3390/ani15020126</t>
  </si>
  <si>
    <t>Agriculture, Dairy &amp; Animal Science; Veterinary Sciences; Zoology</t>
  </si>
  <si>
    <t>Agriculture; Veterinary Sciences; Zoology</t>
  </si>
  <si>
    <t>T3J7A</t>
  </si>
  <si>
    <t>39858126</t>
  </si>
  <si>
    <t>WOS:001404017900001</t>
  </si>
  <si>
    <t>Aldughayfiq, B; Ashfaq, F; Jhanjhi, NZ; Humayun, M</t>
  </si>
  <si>
    <t>Retinoblastoma is a rare and aggressive form of childhood eye cancer that requires prompt diagnosis and treatment to prevent vision loss and even death. Deep learning models have shown promising results in detecting retinoblastoma from fundus images, but their decision-making process is often considered a "black box" that lacks transparency and interpretability. In this project, we explore the use of LIME and SHAP, two popular explainable AI techniques, to generate local and global explanations for a deep learning model based on InceptionV3 architecture trained on retinoblastoma and non-retinoblastoma fundus images. We collected and labeled a dataset of 400 retinoblastoma and 400 non-retinoblastoma images, split it into training, validation, and test sets, and trained the model using transfer learning from the pre-trained InceptionV3 model. We then applied LIME and SHAP to generate explanations for the model's predictions on the validation and test sets. Our results demonstrate that LIME and SHAP can effectively identify the regions and features in the input images that contribute the most to the model's predictions, providing valuable insights into the decision-making process of the deep learning model. In addition, the use of InceptionV3 architecture with spatial attention mechanism achieved high accuracy of 97% on the test set, indicating the potential of combining deep learning and explainable AI for improving retinoblastoma diagnosis and treatment.</t>
  </si>
  <si>
    <t>Aldughayfiq, Bader; Ashfaq, Farzeen; Jhanjhi, N. Z.; Humayun, Mamoona</t>
  </si>
  <si>
    <t>Humayun, M (corresponding author), Jouf Univ, Coll Comp &amp; Informat Sci, Dept Informat Syst, Sakaka 72388, Saudi Arabia.</t>
  </si>
  <si>
    <t>bmaldughayfiq@ju.edu.sa; farzeen.ashfaq@sd.taylors.edu.my; mahumayun@ju.edu.sa; noorzaman.jhanjhi@taylors.edu.my</t>
  </si>
  <si>
    <t>Deputyship for Research &amp; Innovation, Ministry of Education, Saudi Arabia [223202]</t>
  </si>
  <si>
    <t>Deputyship for Research &amp; Innovation, Ministry of Education, Saudi Arabia (Ministry of Education Saudi Arabia)</t>
  </si>
  <si>
    <t>The authors extend their appreciation to the Deputyship for Research &amp; Innovation, Ministry of Education, Saudi Arabia for funding this research work through project number 223202.</t>
  </si>
  <si>
    <t>[Aldughayfiq, Bader; Humayun, Mamoona] Jouf Univ, Coll Comp &amp; Informat Sci, Dept Informat Syst, Sakaka 72388, Saudi Arabia; [Ashfaq, Farzeen; Jhanjhi, N. Z.] Taylors Univ, Sch Comp Sci, Subang Jaya 47500, Malaysia</t>
  </si>
  <si>
    <t>Al Jouf University; Taylor's University</t>
  </si>
  <si>
    <t>Explainable AI for Retinoblastoma Diagnosis: Interpreting Deep Learning Models with LIME and SHAP</t>
  </si>
  <si>
    <t>retinoblastoma; explainable AI; deep learning; LIME; SHAP; medical image analysis; InceptionV3; transfer learning</t>
  </si>
  <si>
    <t>Jhanjhi, NZ/F-3051-2011; humayun, Mamoona/J-5644-2019; Aldughayfiq, Bader/ABB-3017-2021</t>
  </si>
  <si>
    <t>Ashfaq, Farzeen/0000-0001-5119-603X; Jhanjhi, NZ/0000-0001-8116-4733; humayun, Mamoona/0000-0001-6339-2257; Aldughayfiq, Bader/0000-0001-9584-0560</t>
  </si>
  <si>
    <t>JUN 1 2023</t>
  </si>
  <si>
    <t>1932</t>
  </si>
  <si>
    <t>10.3390/diagnostics13111932</t>
  </si>
  <si>
    <t>http://dx.doi.org/10.3390/diagnostics13111932</t>
  </si>
  <si>
    <t>I6RJ4</t>
  </si>
  <si>
    <t>37296784</t>
  </si>
  <si>
    <t>WOS:001004033100001</t>
  </si>
  <si>
    <t>Kai, C; Ishizuka, S; Otsuka, T; Nara, M; Kondo, S; Futamura, H; Kodama, N; Kasai, S</t>
  </si>
  <si>
    <t>Simple Summary: In Japan, a guideline for breast types, called "breast composition," was recently developed based on BI-RADS. The Japanese guidelines are characterized using a continuous value called the mammary gland content ratio, calculated using the density of the pectoralis muscle as an indicator to determine breast composition. Discriminative DCNN has been developed conventionally to classify breast composition; however, it could encounter two-step errors or more (e.g., estimating "Fatty" as "Heterogeneous dense"). We developed a regression DCNN based on the mammary gland content ratio defined in the Japanese guideline to solve the above problem, followed by automated breast composition classification based on the continuous value. We also examined the usefulness of the continuous value of the mammary gland content ratio.Recently, breast types were categorized into four types based on the Breast Imaging Reporting and Data System (BI-RADS) atlas, and evaluating them is vital in clinical practice. A Japanese guideline, called breast composition, was developed for the breast types based on BI-RADS. The guideline is characterized using a continuous value called the mammary gland content ratio calculated to determine the breast composition, therefore allowing a more objective and visual evaluation. Although a discriminative deep convolutional neural network (DCNN) has been developed conventionally to classify the breast composition, it could encounter two-step errors or more. Hence, we propose an alternative regression DCNN based on mammary gland content ratio. We used 1476 images, evaluated by an expert physician. Our regression DCNN contained four convolution layers and three fully connected layers. Consequently, we obtained a high correlation of 0.93 (p &lt; 0.01). Furthermore, to scrutinize the effectiveness of the regression DCNN, we categorized breast composition using the estimated ratio obtained by the regression DCNN. The agreement rates are high at 84.8%, suggesting that the breast composition can be calculated using regression DCNN with high accuracy. Moreover, the occurrence of two-step errors or more is unlikely, and the proposed method can intuitively understand the estimated results.</t>
  </si>
  <si>
    <t>Kai, Chiharu; Ishizuka, Sachi; Otsuka, Tsunehiro; Nara, Miyako; Kondo, Satoshi; Futamura, Hitoshi; Kodama, Naoki; Kasai, Satoshi</t>
  </si>
  <si>
    <t>Kasai, S (corresponding author), Niigata Univ Hlth &amp; Welf, Fac Med Technol, Dept Radiol Technol, Niigata, Niigata 9503198, Japan.</t>
  </si>
  <si>
    <t>chiharu-kai@nuhw.ac.jp; kodama@nuhw.ac.jp; satoshi-kasai@nuhw.ac.jp</t>
  </si>
  <si>
    <t>Konica Minolta Inc; Grants-in-Aid for Scientific Research [22K21252, 23K10899] Funding Source: KAKEN</t>
  </si>
  <si>
    <t>Konica Minolta Inc; Grants-in-Aid for Scientific Research (Ministry of Education, Culture, Sports, Science and Technology, Japan (MEXT), Japan Society for the Promotion of Science, Grants-in-Aid for Scientific Research (KAKENHI))</t>
  </si>
  <si>
    <t>This work was supported by Konica Minolta Inc. Authors T.O. and S. Kasai have received a research grant from Konica Minolta Inc.</t>
  </si>
  <si>
    <t>[Kai, Chiharu; Ishizuka, Sachi; Kodama, Naoki; Kasai, Satoshi] Niigata Univ Hlth &amp; Welf, Fac Med Technol, Dept Radiol Technol, Niigata, Niigata 9503198, Japan; [Otsuka, Tsunehiro] Otsuka Breastcare Clin, Tokyo 1210813, Japan; [Nara, Miyako] Komagome Hosp, Tokyo Metropolitan Canc &amp; Infect Dis Ctr, Dept Breast Surg, Tokyo 1138677, Japan; [Kondo, Satoshi] Muroran Inst Technol, Grad Sch Engn, Muroran City, Hokkaido 0508585, Japan; [Futamura, Hitoshi] Kon Minolta Inc, Tokyo 1000005, Japan</t>
  </si>
  <si>
    <t>Niigata University of Health &amp; Welfare; Tokyo Metropolitan Cancer &amp; Infectious Diseases Center Komagome Hospital</t>
  </si>
  <si>
    <t>Automated Estimation of Mammary Gland Content Ratio Using Regression Deep Convolutional Neural Network and the Effectiveness in Clinical Practice as Explainable Artificial Intelligence</t>
  </si>
  <si>
    <t>mammogram; breast composition; mammary gland content ratio; regression deep convolutional neural network; explainable AI</t>
  </si>
  <si>
    <t>BREAST-CANCER MORTALITY; AGE 40 YEARS; MAMMOGRAPHIC DENSITY; FOLLOW-UP; RISK</t>
  </si>
  <si>
    <t>Kondo, Satoshi/AAY-9642-2021</t>
  </si>
  <si>
    <t>Kasai, Satoshi/0009-0004-0067-1442; Kondo, Satoshi/0000-0002-4941-4920; Kodama, Naoki/0000-0001-9648-5193</t>
  </si>
  <si>
    <t>MAY 17 2023</t>
  </si>
  <si>
    <t>2794</t>
  </si>
  <si>
    <t>10.3390/cancers15102794</t>
  </si>
  <si>
    <t>http://dx.doi.org/10.3390/cancers15102794</t>
  </si>
  <si>
    <t>H7IN7</t>
  </si>
  <si>
    <t>37345132</t>
  </si>
  <si>
    <t>WOS:000997657800001</t>
  </si>
  <si>
    <t>Serbetci, NO; Blüher, S; Gellert, P; Leser, U</t>
  </si>
  <si>
    <t>Objective With extended life expectancy, the number of people in need of care has been growing. To optimally support them, it is important to know the patterns and conditions of their daily life that influence the need for support, and thus, the classification of the care need. In this study, we aim to utilize a large corpus consisting of care benefits applications to do an explorative analysis of factors affecting care need to support the tedious work of experts gathering reliable criteria for a care need assessment.Materials and Methods We compare state-of-the-art methods from explainable artificial intelligence (XAI) as means to extract such patterns from over 72 000 German care benefits applications. We train transformer models to predict assessment results as decided by a Medical Service Unit from accompanying text notes. To understand the key factors for care need assessment and its constituent modules (such as mobility and self-therapy), we apply feature attribution methods to extract the key phrases for each prediction. These local explanations are then aggregated into global insights to derive key phrases for different modules and severity of care need over the dataset.Results Our experiments show that transformers-based models perform slightly better than traditional bag-of-words baselines in predicting care need. We find that the bag-of-words baseline also provides useful care-relevant phrases, whereas phrases obtained through transformer explanations better balance rare and common phrases, such as diagnoses mentioned only once, and are better in assigning the correct assessment module.Discussion Even though XAI results can become unwieldy, they let us get an understanding of thousands of documents with no extra annotations other than existing assessment outcomes.Conclusion This work provides a systematic application and comparison of both traditional and state-of-the-art deep learning based XAI approaches to extract insights from a large corpus of text. Both traditional and deep learning approaches provide useful phrases, and we recommend using both to explore and understand large text corpora better. We will make our code available at https://github.com/oguzserbetci/explainer.As people live longer, more individuals require care, making it essential to understand the factors that influence their need for support. In this study, we explore how artificial intelligence (AI) techniques can help identify patterns in daily life that affect care needs. We analyzed over 72 000 care benefit applications from Germany, using AI models to predict care benefit application outcomes based on the accompanying assessment notes. We compare traditional methods with modern deep learning based transformer models, which are better at understanding language nuances. Our main contribution is applying and evaluating explainable AI techniques to pinpoint key phrases in the text that influence assessment outcome and assign them to different assessment modules, such as mobility or self-treatment. While traditional methods performed well, the transformer models were slightly better at predicting care needs and balancing rare and common phrases. This research demonstrates how AI can extract valuable insights into care needs from thousands of documents without any additional human annotation besides existing assessment outcomes.</t>
  </si>
  <si>
    <t>Serbetci, Necip Oguz; Blueher, Stefan; Gellert, Paul; Leser, Ulf</t>
  </si>
  <si>
    <t>Serbetci, NO (corresponding author), Humboldt Univ, Inst Comp Sci, Unter Linden 6, D-10099 Berlin, Germany.</t>
  </si>
  <si>
    <t>oguz.serbetci@hu-berlin.de</t>
  </si>
  <si>
    <t>Gemeinsame Bundesausschuss [01VSF22041]; Spitzenverband der Gesetzlichen Krankenversicherung (GKV-Spitzenverband)</t>
  </si>
  <si>
    <t>Gemeinsame Bundesausschuss; Spitzenverband der Gesetzlichen Krankenversicherung (GKV-Spitzenverband)</t>
  </si>
  <si>
    <t>This work was supported by the project IntSimOnko funded by the Gemeinsame Bundesausschuss (G-BA, 01VSF22041) and the project "Gesundheitsverlaufe im Alter - Wege in die Pflegebedurftigkeit" - funded by Spitzenverband der Gesetzlichen Krankenversicherung (GKV-Spitzenverband).</t>
  </si>
  <si>
    <t>[Serbetci, Necip Oguz; Leser, Ulf] Humboldt Univ, Inst Comp Sci, Unter Linden 6, D-10099 Berlin, Germany; [Blueher, Stefan; Gellert, Paul] Inst Med Sociol &amp; Rehabil Sci, D-10117 Berlin, Germany</t>
  </si>
  <si>
    <t>Humboldt University of Berlin</t>
  </si>
  <si>
    <t>Explaining care need assessment surveys: qualitative and quantitative evaluation of state-of-the-art local and global explainable artificial intelligence methods</t>
  </si>
  <si>
    <t>long-term care; long-term care insurance; explainable AI; information extraction; text classification</t>
  </si>
  <si>
    <t>Şerbetçi, Necip Oğuz/0009-0000-1364-636X</t>
  </si>
  <si>
    <t>ooaf064</t>
  </si>
  <si>
    <t>10.1093/jamiaopen/ooaf064</t>
  </si>
  <si>
    <t>http://dx.doi.org/10.1093/jamiaopen/ooaf064</t>
  </si>
  <si>
    <t>5MA0E</t>
  </si>
  <si>
    <t>40741010</t>
  </si>
  <si>
    <t>WOS:001538870500001</t>
  </si>
  <si>
    <t>Poon, EG; Lemak, CH; Rojas, JC; Guptill, J; Classen, D</t>
  </si>
  <si>
    <t>Importance The US healthcare system faces significant challenges, including clinician burnout, operational inefficiencies, and concerns about patient safety. Artificial intelligence (AI), particularly generative AI, has the potential to address these challenges, but its adoption, effectiveness, and barriers to implementation are not well understood.Objective To evaluate the current state of AI adoption in US healthcare systems, assess successes and barriers to implementation during the early generative AI era.Design, setting, and participants This cross-sectional survey was conducted in Fall 2024, and included 67 health systems members of the Scottsdale Institute, a collaborative of US non-profit healthcare organizations. Forty-three health systems completed the survey (64% response rate). Respondents provided data on the deployment status and perceived success of 37 AI use cases across 10 categories.Main outcomes and measures The primary outcomes were the extent of AI use case development, piloting, or deployment, the degree of reported success for AI use cases, and the most significant barriers to adoption.Results Across the 43 responding health systems, AI adoption and perceptions of success varied significantly. Ambient Notes, a generative AI tool for clinical documentation, was the only use case with 100% of respondents reporting adoption activities, and 53% reported a high degree of success with using AI for Clinical Documentation. Imaging and radiology emerged as the most widely deployed clinical AI use case, with 90% of organizations reporting at least partial deployment, although successes with diagnostic use cases were limited. Similarly, many organizations have deployed AI for clinical risk stratification such as early sepsis detection, but only 38% report high success in this area. Immature AI tools were identified a significant barrier to adoption, cited by 77% of respondents, followed by financial concerns (47%) and regulatory uncertainty (40%).Conclusions and relevance Ambient Notes is rapidly advancing in US healthcare systems and demonstrating early success. Other AI use cases show varying degrees of adoption and success, constrained by barriers such as immature AI tools, financial concerns, and regulatory uncertainty. Addressing these challenges through robust evaluations, shared strategies, and governance models will be essential to ensure effective integration and adoption of AI into healthcare practice.</t>
  </si>
  <si>
    <t>Poon, Eric G.; Lemak, Christy Harris; Rojas, Juan C.; Guptill, Janet; Classen, David</t>
  </si>
  <si>
    <t>Poon, EG (corresponding author), Duke Univ Hlth Syst, Duke Hlth Technol Solut, 2424 Erwin Rd,12-F, Durham, NC 27705 USA.</t>
  </si>
  <si>
    <t>eric.poon@duke.edu</t>
  </si>
  <si>
    <t>NIDA NIH HHS [R01DA051464, R01 DA051464] Funding Source: Medline; NIH Funding Source: Medline; Robert Wood Johnson Foundation Funding Source: Medline</t>
  </si>
  <si>
    <t>NIDA NIH HHS (United States Department of Health &amp; Human Services, National Institutes of Health (NIH) - USA, NIH National Institute on Drug Abuse (NIDA)); NIH (United States Department of Health &amp; Human Services, National Institutes of Health (NIH) - USA); Robert Wood Johnson Foundation (Robert Wood Johnson Foundation (RWJF))</t>
  </si>
  <si>
    <t>[Poon, Eric G.] Duke Univ Hlth Syst, Durham, NC 27705 USA; [Poon, Eric G.] Duke Univ, Sch Med, Dept Med, Durham, NC USA; [Poon, Eric G.] Duke Univ, Sch Med, Dept Biostat &amp; Bioinformat, Durham, NC USA; [Lemak, Christy Harris] Univ Alabama Birmingham, Dept Hlth Serv Adm, Birmingham, AL USA; [Lemak, Christy Harris; Guptill, Janet] Scottsdale Inst, Scottsdale, AZ USA; [Rojas, Juan C.] Rush Univ Syst Hlth, Chicago, IL USA; [Classen, David] Univ Utah, Sch Med, Div Epidemiol, Salt Lake City, UT USA</t>
  </si>
  <si>
    <t>Duke University; Duke University; Duke University; University of Alabama System; University of Alabama Birmingham; Utah System of Higher Education; University of Utah</t>
  </si>
  <si>
    <t>Adoption of artificial intelligence in healthcare: survey of health system priorities, successes, and challenges</t>
  </si>
  <si>
    <t>artificial intelligence; generative AI; responsible AI; technology adoption; AI safety</t>
  </si>
  <si>
    <t>OLGUIN-ROJAS, JUAN CARLOS/KIC-4172-2024</t>
  </si>
  <si>
    <t>Poon, Eric/0000-0002-7251-5842</t>
  </si>
  <si>
    <t>1093</t>
  </si>
  <si>
    <t>1100</t>
  </si>
  <si>
    <t>10.1093/jamia/ocaf065</t>
  </si>
  <si>
    <t>http://dx.doi.org/10.1093/jamia/ocaf065</t>
  </si>
  <si>
    <t>3YN1P</t>
  </si>
  <si>
    <t>40323320</t>
  </si>
  <si>
    <t>WOS:001481084400001</t>
  </si>
  <si>
    <t>Phuyal, D; Ozmen, B; Berber, I; Schwarz, G</t>
  </si>
  <si>
    <t>Background: Surgical site infections (SSIs) following autologous breast reconstruction, particularly deep inferior epigastric perforator (DIEP) flap procedures, pose a substantial clinical burden and is associated with increased risk of hospital readmission. Existing prediction models lack sufficient accuracy in identifying high-risk patients. We aimed to develop a machine learning model to predict 30-day SSI risk and identify key predictors using a national surgical quality database. Methods: A total of 13,312 DIEP flap reconstructions from the American College of Surgeons National Surgical Quality Improvement Program (NSQIP) between 2016 and 2022 were analyzed. An XGBoost classifier incorporating demographic, comorbidity, operative, and laboratory variables was trained and evaluated using accuracy, recall, precision, F1 score, and area under the curve (AUC). Model explainability was assessed using SHapley Additive exPlanations (SHAP) to identify key predictors and their directional influence. Results: The overall SSI rate was 8.14%. XGBoost classifier achieved an accuracy of 74.6%, a recall of 74.6%, and an AUC of 0.63 for predicting 30-day SSI. Key predictors of SSI included year of surgery (5.3% in 2016 and 9.3% in 2022), elevated BMI, increased body weight, prolonged operative time, and longer hospital stay. Conclusion: This model demonstrates the feasibility and interpretability of explainable AI in identifying SSI-related risk patterns using large-scale national data. It provides a framework for retrospective SSI risk analysis and hypothesis generation, thereby establishing a robust foundation for future preoperative-focused and prospectively validated prediction models. (c) 2026 British Association of Plastic, Reconstructive and Aesthetic Surgeons. Published by Elsevier Ltd. All rights are reserved, including those for text and data mining, AI training, and similar technologies.</t>
  </si>
  <si>
    <t>Phuyal, Diwakar; Ozmen, Berk; Berber, Ibrahim; Schwarz, Graham</t>
  </si>
  <si>
    <t>Schwarz, G (corresponding author), 9500 Euclid Ave,A60, Cleveland, OH 44195 USA.</t>
  </si>
  <si>
    <t>schwarg@ccf.org</t>
  </si>
  <si>
    <t>[Phuyal, Diwakar; Ozmen, Berk; Schwarz, Graham] Cleveland Clin, Dept Plast Surg, Cleveland, OH USA; [Berber, Ibrahim] Case Western Reserve Univ, Dept Comp Sci, Cleveland, OH USA</t>
  </si>
  <si>
    <t>Cleveland Clinic Foundation; University System of Ohio; Case Western Reserve University</t>
  </si>
  <si>
    <t>Explainable AI modeling of postoperative surgical site infection risk in autologous breast reconstruction</t>
  </si>
  <si>
    <t>JOURNAL OF PLASTIC RECONSTRUCTIVE AND AESTHETIC SURGERY</t>
  </si>
  <si>
    <t>Surgical site infection; Autologous breast reconstruction; DIEP flap; Machine learning; Explainable artificial intelligence</t>
  </si>
  <si>
    <t>QUALITY-OF-LIFE; OUTCOMES</t>
  </si>
  <si>
    <t>/E-2583-2016; Ozmen, Berk/AAB-7045-2019</t>
  </si>
  <si>
    <t>1748-6815</t>
  </si>
  <si>
    <t>1878-0539</t>
  </si>
  <si>
    <t>J PLAST RECONSTR AES</t>
  </si>
  <si>
    <t>J. Plast. Reconstr. Aesthet. Surg.</t>
  </si>
  <si>
    <t>10.1016/j.bjps.2025.12.029</t>
  </si>
  <si>
    <t>http://dx.doi.org/10.1016/j.bjps.2025.12.029</t>
  </si>
  <si>
    <t>DC2ZB</t>
  </si>
  <si>
    <t>41610823</t>
  </si>
  <si>
    <t>WOS:001680016500001</t>
  </si>
  <si>
    <t>Maouche, I; Terrissa, LS; Benmohammed, K; Zerhouni, N</t>
  </si>
  <si>
    <t>Objective: Breast Cancer is the most prevalent cancer and the first cause of cancer deaths among women worldwide. In 90% of the cases, mortality is related to distant metastasis. Computer-aided prognosis systems using machine learning models have been widely used to predict breast cancer metastasis. Despite that, these systems still face several challenges. First, the models are generally biased toward the majority class due to datasets unbalance. Second, their increased complexity is associated with decreased interpretability which causes clinicians to distrust their prognosis. Methods: To tackle these issues, we have proposed an explainable approach for predicting breast cancer metastasis using clinicopathological data. Our approach is based on cost-sensitive CatBoost classifier and utilises LIME explainer to provide patient-level explanations. Results: We used a public dataset of 716 breast cancer patients to assess our approach. The results demonstrate the superiority of cost-sensitive CatBoost in precision (76.5%), recall (79.5%), and f1-score (77%) over classical and boosting models. The LIME explainer was used to quantify the impact of patient and treatment characteristics on breast cancer metastasis, revealing that they have different impacts ranging from high impact like the non-use of adjuvant chemotherapy, and moderate impact including carcinoma with medullary features histological type, to low impact like oral contraception use. The code is available at https://github.com/IkramMaouche/CS-CatBoost Conclusion: Our approach serves as a first step toward introducing more efficient and explainable computer-aided prognosis systems for breast cancer metastasis prediction.</t>
  </si>
  <si>
    <t>Maouche, Ikram; Terrissa, Labib Sadek; Benmohammed, Karima; Zerhouni, Noureddine</t>
  </si>
  <si>
    <t>Maouche, I (corresponding author), Mohamed Khider Univ, Comp Sci Dept, LINFI Lab, Biskra 07000, Algeria.</t>
  </si>
  <si>
    <t>ikram.maouche@univ-biskra.dz</t>
  </si>
  <si>
    <t>[Maouche, Ikram; Terrissa, Labib Sadek] Mohamed Khider Univ, Comp Sci Dept, LINFI Lab, Biskra 07000, Algeria; [Benmohammed, Karima] Univ Constantine 3 Salah Boubnider, Med Fac, Prevent Med Chron Dis Res Lab, El Khroub, Algeria; [Zerhouni, Noureddine] Univ Bourgogne Franche Comte, Franche Comte Elect Mech Thermal Sci &amp; Opt Sci &amp;, CNRS, ENSMM, Besancon, France</t>
  </si>
  <si>
    <t>Universite Mohamed Khider Biskra; Universite de Technologie de Belfort-Montbeliard (UTBM); Universite Marie et Louis Pasteur; Centre National de la Recherche Scientifique (CNRS)</t>
  </si>
  <si>
    <t>An Explainable AI Approach for Breast Cancer Metastasis Prediction Based on Clinicopathological Data</t>
  </si>
  <si>
    <t>IEEE TRANSACTIONS ON BIOMEDICAL ENGINEERING</t>
  </si>
  <si>
    <t>Metastasis; Breast cancer; Prognostics and health management; Predictive models; Data models; Prediction algorithms; Sensitivity; Clinical diagnosis; Pathological processes; Costs; Artificial intelligence; metastasis; clinicopathological; machine learning; cost sensitive; explainable artificial intelligence; Lime</t>
  </si>
  <si>
    <t>MACHINE; CAUSABILITY; SURVIVAL; QUALITY</t>
  </si>
  <si>
    <t>Benmohammed, Karima/IQU-1596-2023; terrissa, Labib/G-7316-2018</t>
  </si>
  <si>
    <t>Maouche, Ikram/0000-0002-7643-058X; Benmohammed, Karima/0000-0001-9439-3666</t>
  </si>
  <si>
    <t>0018-9294</t>
  </si>
  <si>
    <t>1558-2531</t>
  </si>
  <si>
    <t>IEEE T BIO-MED ENG</t>
  </si>
  <si>
    <t>IEEE Trans. Biomed. Eng.</t>
  </si>
  <si>
    <t>3329</t>
  </si>
  <si>
    <t>10.1109/TBME.2023.3282840</t>
  </si>
  <si>
    <t>http://dx.doi.org/10.1109/TBME.2023.3282840</t>
  </si>
  <si>
    <t>CF0T0</t>
  </si>
  <si>
    <t>37276094</t>
  </si>
  <si>
    <t>WOS:001123725100024</t>
  </si>
  <si>
    <t>Tchokponhoue, GAD; Idri, A</t>
  </si>
  <si>
    <t>Deep learning models have shown promising capabilities in medical image analysis, yet their safe and trustworthy deployment in clinical oncology remains limited. One major barrier is the lack of reliable uncertainty quantification (UQ), as most models provide deterministic predictions, often exhibit overconfidence, and fail to recognize when they are uncertain-essentially, they don't know what they don't know. To address this issue, we investigate the uncertainty quantification capabilities of Bayesian Evidential Deep Learning (BEDL) for medical image classification. We present a comprehensive evaluation of this approach for cancer classification across three clinically relevant imaging modalities: histology for ovarian cancer, cytology for cervical cancer, and ultrasound for breast cancer. BEDL is benchmarked against two widely adopted Bayesian UQ methods-Monte Carlo Dropout (MCD) and Variational Inference (VI)-in diverse evaluation settings, including in-distribution testing, distribution shift, and out-of-distribution (OOD) detection. We systematically analyze each method's classification performance, calibration quality, robustness to distribution shifts, and the reliability of their uncertainty estimates. Results showed that BEDL achieves competitive classification performance across datasets and often provides improved calibration compared to MCD, with performance comparable to VI in many settings. Under distribution shift and OOD detection scenarios, the relative performance of the methods varies across datasets and uncertainty measures, highlighting the importance of dataset-specific evaluation. In addition, BEDL demonstrated favourable computational efficiency compared to VI and enables effective uncertainty-guided rejection for selective prediction. Overall, our findings suggest that BEDL represents a promising alternative for uncertainty-aware medical image analysis and highlight the importance of carefully evaluating uncertainty modelling approaches across diverse clinical scenarios to support the development of trustworthy AI systems in oncology.</t>
  </si>
  <si>
    <t>Tchokponhoue, Gbegninougbo Aurel Davy; Idri, Ali</t>
  </si>
  <si>
    <t>Idri, A (corresponding author), Mohammed V Univ, Data &amp; Software Sci Res Team, ENSIAS, Rabat, Morocco.</t>
  </si>
  <si>
    <t>ali.idri@um5.ac.ma</t>
  </si>
  <si>
    <t>The 100 PhDs for Africa programme under the UM6P-EPFL Excellence in Africa Initiative</t>
  </si>
  <si>
    <t>The 100 PhDs for Africa programme under the UM6P-EPFL Excellence in Africa Initiative (Ecole Polytechnique Federale de Lausanne)</t>
  </si>
  <si>
    <t>We express our gratitude to the Mohammed VI Polytechnic University (UM6P) and Ecole Polytechnique Federale de Lausanne (EPFL) for their valuable support. This work was sponsored by the 100 PhDs for Africa programme under the UM6P-EPFL Excellence in Africa Initiative.</t>
  </si>
  <si>
    <t>[Tchokponhoue, Gbegninougbo Aurel Davy] Mohammed VI Polytech Univ, UM6P Hosp, Fac Med Sci, Ben Guerir 43150, Morocco; [Idri, Ali] Mohammed V Univ, Data &amp; Software Sci Res Team, ENSIAS, Rabat, Morocco</t>
  </si>
  <si>
    <t>Mohammed VI Polytechnic University; Mohammed V University in Rabat</t>
  </si>
  <si>
    <t>A comprehensive empirical evaluation of Bayesian evidential deep learning for uncertainty quantification of image-based medical classification</t>
  </si>
  <si>
    <t>Bayesian deep learning; Uncertainty quantification; Cancer classification; Calibration; Out-of-Distribution detection</t>
  </si>
  <si>
    <t>NEURAL-NETWORKS; ULTRASOUND; DATASET</t>
  </si>
  <si>
    <t>110453</t>
  </si>
  <si>
    <t>10.1016/j.rineng.2026.110453</t>
  </si>
  <si>
    <t>http://dx.doi.org/10.1016/j.rineng.2026.110453</t>
  </si>
  <si>
    <t>HP2QE</t>
  </si>
  <si>
    <t>WOS:001759440400001</t>
  </si>
  <si>
    <t>Hechavarria-Hernandez, JR</t>
  </si>
  <si>
    <t>The integration of Artificial Intelligence (AI) and Virtual Reality (VR) has transformed medical education; however, performance assessment in high-stakes fields such as stereotactic neurosurgery remains largely dependent on binary or threshold-based metrics. In procedures such as deep brain stimulation (DBS), where safety margins are below 2 mm, these approaches fail to capture indeterminate behaviors, including hesitation, micro-instability, and unstable trajectories, potentially leading to false-positive competence classifications. This study introduces a Neutrosophic Explainable AI (N-XAI) framework that models surgical performance through three independent dimensions: truth (competence), Indeterminacy (instability/ambiguity), and Falsity (error). Performance is represented in a two-dimensional precision-stability space and quantified using single-valued neutrosophic sets (SVNS). For theoretical validation, a synthetic dataset comprising 60 simulated surgical attempts distributed across three skill groups (expert, indeterminate, and novice) was generated. Neutrosophic competence scores were computed and analyzed using non-parametric statistical tests. The framework successfully differentiated the three groups and identified indeterminate, high-risk cases that achieved acceptable spatial accuracy but exhibited significant instability-patterns that conventional metrics fail to detect. The proposed N-XAI framework provides a mathematically grounded and interpretable approach for modeling uncertainty in immersive neurosurgical simulation. By explicitly accounting for indeterminacy, it enhances the diagnostic value of VR-based training systems and lays the groundwork for future validation in live stereotactic simulation environments.</t>
  </si>
  <si>
    <t>Hechavarria-Hernandez, Jesus Rafael</t>
  </si>
  <si>
    <t>Hechavarria-Hernandez, JR (corresponding author), Univ Ecotec, Samborondon, Ecuador.</t>
  </si>
  <si>
    <t>jhechavarria@ecotec.edu.ec</t>
  </si>
  <si>
    <t>ECOTEC University (Samborondon, Ecuador) as part of its institutional initiative to advance computational modeling and immersive simulation technologies for engineering and health sciences; ECOTEC University</t>
  </si>
  <si>
    <t>The author(s) declared that financial support was received for this work and/or its publication. This research was supported by the ECOTEC University (Samborondon, Ecuador) as part of its institutional initiative to advance computational modeling and immersive simulation technologies for engineering and health sciences. The publication fees (APC) associated with this article were fully covered by ECOTEC University. No external grants or third-party commercial funding were involved in the development of the neutrosophic framework, simulation pipeline, or statistical analyses.</t>
  </si>
  <si>
    <t>[Hechavarria-Hernandez, Jesus Rafael] Univ Ecotec, Samborondon, Ecuador</t>
  </si>
  <si>
    <t>Universidad Tecnologica Ecotec</t>
  </si>
  <si>
    <t>A neutrosophic explainable AI framework for modeling uncertainty in immersive stereotactic neurosurgical simulation</t>
  </si>
  <si>
    <t>deep brain stimulation; explainable AI; neutrosophic logic; stereotactic neurosurgery; uncertainty modeling</t>
  </si>
  <si>
    <t>DEEP BRAIN-STIMULATION; VIRTUAL-REALITY; AUGMENTED REALITY</t>
  </si>
  <si>
    <t>Hechavarria-Hernandez, Jesus Rafael/A-9166-2017</t>
  </si>
  <si>
    <t>Hechavarria-Hernandez, Jesus Rafael/0000-0002-9013-8665</t>
  </si>
  <si>
    <t>FEB 23 2026</t>
  </si>
  <si>
    <t>1766089</t>
  </si>
  <si>
    <t>10.3389/fneur.2026.1766089</t>
  </si>
  <si>
    <t>http://dx.doi.org/10.3389/fneur.2026.1766089</t>
  </si>
  <si>
    <t>ES5XL</t>
  </si>
  <si>
    <t>41809192</t>
  </si>
  <si>
    <t>WOS:001708737700001</t>
  </si>
  <si>
    <t>Kasar, RD; Shukla, G</t>
  </si>
  <si>
    <t>Mental health disorders such as anxiety, depression, and Mild Cognitive Impairment (MCI) are increasingly prevalent among young adults aged 18-30, significantly affecting academic performance, cognitive functioning, and overall wellbeing. Traditional diagnostic approaches depend on subjective assessments and limited clinical observations, making early and accurate detection challenging. To address these limitations, this research proposes an interpretable deep learning-based multimodal method for comprehensive mental health prediction and personalized intervention. The framework integrates heterogeneous data sources, including demographic, cognitive, behavioral, physiological, and neurocognitive indicators collected from clinical settings. Data preprocessing includes imputation, normalization, encoding, and text transformation. A Cross-Directional Feature Learning Network (CDFLN) is employed for robust multimodal feature extraction, followed by a Multi-model Progressive Dense Self-Attention for Cross Domain (MPDSA-CD) architecture for classification of anxiety, depression, and MCI, along with cognitive risk and severity assessment. Model performance is further enhanced by the Starfish Optimization Algorithm for hyperparameter tuning and parameter refinement. To ensure clinical transparency, SHapley Additive exPlanations (SHAP) are utilized to interpret model predictions and identify key risk factors influencing mental health outcomes. The proposed method achieves an accuracy of 99.8%, precision of 99.7%, recall of 99.9%, and F1-score of 99.8%, demonstrating strong robustness, generalization ability, and clinical applicability for early detection and effective psychological intervention in young adults.</t>
  </si>
  <si>
    <t>Kasar, Rupali D.; Shukla, Garima</t>
  </si>
  <si>
    <t>Shukla, G (corresponding author), Amity Univ, Amity Sch Engn &amp; Technol, Dept Comp Sci &amp; Engn, Mumbai, Maharashtra, India.</t>
  </si>
  <si>
    <t>garimashukla0719@gmail.com</t>
  </si>
  <si>
    <t>[Kasar, Rupali D.; Shukla, Garima] Amity Univ, Amity Sch Engn &amp; Technol, Dept Comp Sci &amp; Engn, Mumbai, Maharashtra, India</t>
  </si>
  <si>
    <t>An explainable AI framework integrating deep learning and large language model for student's mental health</t>
  </si>
  <si>
    <t>FRONTIERS IN SIGNAL PROCESSING</t>
  </si>
  <si>
    <t>anxiety; behavioral analysis; cognitive assessment; depression; mental health prediction; mild cognitive impairment; multimodal data; physiological signals</t>
  </si>
  <si>
    <t>2673-8198</t>
  </si>
  <si>
    <t>FRONT SIGNAL PROC-SW</t>
  </si>
  <si>
    <t>Front. Signal Process.</t>
  </si>
  <si>
    <t>AUG 3 2026</t>
  </si>
  <si>
    <t>1893420</t>
  </si>
  <si>
    <t>10.3389/frsip.2026.1893420</t>
  </si>
  <si>
    <t>http://dx.doi.org/10.3389/frsip.2026.1893420</t>
  </si>
  <si>
    <t>MY0UI</t>
  </si>
  <si>
    <t>WOS:001853616100001</t>
  </si>
  <si>
    <t>Ciardiello, A; D'Angelo, A; De Angelis, L; Giagu, S; Sala, E; Gigante, G</t>
  </si>
  <si>
    <t>With AI already in clinical use, mammography serves as a critical test-bed for the challenges and potential of medical AI. However, its progress is hampered by the 'black box' nature of current AI algorithms, limiting clinician trust and transparency. This review analyses the field of Explainable AI (XAI) as a solution, examining its motivations, methods, and metrics. We find the field is dominated by post-hoc saliency methods that provide plausible but not necessarily faithful explanations of AI decision-making. This focus has led to an evaluation gap, where localization accuracy is used as a proxy for explanatory quality without verifying the model's true reasoning. Inherently interpretable models that could offer more faithful insights are rarely implemented, and a lack of human-centred studies further obscures the clinical utility of current XAI techniques. We argue that for AI in mammography to realize its full potential, the field must urgently shift focus from creating plausible explanations to developing and validating inherently interpretable systems that provide faithful, clinically meaningful insights.</t>
  </si>
  <si>
    <t>Ciardiello, Andrea; D'Angelo, Anna; De Angelis, Luigi; Giagu, Stefano; Sala, Evis; Gigante, Guido</t>
  </si>
  <si>
    <t>Gigante, G (corresponding author), Ist Super Sanita, Natl Ctr Radiat Protect &amp; Computat Phys, Rome, Italy.; Gigante, G (corresponding author), Natl Inst Nucl Phys, Sect Rome, Rome, Italy.</t>
  </si>
  <si>
    <t>guido.gigante@iss.it</t>
  </si>
  <si>
    <t>European Association of National Metrology Institutes [22HLT05 MAIBAI]</t>
  </si>
  <si>
    <t>European Association of National Metrology Institutes</t>
  </si>
  <si>
    <t>GG and AC acknowledge the support of the 22HLT05 MAIBAI project, which has received funding from the European Partnership on Metrology, co-financed from the European Union's Horizon Europe Research and Innovation Programme and by the Participating States.</t>
  </si>
  <si>
    <t>[Ciardiello, Andrea; Gigante, Guido] Ist Super Sanita, Natl Ctr Radiat Protect &amp; Computat Phys, Rome, Italy; [Ciardiello, Andrea; Giagu, Stefano; Gigante, Guido] Natl Inst Nucl Phys, Sect Rome, Rome, Italy; [D'Angelo, Anna; Sala, Evis] Agostino Gemelli Univ Polyclin, Dept Radiol Radiat Oncol &amp; Hematol, Rome, Italy; [De Angelis, Luigi] Univ Pisa, Dept Translat Res &amp; New Technol Med &amp; Surg, Pisa, Italy; [De Angelis, Luigi] Italian Soc Artificial Intelligence Med, SIIAM, Rome, Italy; [Giagu, Stefano] Sapienza Univ Rome, Dept Phys, Rome, Italy; [Sala, Evis] Univ Cattolica Sacro Cuore, Dept Radiol, Rome, Italy</t>
  </si>
  <si>
    <t>Istituto Superiore di Sanita (ISS); Istituto Nazionale di Fisica Nucleare (INFN); Catholic University of the Sacred Heart; IRCCS Policlinico Gemelli; University of Pisa; Sapienza University Rome; Catholic University of the Sacred Heart; IRCCS Policlinico Gemelli</t>
  </si>
  <si>
    <t>Beyond the black box: lessons in explainability from AI in mammography</t>
  </si>
  <si>
    <t>Explainable AI (XAI); Mammography; Model interpretability; Trustworthy AI; Human-in-the-loop; Evaluation metrics</t>
  </si>
  <si>
    <t>ARTIFICIAL-INTELLIGENCE; PERFORMANCE; HEALTH; TOMOSYNTHESIS; SYSTEM; US</t>
  </si>
  <si>
    <t>Ciardiello, Andrea/HJI-2500-2023; Sala, Evis/AAD-7265-2019</t>
  </si>
  <si>
    <t>Ciardiello, Andrea/0000-0003-1903-4406</t>
  </si>
  <si>
    <t>MAR 11 2026</t>
  </si>
  <si>
    <t>130</t>
  </si>
  <si>
    <t>10.1007/s10462-026-11518-5</t>
  </si>
  <si>
    <t>http://dx.doi.org/10.1007/s10462-026-11518-5</t>
  </si>
  <si>
    <t>GD2VK</t>
  </si>
  <si>
    <t>WOS:001733650100002</t>
  </si>
  <si>
    <t>Chakraborty, S; Kumar, K; Tadepalli, K; Pailla, BR; Roy, S</t>
  </si>
  <si>
    <t>Sepsis is a severe and potentially life-threatening condition that occurs when the body's immune response becomes excessively intense in reaction to an infection. If not promptly treated, it can result in organ failure and even death. So, early identification of patients at risk for sepsis is crucial to improve the patient's outcome in critical care. The main objective of this work is to create a highly accurate model named XAutoNet that utilizes optimal number of clinical features to predict sepsis 6 h before its onset, also providing diagnostic map behind its prediction that will help health workers in better treatment. The importance of this work is heightened in resource-scarce settings, where not all tests are available, or the turnaround time is excessive. A novel convolutional neural network based autoencoder architecture is also implemented to augment the performance of XAutoNet by reducing the input dimensions into an optimal number of dimensions. For explaining the participation of features in feature extraction, Gradient-based Class Activation Map is used to visualize the gradients in individual layers of the encoder block via heatmaps. For the explainability of XAutoNet, a visualization tool named SHapley Additive exPlanations (is used to interpret the features' contribution in the model's global and local prediction. The proposed XAutoNet model has an accuracy of 93%, Precision of 90%, F1 score of 92%, and Recall of 94%. The performance of the convolutional neural network -based autoencoder was also compared with its other variants, including Principal Component Analysis, which showed its high feature extraction power. The XAutoNet has also outperformed other comparable method by a significant margin. The performance of XAutoNet is instrumental in predicting sepsis in advance by understanding the non-linearity and complexity of the data of Intensive Care Unit patients with the help of the proposed autoencoder.</t>
  </si>
  <si>
    <t>Chakraborty, Snehashis; Kumar, Komal; Tadepalli, Kalyan; Pailla, Balakrishna Reddy; Roy, Sudipta</t>
  </si>
  <si>
    <t>Roy, S (corresponding author), Jio Inst, Artificial Intelligence &amp; Data Sci, Navi Mumbai 410206, India.</t>
  </si>
  <si>
    <t>Snehashis1.C@jioinstitute.edu.in; balakrishna.pailla@ril.com; komal2.Kumar@jioinstitute.edu.in; sudipta1.roy@jioinstitute.edu.in; Kalyan.Tadepalli@rfhospital.org</t>
  </si>
  <si>
    <t>RFIER-Jio Institute; Department of Critical Care; Sir H. N. Reliance Foundation Hospital and Research Centre</t>
  </si>
  <si>
    <t>The authors express their deep gratitude to Dr. Ketan Kargirwar, Department of Critical Care, Sir H. N. Reliance Foundation Hospital and Research Centre, Mumbai-400004, India for his invaluable guidance and insight in understanding the critical-care nuances of this article's subject matter.</t>
  </si>
  <si>
    <t>[Chakraborty, Snehashis; Kumar, Komal; Roy, Sudipta] Jio Inst, Artificial Intelligence &amp; Data Sci, Navi Mumbai 410206, India; [Tadepalli, Kalyan] Sir HN Reliance Fdn Hosp &amp; Res Ctr, Mumbai 400004, India; [Pailla, Balakrishna Reddy] Reliance Jio Artificial Intelligence Ctr Excellenc, Hyderabad 500081, India</t>
  </si>
  <si>
    <t>Unleashing the power of explainable AI: sepsis sentinel's clinical assistant for early sepsis identification</t>
  </si>
  <si>
    <t>MULTIMEDIA TOOLS AND APPLICATIONS</t>
  </si>
  <si>
    <t>Precision medicine; Machine learning; Deep learning; Sepsis sentinel; Informative bottleneck; Transparent AI</t>
  </si>
  <si>
    <t>1380-7501</t>
  </si>
  <si>
    <t>1573-7721</t>
  </si>
  <si>
    <t>MULTIMED TOOLS APPL</t>
  </si>
  <si>
    <t>Multimed. Tools Appl.</t>
  </si>
  <si>
    <t>10.1007/s11042-023-17828-y</t>
  </si>
  <si>
    <t>http://dx.doi.org/10.1007/s11042-023-17828-y</t>
  </si>
  <si>
    <t>Computer Science, Information Systems; Computer Science, Software Engineering; Computer Science, Theory &amp; Methods; Engineering, Electrical &amp; Electronic</t>
  </si>
  <si>
    <t>DA4V1</t>
  </si>
  <si>
    <t>WOS:001129308400001</t>
  </si>
  <si>
    <t>Sheikh, F; Marouf, AA; Rokne, JG; Alhajj, R</t>
  </si>
  <si>
    <t>Background: Dementia refers to a spectrum of clinical conditions characterized by impairments in memory, language, and cognitive function. Alzheimer's Disease (AD) is the most common cause of dementia and it accounted for 60-70% of the estimated 57 million cases worldwide as of 2021. The exact pathology of this neurodegenerative condition is not fully understood. While it is currently incurable, progression to more critical stages can be slowed, and early diagnosis is crucial to alleviate and manage some of its symptoms. Contemporary diagnostic practices hinder early detection due to the high costs and inaccessibility of advanced neuroimaging tools and specialists, particularly for populations with resource-constrained clinical settings. Methods: This paper addresses this challenge by developing and evaluating computationally efficient lightweight deep learning models, MobileNetV2 and EfficientNetV2B0, for early AD detection from 2D slices sourced from standard structural magnetic resonance imaging (MRI). Results: For the challenging multi-class task of distinguishing between Cognitively Normal (CN), Early Mild Cognitive Impairment (EMCI), and Late Mild Cognitive Impairment (LMCI), our best model, EfficientNetV2B0, achieved 88.0% mean accuracy across a 5-fold stratified cross-validation (std = 1.0%). To enhance clinical interpretability and build trust, we integrated explainability methods, Grad-CAM++ and Guided Grad-CAM++, to visualize the anatomical basis for the models' predictions. Conclusions: This work delivers an accessible and interpretable neuroimaging tool to support early AD diagnosis and extend expert-level capabilities to routine clinical practice.</t>
  </si>
  <si>
    <t>Sheikh, Falah; Marouf, Ahmed Al; Rokne, Jon George; Alhajj, Reda</t>
  </si>
  <si>
    <t>Marouf, AA; Alhajj, R (corresponding author), Univ Calgary, Dept Comp Sci, Calgary, AB T2N 1N4, Canada.; Alhajj, R (corresponding author), Istanbul Medipol Univ, Dept Comp Engn, TR-34810 Istanbul, Turkiye.; Alhajj, R (corresponding author), Univ Southern Denmark, Dept Hlth Informat, DK-5230 Odense, Denmark.</t>
  </si>
  <si>
    <t>sheikhfalah.sheikhha@ucalgary.ca; alhajj@ucalgary.ca; ahmedal.marouf@ucalgary.ca; rokne@ucalgary.ca</t>
  </si>
  <si>
    <t>Alberta Innovates Summer Research Studentships (SRS) program</t>
  </si>
  <si>
    <t>This research was supported by funding from the Alberta Innovates Summer Research Studentships (SRS) program to support the undergraduate student, Falah Sheikh.</t>
  </si>
  <si>
    <t>[Sheikh, Falah; Marouf, Ahmed Al; Rokne, Jon George; Alhajj, Reda] Univ Calgary, Dept Comp Sci, Calgary, AB T2N 1N4, Canada; [Alhajj, Reda] Istanbul Medipol Univ, Dept Comp Engn, TR-34810 Istanbul, Turkiye; [Alhajj, Reda] Univ Southern Denmark, Dept Hlth Informat, DK-5230 Odense, Denmark</t>
  </si>
  <si>
    <t>University of Calgary; Istanbul Medipol University; University of Southern Denmark</t>
  </si>
  <si>
    <t>Lightweight Deep Learning Models with Explainable AI for Early Alzheimer's Detection from Standard MRI Scans</t>
  </si>
  <si>
    <t>Alzheimer's disease; deep learning</t>
  </si>
  <si>
    <t>MILD COGNITIVE IMPAIRMENT; AMYLOID-BETA; DISEASE; TAU; SYNAPSES; MCI</t>
  </si>
  <si>
    <t>Marouf, Ahmed Al/0000-0001-6520-0749; , Sheikh Falah Sheikh Hasan/0009-0003-8770-6806</t>
  </si>
  <si>
    <t>OCT 26 2025</t>
  </si>
  <si>
    <t>2709</t>
  </si>
  <si>
    <t>10.3390/diagnostics15212709</t>
  </si>
  <si>
    <t>http://dx.doi.org/10.3390/diagnostics15212709</t>
  </si>
  <si>
    <t>9RD1C</t>
  </si>
  <si>
    <t>41226002</t>
  </si>
  <si>
    <t>WOS:001613043200001</t>
  </si>
  <si>
    <t>Koçak, B; Keles, A; Köse, F</t>
  </si>
  <si>
    <t>Purpose To determine how radiology, nuclear medicine, and medical imaging journals encourage and mandate the use of reporting guidelines for artificial intelligence (AI) in their author and reviewer instructions. Methods The primary source of journal information and associated citation data used was the Journal Citation Reports (June 2023 release for 2022 citation data; Clarivate Analytics, UK). The first- and second-quartile journals indexed in the Science Citation Index Expanded and the Emerging Sources Citation Index were included. The author and reviewer instructions were evaluated by two independent readers, followed by an additional reader for consensus, with the assistance of automatic annotation. Encouragement and submission requirements were systematically analyzed. The reporting guidelines were grouped as AI-specific, related to modeling, and unrelated to modeling. Results Out of 102 journals, 98 were included in this study, and all of them had author instructions. Only five journals (5%) encouraged the authors to follow AI-specific reporting guidelines. Among these, three required a filled-out checklist. Reviewer instructions were found in 16 journals (16%), among which one journal (6%) encouraged the reviewers to follow AI-specific reporting guidelines without submission requirements. The proportions of author and reviewer encouragement for AI-specific reporting guidelines were statistically significantly lower compared with those for other types of guidelines (P &lt; 0.05 for all). Conclusion The findings indicate that AI-specific guidelines are not commonly encouraged and mandated (i.e., requiring a filled-out checklist) by these journals, compared with guidelines related to modeling and unrelated to modeling, leaving vast space for improvement. This meta-research study hopes to contribute to the awareness of the imaging community for AI reporting guidelines and ignite large-scale group efforts by all stakeholders, making AI research less wasteful. Clinical significance This meta-research highlights the need for improved encouragement of AI-specific guidelines in radiology, nuclear medicine, and medical imaging journals. This can potentially foster greater awareness among the AI community and motivate various stakeholders to collaborate to promote more efficient and responsible AI research reporting practices.</t>
  </si>
  <si>
    <t>Kocak, Burak; Keles, Ali; Kose, Fadime</t>
  </si>
  <si>
    <t>Koçak, B (corresponding author), Univ Hlth Sci, Basaksehir Cam &amp; Sakura City Hosp, Clin Radiol, Istanbul, Turkiye.</t>
  </si>
  <si>
    <t>drburakkocak@gmail.com</t>
  </si>
  <si>
    <t>[Kocak, Burak; Keles, Ali; Kose, Fadime] Univ Hlth Sci, Basaksehir Cam &amp; Sakura City Hosp, Clin Radiol, Istanbul, Turkiye</t>
  </si>
  <si>
    <t>University of Health Sciences Turkey</t>
  </si>
  <si>
    <t>Meta-research on reporting guidelines for artificial intelligence: are authors and reviewers encouraged enough in radiology, nuclear medicine, and medical imaging journals?</t>
  </si>
  <si>
    <t>DIAGNOSTIC AND INTERVENTIONAL RADIOLOGY</t>
  </si>
  <si>
    <t>Artificial intelligence; machine learning; guideline; checklist; reporting</t>
  </si>
  <si>
    <t>DIAGNOSTIC-ACCURACY; HEALTH RESEARCH; QUALITY; CHECKLIST; STATEMENT; AMERICAN; IMPROVE; TRIALS</t>
  </si>
  <si>
    <t>KOSE, Fadime/KII-1112-2024; KELES, ALİ/NOE-3347-2025; Kocak, Burak/A-4749-2012</t>
  </si>
  <si>
    <t>KELES, ALİ/0000-0003-2474-9983; Kocak, Burak/0000-0002-7307-396X</t>
  </si>
  <si>
    <t>TURKISH SOC RADIOLOGY</t>
  </si>
  <si>
    <t>Hosdere Caddesi, Guzelkent Sokak, Cankaya Evleri, F Blok, No:2 , Cankaya PK, ANKARA, TURKEY</t>
  </si>
  <si>
    <t>1305-3612</t>
  </si>
  <si>
    <t>DIAGN INTERV RADIOL</t>
  </si>
  <si>
    <t>Diagn. Interv. Radiol.</t>
  </si>
  <si>
    <t>291</t>
  </si>
  <si>
    <t>298</t>
  </si>
  <si>
    <t>10.4274/dir.2024.232604</t>
  </si>
  <si>
    <t>http://dx.doi.org/10.4274/dir.2024.232604</t>
  </si>
  <si>
    <t>H1Z8I</t>
  </si>
  <si>
    <t>38375627</t>
  </si>
  <si>
    <t>WOS:001321499000004</t>
  </si>
  <si>
    <t>Ben Othman, S; Ali, O</t>
  </si>
  <si>
    <t>We introduce QEDRA (Quantum-Entangled Decentralized Reasoning and Aggregation), the first practical framework that simultaneously addresses ultra-scarce data regimes (n(k) &lt;20), quantum-scale security threats, and ethical requirements in healthcare AI. Unlike conventional federated learning systems that sacrifice privacy for utility, QEDRA leverages 9-qubit W-state entanglement (|W-9) = 1/root 9 &amp; sum;(9)(i=1) |1(i))) to generate semantically aware noise that improves utility while providing 9 formal (&amp; varepsilon;, delta)-differential privacy guarantees (&amp; varepsilon; = 0.08-0.17, delta = 10(-16)). QEDRA's NISQ-compatible architecture integrates quantum physics with neuro-symbolic reasoning through four key innovations: (1) Quantum-Entangled Differential Privacy (QEDP) that breaks the classical privacy-utility trade-off; (2) Neuro-Symbolic Swarm Intelligence with Quantum-Entangled PSO (QEPSO) for multimodal fusion; (3) Privacy-Aware LLM Fine-Tuning with symbolic guardrails; and (4) Verifiable Ethical Governance via Quantum Multi-Party Computation. Validated on MIMIC-IV, QEDRA achieves 87.0% F1-score (45% higher than FedAvg), 0.4% attack success rate, and 99% fault recovery under decoherence (p(dep) = 0.005), all while maintaining T-round &lt; 2.4 s latency through BB84-QKD-secured channels. Critically, QEDRA is engineered for real-world deployment on IBM 127-qubit Eagle processors (QV = 128) with seamless classical fallback when entanglement fidelity drops below F &lt; 0.98. By co-designing quantum circuits with classical resilience, QEDRA delivers provable trustworthiness without performance compromise, establishing a new standard for quantum-resilient, ethically grounded AI in resource-constrained medical environments.</t>
  </si>
  <si>
    <t>Ben Othman, Soufiane; Ali, Obaid</t>
  </si>
  <si>
    <t>Ali, O (corresponding author), Ibb Univ, Dept Comp Sci &amp; Informat Technol, Ibb, Yemen.</t>
  </si>
  <si>
    <t>sbenothman@kfu.edu.sa; obaid.alii2016@gmail.com</t>
  </si>
  <si>
    <t>Deanship of Scientific Research, Vice Presidency for Graduate Studies and Scientific Research, King Faisal University, Saudi Arabia [KFU262409]</t>
  </si>
  <si>
    <t>Deanship of Scientific Research, Vice Presidency for Graduate Studies and Scientific Research, King Faisal University, Saudi Arabia</t>
  </si>
  <si>
    <t>This work was supported by the Deanship of Scientific Research, Vice Presidency for Graduate Studies and Scientific Research, King Faisal University, Saudi Arabia [Grant No. KFU262409].</t>
  </si>
  <si>
    <t>[Ben Othman, Soufiane] King Faisal Univ, Appl Coll, Al Ahsa 31982, Saudi Arabia; [Ali, Obaid] Ibb Univ, Dept Comp Sci &amp; Informat Technol, Ibb, Yemen</t>
  </si>
  <si>
    <t>King Faisal University</t>
  </si>
  <si>
    <t>A Neuro-Cognitive Quantum Architecture for Trustworthy AI in Ultra-Scarce Medical Environments</t>
  </si>
  <si>
    <t>COGNITIVE COMPUTATION</t>
  </si>
  <si>
    <t>Quantum-entangled differential privacy; Neuro-symbolic AI; Federated learning; Internet of Medical Things (IoMT); NISQ-era quantum computing</t>
  </si>
  <si>
    <t>PRIVACY</t>
  </si>
  <si>
    <t>Soufiene, Ben Othman/JQI-7077-2023</t>
  </si>
  <si>
    <t>1866-9956</t>
  </si>
  <si>
    <t>1866-9964</t>
  </si>
  <si>
    <t>COGN COMPUT</t>
  </si>
  <si>
    <t>Cogn. Comput.</t>
  </si>
  <si>
    <t>10.1007/s12559-026-10599-2</t>
  </si>
  <si>
    <t>http://dx.doi.org/10.1007/s12559-026-10599-2</t>
  </si>
  <si>
    <t>IQ5DI</t>
  </si>
  <si>
    <t>WOS:001777922200002</t>
  </si>
  <si>
    <t>Varghese, A; George, B; Sherimon, V; Al Shuaily, HS</t>
  </si>
  <si>
    <t>Background: Alzheimer's disease (AD) leads to cognitive dysfunction among older people worldwide, making it nearly impossible for them to carry out their daily lives. Due to the inherent characteristics of Alzheimer's disease and its impact on the brain, timely intervention is crucial to delay its onset and mitigate its progression. Currently, the diagnosis of Alzheimer's disease often occurs at a stage where it is too late for effective prevention measures, allowing the disease to cause significant damage to the brain. The use of machine learning and deep learning models is critical for the classification of demented and non-demented cases, but most highly accurate models are non-linear and less transparent, not revealing the logic behind the predictions. Therefore, incorporating interpretability components into the models will make them more transparent and trustworthy. This study is aimed to develop appropriate diagnostic methods capable of assessing Mild Cognitive Impairment (MCI), the early stage of Alzheimer's disease that occurs before the irreversible loss of neurons. Methods: Explainable artificial intelligence (XAI) refers to AI systems that can provide explanations for their decisions or predictions. In the context of AD classification, explainable AI systems aim to provide insights into the features or characteristics of the model used to make a prediction. This XAI provides a mechanism to understand and interpret the basis of a model's predictions which is more important for improving the trust in the system and its results. As such, a non-linear neural network is employed in this work to distinguish between demented and non-demented cases while local post hoc explanations are incorporated to make it a glass-box model using the XAI techniques such as SHapley Additive exPlanations (SHAP) and Local Interpretable Model Agnostic Explanations (LIME). Results: The application of LIME provided valuable insights into the impact of various factors on predictions. Notably, factors such as CDR, Age, and ASF aligned with clinical knowledge and proved instrumental in predicting dementia cases. Conversely, features like nWBV, MMSE, and eTIV adversely affected the predictions, highlighting their significance in identifying non-demented cases. Similarly, exploring SHAP values yielded a comprehensive understanding of the decision-making process employed by the model in detecting Alzheimer's disease. Conclusion: Through the utilization of explainable artificial intelligence (XAI) methods, this study endeavors to develop a dependable and transparent technique for early detection, monitoring, and personalized interventions in the realm of Alzheimer's disease.</t>
  </si>
  <si>
    <t>Varghese, Abraham; George, Ben; Sherimon, Vinu; Al Shuaily, Huda Salim</t>
  </si>
  <si>
    <t>Varghese, A (corresponding author), Univ Technol &amp; Appl Sci, Coll Comp &amp; Informat Sci, Muscat, Oman.</t>
  </si>
  <si>
    <t>abraham.varghese@utas.edu.om</t>
  </si>
  <si>
    <t>Research Council (TRC) of the Sultanate of Oman [BFP/RGP/ICT/21/148]</t>
  </si>
  <si>
    <t>Research Council (TRC) of the Sultanate of Oman (Ministry of Higher Education, Research &amp; Innovation, Oman, The Research Council Oman)</t>
  </si>
  <si>
    <t>~The research leading to these results has received funding from the Research Council (TRC) of the Sultanate of Oman under the Block Funding Program BFP/RGP/ICT/21/148.</t>
  </si>
  <si>
    <t>[Varghese, Abraham; George, Ben; Sherimon, Vinu] Univ Technol &amp; Appl Sci, Coll Comp &amp; Informat Sci, Muscat, Oman; [Al Shuaily, Huda Salim] Univ Technol &amp; Appl Sci, Deputy Vice Chancellor Off, Muscat, Oman</t>
  </si>
  <si>
    <t>Enhancing Trust in Alzheimer's Disease Classification using Explainable Artificial Intelligence: Incorporating Local Post Hoc Explanations for a Glass-box Model</t>
  </si>
  <si>
    <t>BAHRAIN MEDICAL BULLETIN</t>
  </si>
  <si>
    <t>Machine learning; Alzheimer's disease; Interpretable Machine learning; LIME; SHAP; Explainable AI; Neural network</t>
  </si>
  <si>
    <t>Varghese, Abraham/M-3583-2015; Sherimon, Dr.Vinu/GXV-8960-2022</t>
  </si>
  <si>
    <t>Varghese, Abraham/0000-0001-8897-1300</t>
  </si>
  <si>
    <t>KINGDOM BAHRAIN</t>
  </si>
  <si>
    <t>PO BOX 30880, KINGDOM BAHRAIN, 00000, BAHRAIN</t>
  </si>
  <si>
    <t>1012-8298</t>
  </si>
  <si>
    <t>BAHRAIN MED B</t>
  </si>
  <si>
    <t>Bahrain Med. Bull.</t>
  </si>
  <si>
    <t>1471</t>
  </si>
  <si>
    <t>1478</t>
  </si>
  <si>
    <t>O9HF8</t>
  </si>
  <si>
    <t>WOS:001046850300019</t>
  </si>
  <si>
    <t>Ducret, M; Wahal, E; Gruson, D; Amrani, S; Richert, R; Mouncif-Moungache, M; Schwendicke, F</t>
  </si>
  <si>
    <t>Artificial intelligence systems (AISs) gain relevance in dentistry, encompassing diagnostics, treatment planning, patient management, and therapy. However, questions about the generalizability, fairness, and transparency of these systems remain. Regulatory and governance bodies worldwide are aiming to address these questions using various frameworks. On March 13, 2024, members of the European Parliament approved the Artificial Intelligence Act (AIA), which emphasizes trustworthiness and human-centeredness as relevant aspects to regulate AISs beyond safety and efficacy. This review presents the AIA and similar regulatory and governance efforts in other jurisdictions and lays out that regulations such as the AIA are part of a complex ecosystem of interdependent and interwoven legal requirements and standards. Current efforts to regulate dental AISs require active input from the dental community, with participation of dental research, education, providers, and patients being relevant to shape the future of dental AISs.</t>
  </si>
  <si>
    <t>Ducret, M.; Wahal, E.; Gruson, D.; Amrani, S.; Richert, R.; Mouncif-Moungache, M.; Schwendicke, F.</t>
  </si>
  <si>
    <t>Ducret, M (corresponding author), Univ Claude Bernard Lyon 1, Fac Odontol, 11 Rue Guillaume Paradin, F-69008 Lyon, Rhone, France.</t>
  </si>
  <si>
    <t>maxime.ducret@univ-lyon1.fr</t>
  </si>
  <si>
    <t>[Ducret, M.; Richert, R.] Hosp Civils Lyon, Lyon, France; [Ducret, M.; Richert, R.] Lyon 1 Univ, Fac Odontol, Lyon, France; [Ducret, M.] Lab Biol Tissulaire &amp; Ingenierie Therapeut, UCBL, CNRS, UMR5305, Lyon, France; [Wahal, E.] FTI Consulting EU, Brussels, Belgium; [Gruson, D.] Chaire Sante Sci, Paris, France; [Gruson, D.; Amrani, S.] Chaire IA Sante Paris Cite, Paris, France; [Gruson, D.; Amrani, S.] Ethik IA, Paris, France; [Richert, R.] INSA, CNRS, Lab Mecan Contacts&amp;Structures, Villeurbanne, France; [Mouncif-Moungache, M.] Univ Jean Monnet, Ctr Rech Crit Droit, UMR5137, CERCRID, St Etienne, France; [Schwendicke, F.] Ludwig Maximilians Univ Munchen, Clin Conservat Dent &amp; Periodontol, Munich, Germany</t>
  </si>
  <si>
    <t>CHU Lyon; Universite Lyon 1; Universite Lyon 1; Centre National de la Recherche Scientifique (CNRS); CNRS - National Institute for Biology (INSB); Institut National des Sciences Appliquees de Lyon - INSA Lyon; Centre National de la Recherche Scientifique (CNRS); Universite Lyon 2; Centre National de la Recherche Scientifique (CNRS); Universite Jean Monnet; University of Munich</t>
  </si>
  <si>
    <t>Trustworthy Artificial Intelligence in Dentistry: Learnings from the EU AI Act</t>
  </si>
  <si>
    <t>JOURNAL OF DENTAL RESEARCH</t>
  </si>
  <si>
    <t>algorithms; biomedical ethics; Europe; machine learning; regulation; deep learning</t>
  </si>
  <si>
    <t>RICHERT, Raphael/LJK-9941-2024; ducret, maxime/AAN-9776-2021</t>
  </si>
  <si>
    <t>RICHERT, Raphael/0000-0002-9298-1293</t>
  </si>
  <si>
    <t>0022-0345</t>
  </si>
  <si>
    <t>1544-0591</t>
  </si>
  <si>
    <t>J DENT RES</t>
  </si>
  <si>
    <t>J. Dent. Res.</t>
  </si>
  <si>
    <t>1051</t>
  </si>
  <si>
    <t>1056</t>
  </si>
  <si>
    <t>10.1177/00220345241271160</t>
  </si>
  <si>
    <t>http://dx.doi.org/10.1177/00220345241271160</t>
  </si>
  <si>
    <t>K3Y2A</t>
  </si>
  <si>
    <t>39311453</t>
  </si>
  <si>
    <t>WOS:001320288000001</t>
  </si>
  <si>
    <t>Umair, M; Ahmad, J; Saidani, O; Alshehri, MS; Al Mazroa, A; Hanif, M; Ullah, R; Khan, MS</t>
  </si>
  <si>
    <t>Retinal diseases are among the leading causes of blindness worldwide, requiring early detection for effective treatment. Manual interpretation of ophthalmic imaging, such as optical coherence tomography (OCT), is traditionally time-consuming, prone to inconsistencies, and requires specialized expertise in ophthalmology. This study introduces OculusNet, an efficient and explainable deep learning (DL) approach for detecting retinal diseases using OCT images. The proposed method is specifically tailored for complex medical image patterns in OCTs to identify retinal disorders, such as choroidal neovascularization (CNV), diabetic macular edema (DME), and age-related macular degeneration characterized by drusen. The model benefits from Saliency Map visualization, an Explainable AI (XAI) technique, to interpret and explain how it reaches conclusions when identifying retinal disorders. Furthermore, the proposed model is deployed on a web page, allowing users to upload retinal OCT images and receive instant detection results. This deployment demonstrates significant potential for integration into ophthalmic departments, enhancing diagnostic accuracy and efficiency. In addition, to ensure an equitable comparison, a transfer learning approach has been applied to four pre-trained models: VGG19, MobileNetV2, VGG16, and DenseNet-121. Extensive evaluation reveals that the proposed OculusNet model achieves a test accuracy of 95.48% and a validation accuracy of 98.59%, outperforming all other models in comparison. Moreover, to assess the proposed model's reliability and generalizability, the Matthews Correlation Coefficient and Cohen's Kappa Coefficient have been computed, validating that the model can be applied in practical clinical settings to unseen data.</t>
  </si>
  <si>
    <t>Umair, Muhammad; Ahmad, Jawad; Saidani, Oumaima; Alshehri, Mohammed S.; Al Mazroa, Alanoud; Hanif, Muhammad; Ullah, Rahmat; Khan, Muhammad Shahbaz</t>
  </si>
  <si>
    <t>Hanif, M (corresponding author), Orebro Univ, Sch Business, Dept Informat, Orebro, Sweden.</t>
  </si>
  <si>
    <t>muhammad.hanif@oru.se</t>
  </si>
  <si>
    <t>Princess Nourah bint Abdulrahman University Researchers Supporting Project [PNURSP2025R760]; Princess Nourah bint Abdulrahman University, Riyadh, Saudi Arabia; Deanship of Graduate Studies and Scientific Research at Najran University [NU/GP/SERC/13/352-3]</t>
  </si>
  <si>
    <t>Princess Nourah bint Abdulrahman University Researchers Supporting Project (Princess Nourah bint Abdulrahman University); Princess Nourah bint Abdulrahman University, Riyadh, Saudi Arabia (Princess Nourah bint Abdulrahman University); Deanship of Graduate Studies and Scientific Research at Najran University</t>
  </si>
  <si>
    <t>The author(s) declare that financial support was received for the research and/or publication of this article. This work is funded by Princess Nourah bint Abdulrahman University Researchers Supporting Project number (PNURSP2025R760), Princess Nourah bint Abdulrahman University, Riyadh, Saudi Arabia. The research team thanks the Deanship of Graduate Studies and Scientific Research at Najran University for supporting the research project through the Nama'a program, with the project code NU/GP/SERC/13/352-3.</t>
  </si>
  <si>
    <t>[Umair, Muhammad] Multimedia Univ, Fac Engn, Cyberjaya, Malaysia; [Ahmad, Jawad] Prince Mohammad Bin Fahd Univ, Cybersecur Ctr, Al Khobar, Saudi Arabia; [Saidani, Oumaima; Al Mazroa, Alanoud] Princess Nourah bint Abdulrahman Univ, Coll Comp &amp; Informat Sci, Dept Informat Syst, Riyadh, Saudi Arabia; [Alshehri, Mohammed S.] Najran Univ, Coll Comp Sci &amp; Informat Syst, Dept Comp Sci, Najran, Saudi Arabia; [Hanif, Muhammad] Orebro Univ, Sch Business, Dept Informat, Orebro, Sweden; [Ullah, Rahmat] Univ Essex, Sch Comp Sci &amp; Elect Engn CSEE, Colchester, England; [Khan, Muhammad Shahbaz] Edinburgh Napier Univ, Sch Comp Engn &amp; Built Environm, Edinburgh, Scotland</t>
  </si>
  <si>
    <t>Multimedia University; Prince Mohammad Bin Fahd University; Princess Nourah bint Abdulrahman University; Najran University; Orebro University; University of Essex; Edinburgh Napier University</t>
  </si>
  <si>
    <t>OculusNet: Detection of retinal diseases using a tailored web-deployed neural network and saliency maps for explainable AI</t>
  </si>
  <si>
    <t>retina; retinal disorder; explainable AI; artificial intelligence; ophthalmic imaging; neural networks</t>
  </si>
  <si>
    <t>hanif, muhammad/NNG-8585-2025; Alshehri, Mohammed/KHZ-7461-2024; Ahmad, Jawad/AAC-3119-2020; Umair, Muhammad/KDO-4886-2024; Ullah, Rahmat/GLV-6159-2022; Khan, Muhammad Shahbaz/AGV-8767-2022; Al Mazroa, Alanoud/KBB-5345-2024</t>
  </si>
  <si>
    <t>hanif, muhammad/0000-0002-8371-4337; Umair, Muhammad/0000-0003-3971-2067; Ullah, Rahmat/0000-0001-5162-5164; Khan, Muhammad Shahbaz/0000-0002-7166-6681</t>
  </si>
  <si>
    <t>1596726</t>
  </si>
  <si>
    <t>10.3389/fmed.2025.1596726</t>
  </si>
  <si>
    <t>http://dx.doi.org/10.3389/fmed.2025.1596726</t>
  </si>
  <si>
    <t>4XY9K</t>
  </si>
  <si>
    <t>40672824</t>
  </si>
  <si>
    <t>WOS:001529333100001</t>
  </si>
  <si>
    <t>Athukorala, VS; Ilmini, WMKS</t>
  </si>
  <si>
    <t>Background Sepsis is a leading cause of mortality in intensive care units (ICUs), and its rapid progression poses significant challenges for early detection. Traditional scoring systems, such as SOFA and APACHE II, provide clinical benchmarks but often fail to capture subtle early signs of deterioration. Machine learning (ML) and deep learning (DL) models have demonstrated strong predictive performance; however, their "black-box" nature limits transparency, clinician trust, and adoption in real-world ICU settings. Explainable artificial intelligence (XAI) clarifies how predictions are derived. Methodology This systematic review examines studies published between 2020 and 2025 that applied XAI methods, including SHAP, LIME, Grad-CAM, and sensitivity analysis, to predict sepsis onset and ICU mortality. We analyzed the datasets used (e.g., MIMIC-III/IV, Emory University Hospital, Ruijin Hospital), model architectures, interpretability strategies, and the clinical features most strongly associated with predictions. Results Findings indicate that XAI-enhanced models not only maintain high predictive accuracy but also highlight clinically meaningful indicators such as respiratory rate, blood urea nitrogen (BUN), urine output, and the Glasgow Coma Scale (GCS), thereby improving clinician confidence and facilitating adoption. Conclusion Despite these advances, challenges remain, including limited prospective evaluation, inconsistent interpretability metrics, and variable integration into clinical workflows. We conclude by recommending future research priorities, including real-world validation, user-centered design, and multimodal data integration, to ensure that XAI can reliably support timely and informed decision-making in critical care environments.</t>
  </si>
  <si>
    <t>Athukorala, V. S.; Ilmini, W. M. K. S.</t>
  </si>
  <si>
    <t>Ilmini, WMKS (corresponding author), Univ Sri Jayewardenepura, Dept Comp Sci, Nugegoda 10250, Western Provinc, Sri Lanka.</t>
  </si>
  <si>
    <t>vinusewmini@gmail.com; wmksilmini@sjp.ac.lk</t>
  </si>
  <si>
    <t>[Athukorala, V. S.; Ilmini, W. M. K. S.] Univ Sri Jayewardenepura, Dept Comp Sci, Nugegoda 10250, Western Provinc, Sri Lanka</t>
  </si>
  <si>
    <t>University Sri Jayewardenepura</t>
  </si>
  <si>
    <t>Explainable AI for critical care: a systematic review of interpretable models for sepsis and ICU mortality prediction</t>
  </si>
  <si>
    <t>Sepsis; Intensive care unit (ICU); Explainable artificial intelligence (XAI); Deep learning; Predictive Modeling; Clinical decision support</t>
  </si>
  <si>
    <t>CLINICAL DECISION-SUPPORT</t>
  </si>
  <si>
    <t>Ilmini, Kalani/QQY-0628-2026</t>
  </si>
  <si>
    <t>FEB 3 2026</t>
  </si>
  <si>
    <t>10.1186/s12911-026-03344-0</t>
  </si>
  <si>
    <t>http://dx.doi.org/10.1186/s12911-026-03344-0</t>
  </si>
  <si>
    <t>EO9DG</t>
  </si>
  <si>
    <t>41634648</t>
  </si>
  <si>
    <t>WOS:001706236900001</t>
  </si>
  <si>
    <t>Singh, D; Singh, BK; Jaiswal, A; Singh, N; Kumar, S; Kumar, A</t>
  </si>
  <si>
    <t>Auscultations are commonly used to analyze lung conditions through signal processing and classification techniques. However, the efficiency of these models is often limited by factors like signal quality, sensor performance, and dataset size. Current models rely on approximations, making it difficult to pinpoint exact causes of lung conditions. To improve accuracy and interpretability, this study proposes a composite transfer learning model with explainable AI called TLMACEA. The model first converts auscultation data into 2D spectral and spatial feature vectors, which are then processed using an ensemble convolutional neural network (CNN) to identify initial lung conditions. These results are cross verified with clinical data such as lung function tests, patient demographics, smoking history, and symptoms (e.g., cough, wheezing). The data is processed through an ensemble classification layer combining random forest, support vector machine, linear regression, and Na &amp; iuml;ve Bayes models for effective lung condition prediction. The model's performance was evaluated on over 100 patients and compared to existing models. Results showed that TLMACEA outperformed state-of-the-art models, with 8.5% higher accuracy, 6.2% better precision, 7.9% improved recall, and 10.4% lower delay. The model's ensemble classification achieved 99.5% accuracy, making it suitable for real-time clinical use. The explainable AI layer also demonstrated over 98% precision, ensuring the clinical utility of the recommendations generated.</t>
  </si>
  <si>
    <t>Singh, Divya; Singh, Bikesh Kumar; Jaiswal, Ankur; Singh, Neha; Kumar, Saket; Kumar, Anil</t>
  </si>
  <si>
    <t>Jaiswal, A (corresponding author), Manipal Acad Higher Educ MAHE, Manipal Inst Technol, Dept Mechatron, Manipal 576104, Karnataka, India.</t>
  </si>
  <si>
    <t>ankur.jaiswal@manipal.edu</t>
  </si>
  <si>
    <t>[Singh, Divya] Rungta Coll Engn &amp; Technol, Elect &amp; Telecommun Dept, Bhilai 490024, Chhattisgarh, India; [Singh, Divya] Rungta Int Skills Univ, Elect &amp; Telecommun Dept, Bhilai 490024, Chhattisgarh, India; [Singh, Bikesh Kumar] Natl Inst Technol, Dept Biomed Engn, Raipur 492001, Chhattisgarh, India; [Jaiswal, Ankur] Manipal Acad Higher Educ MAHE, Manipal Inst Technol, Dept Mechatron, Manipal 576104, Karnataka, India; [Singh, Neha] Bhilai Inst Technol, Dept Elect &amp; Telecommun, Durg, Chhattisgarh, India; [Kumar, Saket] Natl Inst Technol, Dept Met &amp; Mat Engn, Raipur, Chhattisgarh, India; [Kumar, Anil] Bhilai Inst Technol, Dept Mech Engn, Durg, Chhattisgarh, India</t>
  </si>
  <si>
    <t>National Institute of Technology Raipur; National Institute of Technology (NIT System); National Institute of Technology Raipur; Manipal Academy of Higher Education (MAHE); Bhilai Institute of Technology; National Institute of Technology (NIT System); National Institute of Technology Raipur; Bhilai Institute of Technology</t>
  </si>
  <si>
    <t>TLMACEA: design of a transfer learning model for correlative analysis of auscultation and clinical parameters via explainable AI-based recommender</t>
  </si>
  <si>
    <t>lung; auscultations; clinical correlation; explainable AI transfer learning; accuracy</t>
  </si>
  <si>
    <t>SEPARATION; SOUNDS; HEART</t>
  </si>
  <si>
    <t>Singh, Bikesh/AAT-2203-2020</t>
  </si>
  <si>
    <t>Jaiswal, Ankur/0000-0001-6013-5917</t>
  </si>
  <si>
    <t>NOV 28 2025</t>
  </si>
  <si>
    <t>065056</t>
  </si>
  <si>
    <t>10.1088/2057-1976/ae1f21</t>
  </si>
  <si>
    <t>http://dx.doi.org/10.1088/2057-1976/ae1f21</t>
  </si>
  <si>
    <t>G7388</t>
  </si>
  <si>
    <t>41232138</t>
  </si>
  <si>
    <t>WOS:001624844100001</t>
  </si>
  <si>
    <t>Tsave, O; Kosvyra, A; Filos, DT; Fotopoulos, DT; Chouvarda, I</t>
  </si>
  <si>
    <t>Simple Summary In cancer imaging research, data collection, integration, and utilization to generate multicentric data repositories pose a series of significant challenges such as data harmonization, data quality, utility, and overall suitability for reuse. These challenges directly affect the reliability and robustness of research outcomes, making systematic approaches essential. This work presents the INCISIVE project approach for assessing the quality of cancer imaging and clinical (meta)data in a structured and transparent way. The proposed methodology serves as a guiding map to ensure the creation and maintenance of a high-quality data repository, which is a crucial factor for generalizable and trustworthy AI-services development and their safe adoption in healthcare practice.Abstract Background/Objectives: Cancer remains a leading global cause of death, with breast, lung, colorectal, and prostate cancers being among the most prevalent. The integration of Artificial Intelligence (AI) into cancer imaging research offers opportunities for earlier diagnosis and personalized treatment. However, the effectiveness of AI models depends critically on the quality, standardization, and fairness of the input data. The EU-funded INCISIVE project aimed to create a federated, pan-European repository of imaging and clinical data for cancer cases, with a key objective to develop a robust framework for pre-validating data prior to its use in AI development. Methods: We propose a data validation framework to assess clinical (meta)data and imaging data across five dimensions: completeness, validity, consistency, integrity, and fairness. The framework includes procedures for deduplication, annotation verification, DICOM metadata analysis, and anonymization compliance. Results: The pre-validation process identified key data quality issues, such as missing clinical information, inconsistent formatting, and subgroup imbalances, while also demonstrating the added value of structured data entry and standardized protocols. Conclusions: This structured framework addresses common challenges in curating large-scale, multimodal medical data. By applying this approach, the INCISIVE project ensures data quality, interoperability, and equity, providing a transferable model for future health data repositories supporting AI research in oncology.</t>
  </si>
  <si>
    <t>Tsave, Olga; Kosvyra, Alexandra; Filos, Dimitrios T.; Fotopoulos, Dimitris Th.; Chouvarda, Ioanna</t>
  </si>
  <si>
    <t>Tsave, O (corresponding author), Aristotle Univ Thessaloniki, Sch Med, Lab Comp Med Informat &amp; Biomed Imaging Technol, Thessaloniki 54124, Greece.</t>
  </si>
  <si>
    <t>ioannach@auth.gr; tsaveolga@auth.gr; dimfilos@auth.gr; difoto@auth.gr; aekosvyra@auth.gr</t>
  </si>
  <si>
    <t>INCISIVE [952179]</t>
  </si>
  <si>
    <t>INCISIVE</t>
  </si>
  <si>
    <t>This research was funded by INCISIVE, grant number 952179.</t>
  </si>
  <si>
    <t>[Tsave, Olga; Kosvyra, Alexandra; Filos, Dimitrios T.; Fotopoulos, Dimitris Th.; Chouvarda, Ioanna] Aristotle Univ Thessaloniki, Sch Med, Lab Comp Med Informat &amp; Biomed Imaging Technol, Thessaloniki 54124, Greece</t>
  </si>
  <si>
    <t>Aristotle University of Thessaloniki</t>
  </si>
  <si>
    <t>A Multi-Dimensional Framework for Data Quality Assurance in Cancer Imaging Repositories</t>
  </si>
  <si>
    <t>data validation; cancer imaging; clinical metadata; harmonization; imaging data repository; multi-site derived data; data quality</t>
  </si>
  <si>
    <t>ARTIFICIAL-INTELLIGENCE; DICOM</t>
  </si>
  <si>
    <t>Chouvarda, Ioanna/N-8925-2015</t>
  </si>
  <si>
    <t>Filos, Dimitrios/0000-0001-5613-652X; Fotopoulos, Dimitris/0000-0001-8605-8593; Chouvarda, Ioanna/0000-0001-8915-6658; Kosvyra, Alexana/0000-0002-4291-0593</t>
  </si>
  <si>
    <t>OCT 1 2025</t>
  </si>
  <si>
    <t>3213</t>
  </si>
  <si>
    <t>10.3390/cancers17193213</t>
  </si>
  <si>
    <t>http://dx.doi.org/10.3390/cancers17193213</t>
  </si>
  <si>
    <t>8OJ5Y</t>
  </si>
  <si>
    <t>41097739</t>
  </si>
  <si>
    <t>WOS:001593472400001</t>
  </si>
  <si>
    <t>Sibbesen, JB; Trickett, H; Yzaguirre, S</t>
  </si>
  <si>
    <t>Background Artificial intelligence (AI) has the potential to significantly transform health care, with substantial implications for pharmacy practice. The integration of AI technologies into formulary management and pharmacy and therapeutics (P&amp;T) committee workflows offers opportunities to enhance evidence-based, safe, and timely clinical decision-making by processing large datasets and delivering actionable insights. While professional pharmacy organizations emphasize responsible AI integration, limited evidence exists on AI performance for formulary management tasks. Methods This pilot study qualitatively evaluated six freely available AI tools (Perplexity, Google Gemini, ChatGPT, Microsoft Copilot, Llama, and Claude) for drug monograph development using three previously completed monographs as reference standards. An independent reviewer assessed each AI tool's performance for content accuracy, completeness, source credibility, and clinical relevance. Results Initial broad prompts requesting complete monographs yielded responses that were vague, incomplete, or inaccurate across all tools. Refined prompt engineering strategies using targeted, section-specific requests substantially improved output quality, with all AI tools producing more detailed, accurate, and scholarly responses. The tools demonstrated marked variability in source quality and transparency, with some consistently providing citations to peer-reviewed literature while others offered minimal sourcing or relied on less credible references. Literature review capabilities improved substantially when full-text articles were uploaded compared with abstract-only inputs; however, human oversight remains essential for critical evaluation and synthesis of conclusions. Discussion The findings from this pilot evaluation provided the foundation for the development of institutional implementation considerations at West Virginia University (WVU) Medicine, establishing five core principles for AI use in formulary management, privacy and compliance requirements, and emphasis on human oversight, with clear delineation of permitted and prohibited applications. Conclusion This pilot evaluation provides health care organizations with qualitative performance insights for responsible AI implementation in formulary management workflows.</t>
  </si>
  <si>
    <t>Sibbesen, Julie B.; Trickett, Hannah; Yzaguirre, Storee</t>
  </si>
  <si>
    <t>Sibbesen, JB (corresponding author), West Virginia Univ Hlth Syst, Dept Pharm, Morgantown, WV 26506 USA.</t>
  </si>
  <si>
    <t>julie.sibbesen1@wvumedicine.org</t>
  </si>
  <si>
    <t>[Sibbesen, Julie B.; Trickett, Hannah] West Virginia Univ Hlth Syst, Dept Pharm, Morgantown, WV 26506 USA; [Yzaguirre, Storee] West Virginia Univ Hosp, Dept Pharm, Morgantown, WV USA; [Yzaguirre, Storee] UNT Syst Coll Pharm, Dept Pharmacotherapy, Ft Worth, TX USA</t>
  </si>
  <si>
    <t>West Virginia University</t>
  </si>
  <si>
    <t>An Evaluation of Six Artificial Intelligence Tools for Formulary Management</t>
  </si>
  <si>
    <t>JOURNAL OF THE AMERICAN COLLEGE OF CLINICAL PHARMACY</t>
  </si>
  <si>
    <t>artificial intelligence; formulary; hospital; pharmacy and therapeutics committee</t>
  </si>
  <si>
    <t>Yzaguirre, Storee/PVC-9151-2026</t>
  </si>
  <si>
    <t>2574-9870</t>
  </si>
  <si>
    <t>J AM COLL CLIN PHARM</t>
  </si>
  <si>
    <t>J. Am. Coll. Clin. Pharm.</t>
  </si>
  <si>
    <t>e70172</t>
  </si>
  <si>
    <t>10.1002/jac5.70172</t>
  </si>
  <si>
    <t>http://dx.doi.org/10.1002/jac5.70172</t>
  </si>
  <si>
    <t>DN1FI</t>
  </si>
  <si>
    <t>42009480</t>
  </si>
  <si>
    <t>WOS:001687363100007</t>
  </si>
  <si>
    <t>Misgar, MM; Bhatia, MPS</t>
  </si>
  <si>
    <t>Deep Learning (DL) holds immense potential in revolutionizing healthcare, offering robust support to clinicians and enhancing patient care. However, coming up with the right DL model is always challenging and depends on quality, quantity, and type of data. In this paper, two motor activity datasets are utilized: "Depresjon" dataset includes activity recordings from 32 healthy individuals (402 days) and 23 individuals with unipolar and bipolar depression (291 days) and the "Psykose" dataset consists of 22 schizophrenia subjects (285 days) and 32 healthy subjects (402 days). The motor activity data, represented as time-series signals, poses challenges due to variable lengths and non-uniform starting timestamps for each subject. Additionally, the daytime and nighttime distributions differ across samples, requiring explicit handling for Convolutional Neural Network models. To address this issue, a multi-branch DL architecture is employed with one branch fed with nighttime data and another with daytime data, capable of capturing features across various scales, accommodating patterns of different sizes. Moreover, the combined outputs of these branches are subjected to a self-attention-mechanism (MultiHeadAttention), which prioritizes essential features. The use of Gradient weighted Class Activation Map (GradCAM) technique aids in comprehending the model's decision-making process. The benchmark datasets were used to validate the model, which exhibited an accuracy of 0.94 for both classifying depressive and schizophrenic episodes from control subjects. An accuracy of 0.81 for classifying depressive episodes, and schizophrenics from control samples. This accuracy further increases when combining the control samples from both datasets, to 0.97 for depression and 0.98 for schizophrenia.</t>
  </si>
  <si>
    <t>Misgar, Muzafar Mehraj; Bhatia, M. P. S.</t>
  </si>
  <si>
    <t>Misgar, MM (corresponding author), Netaji Subhas Univ Technol, Dept Comp Sci &amp; Engn, New Delhi, India.</t>
  </si>
  <si>
    <t>muzafarm.co20@nsut.ac.in; mpsbhatia@nsut.ac.in</t>
  </si>
  <si>
    <t>[Misgar, Muzafar Mehraj] Netaji Subhas Univ Technol, Dept Comp Sci &amp; Engn, New Delhi, India</t>
  </si>
  <si>
    <t>Netaji Subhas University of Technology</t>
  </si>
  <si>
    <t>Unveiling psychotic disorder patterns: A deep learning model analysing motor activity time-series data with explainable AI</t>
  </si>
  <si>
    <t>Depression; Schizophrenia; Explainable AI; Motor Activity; IoMT</t>
  </si>
  <si>
    <t>SCHIZOPHRENIA</t>
  </si>
  <si>
    <t>Misgar, Muzafar Mehraj/JBH-0979-2023</t>
  </si>
  <si>
    <t>Misgar, Muzafar Mehraj/0000-0002-1980-9278; Bhatia, Mohinder Pal Singh/0000-0001-7190-9770</t>
  </si>
  <si>
    <t>106000</t>
  </si>
  <si>
    <t>10.1016/j.bspc.2024.106000</t>
  </si>
  <si>
    <t>http://dx.doi.org/10.1016/j.bspc.2024.106000</t>
  </si>
  <si>
    <t>KB8R8</t>
  </si>
  <si>
    <t>WOS:001177597200001</t>
  </si>
  <si>
    <t>Salmanpour, MR; Amiri, S; Gharibi, S; Shariftabrizi, A; Xu, YX; Weeks, WB; Rahmim, A; Hacihaliloglu, I</t>
  </si>
  <si>
    <t>Artificial intelligence (AI) can advance medical diagnostics, but interpretability limits its clinical use. This work links standardized quantitative Radiomics features (RF) extracted from medical images with clinical frameworks like PI-RADS, ensuring AI models are understandable and aligned with clinical practice. We investigate the connection between visual semantic features defined in PI-RADS and associated risk factors, moving beyond abnormal imaging findings, and establishing a shared framework between medical and AI professionals by creating a standardized radiological/biological RF dictionary. Six interpretable and seven complex classifiers, combined with nine interpretable feature selection algorithms (FSA), were applied to RFs extracted from segmented lesions in T2-weighted imaging (T2WI), diffusion-weighted imaging (DWI), and apparent diffusion coefficient (ADC) multiparametric MRI sequences to predict TCIA-UCLA scores, grouped as low-risk (scores 1-3) and high-risk (scores 4-5). We then utilized the created dictionary to interpret the best predictive models. Combining sequences with FSAs including ANOVA F-test, Correlation Coefficient, and Fisher Score, and utilizing logistic regression, identified key features: The 90th percentile from T2WI, (reflecting hypo-intensity related to prostate cancer risk; Variance from T2WI (lesion heterogeneity; shape metrics including Least Axis Length and Surface Area to Volume ratio from ADC, describing lesion shape and compactness; and Run Entropy from ADC (texture consistency). This approach achieved the highest average accuracy of 0.78 +/- 0.01, significantly outperforming single-sequence methods (p-value &lt; 0.05). The developed dictionary for Prostate-MRI (PM1.0) serves as a common language and fosters collaboration between clinical professionals and AI developers to advance trustworthy AI solutions that support reliable/interpretable clinical decisions.</t>
  </si>
  <si>
    <t>Salmanpour, Mohammad R.; Amiri, Sajad; Gharibi, Sara; Shariftabrizi, Ahmad; Xu, Yixi; Weeks, William B.; Rahmim, Arman; Hacihaliloglu, Ilker</t>
  </si>
  <si>
    <t>Salmanpour, MR (corresponding author), Univ British Columbia, Dept Radiol, Vancouver, BC, Canada.; Salmanpour, MR (corresponding author), BC Canc Res Inst, Dept Integrat Oncol, Vancouver, BC, Canada.; Salmanpour, MR (corresponding author), Microsoft Corp, AI Good Res Lab, Redmond, WA 98052 USA.</t>
  </si>
  <si>
    <t>msalman@bccrc.ca</t>
  </si>
  <si>
    <t>The Natural Sciences and Engineering Research Council of Canada (NSERC) Discovery Horizons Grant [DH-2025-00119]; The Canadian Foundation for Innovation-John R. Evans Leaders Fund (CFI-JELF) program [AWD-023869 CFI]; The Natural Sciences and Engineering Research Council of Canada (NSERC) [AWD-024385]; The Mitacs Accelerate program [AWD-024298-IT33280]</t>
  </si>
  <si>
    <t>The Natural Sciences and Engineering Research Council of Canada (NSERC) Discovery Horizons Grant (Natural Sciences and Engineering Research Council of Canada (NSERC)); The Canadian Foundation for Innovation-John R. Evans Leaders Fund (CFI-JELF) program; The Natural Sciences and Engineering Research Council of Canada (NSERC) (Natural Sciences and Engineering Research Council of Canada (NSERC)); The Mitacs Accelerate program</t>
  </si>
  <si>
    <t>This work was supported by the Mitacs Accelerate program grant number AWD-024298-IT33280. We acknowledge the support of the Canadian Foundation for Innovation-John R. Evans Leaders Fund (CFI-JELF) program [AWD-023869 CFI]. We acknowledge the support of the Natural Sciences and Engineering Research Council of Canada (NSERC), [AWD-024385] and Discovery Horizons Grant [DH-2025-00119]. Cette recherche a ete financee par le Conseil de recherches en sciences naturelles et en genie du Canada (CRSNG), [RGPIN-2023-0357].</t>
  </si>
  <si>
    <t>[Salmanpour, Mohammad R.; Rahmim, Arman; Hacihaliloglu, Ilker] Univ British Columbia, Dept Radiol, Vancouver, BC, Canada; [Salmanpour, Mohammad R.; Rahmim, Arman] BC Canc Res Inst, Dept Integrat Oncol, Vancouver, BC, Canada; [Salmanpour, Mohammad R.; Xu, Yixi; Weeks, William B.] Microsoft Corp, AI Good Res Lab, Redmond, WA 98052 USA; [Amiri, Sajad; Gharibi, Sara] TECVICO Corp, Technol Virtual Collaborat, Vancouver, BC, Canada; [Shariftabrizi, Ahmad] Univ Iowa, Carver Coll Med, Dept Radiol, Iowa City, IA USA; [Hacihaliloglu, Ilker] Univ British Columbia, Dept Med, Vancouver, BC, Canada</t>
  </si>
  <si>
    <t>University of British Columbia; British Columbia Cancer Agency; Microsoft; University of Iowa; University of British Columbia</t>
  </si>
  <si>
    <t>Radiological and Biological Dictionary of Radiomics Features: Addressing Understandable AI Issues in Personalized Prostate Cancer, Dictionary Version PM1.0</t>
  </si>
  <si>
    <t>Radiological and biological dictionary of radiomics features; Understandable AI; Prostate cancer; Prostate Imaging Reporting and Data System (PI-RADS)</t>
  </si>
  <si>
    <t>PREDICTION; MRI; SURVIVAL; PERFORMANCE; RECURRENCE; PROMISE; MODELS; IMAGES; SETS</t>
  </si>
  <si>
    <t>Weeks, WB/G-7436-2014; Rahmim, Arman/ACS-4963-2022; Hacihaliloglu, Ilker/AAA-5333-2021; Salmanpour, Mohammad/AEJ-4576-2022</t>
  </si>
  <si>
    <t>Amiri, Sajad/0009-0000-7600-564X; Shariftabrizi, Ahmad/0000-0003-2397-6914; Rahmim, Arman/0000-0002-9980-2403; Hacihaliloglu, Ilker/0000-0003-3232-8193</t>
  </si>
  <si>
    <t>107</t>
  </si>
  <si>
    <t>1929</t>
  </si>
  <si>
    <t>1950</t>
  </si>
  <si>
    <t>10.1007/s10278-025-01585-5</t>
  </si>
  <si>
    <t>http://dx.doi.org/10.1007/s10278-025-01585-5</t>
  </si>
  <si>
    <t>IY6FN</t>
  </si>
  <si>
    <t>40608191</t>
  </si>
  <si>
    <t>WOS:001522747600001</t>
  </si>
  <si>
    <t>Oviedo, F; Kazerouni, AS; Liznerski, P; Xu, YX; Hirano, M; Vandermeulen, RA; Kloft, M; Blum, E; Alessio, AM; Li, CI; Weeks, WB; Dodhia, R; Ferres, JML; Rahbar, H; Partridge, SC</t>
  </si>
  <si>
    <t>Background: Artificial intelligence (AI) models hold potential to increase the accuracy and efficiency of breast MRI screening; however, existing models have not been rigorously evaluated in populations with low cancer prevalence and lack interpretability, both of which are essential for clinical adoption. Purpose: To develop an explainable AI model for cancer detection at breast MRI that is effective in both high-and low-cancer-prevalence settings. Materials and Methods: This retrospective study included 9738 breast MRI examinations from a single institution (2005-2022), with external testing in a publicly available multicenter dataset (221 examinations). In total, 9567 consecutive examinations were used to develop an explainable fully convolutional data description (FCDD) anomaly detection model to detect malignancies on contrast-enhanced MRI scans. Performance was evaluated in three cohorts: grouped cross-validation (for both balanced [20.0% malignant] and imbalanced [1.85% malignant] detection tasks), an internal independent test set (171 examinations), and an external dataset. Explainability was assessed through pixelwise comparisons with reference-standard malignancy annotations. Statistical significance was assessed using the Wilcoxon signed rank test. Results: FCDD outperformed the benchmark binary cross-entropy (BCE) model in cross-validation for both balanced (mean area under the receiver operating characteristic curve [AUC] = 0.84 +/- 0.01 [SD] vs 0.81 +/- 0.01; P &lt; .001) and imbalanced (mean AUC = 0.72 +/- 0.03 vs 0.69 +/- 0.03; P &lt; .001) detection tasks. At a fixed 97% sensitivity in the imbalanced setting, mean specificity across folds was 13% for FCDD and 9% for BCE (P = .02). In the internal test set, FCDD outperformed BCE for balanced (mean AUC = 0.81 +/- 0.02 vs 0.72 +/- 0.02; P &lt; .001) and imbalanced (mean AUC = 0.78 +/- 0.05 vs 0.76 +/- 0.01; P &lt; .02) detection tasks. For model explainability, FCDD demonstrated better spatial agreement with reference-standard annotations than BCE (internal test set: mean pixelwise AUC = 0.92 +/- 0.10 vs 0.81 +/- 0.13; P &lt; .001). External testing confirmed that FCDD performed well, and better than BCE, in the balanced detection task (AUC = 0.86 +/- 0.01 vs 0.79 +/- 0.01; P &lt; .001). Conclusion: The developed explainable AI model for cancer detection at breast MRI accurately depicted tumor location and outperformed commonly used models in both high-and low-cancer-prevalence scenarios. (c) RSNA, 2025</t>
  </si>
  <si>
    <t>Oviedo, Felipe; Kazerouni, Anum S.; Liznerski, Philipp; Xu, Yixi; Hirano, Michael; Vandermeulen, Robert A.; Kloft, Marius; Blum, Elyse; Alessio, Adam M.; Li, Christopher I.; Weeks, William B.; Dodhia, Rahul; Ferres, Juan M. Lavista; Rahbar, Habib; Partridge, Savannah C.</t>
  </si>
  <si>
    <t>Partridge, SC (corresponding author), Univ Washington, Sch Med, Dept Radiol, Seattle, WA 98195 USA.; Partridge, SC (corresponding author), Fred Hutchinson Canc Ctr, Seattle, WA 98109 USA.</t>
  </si>
  <si>
    <t>scp3@uw.edu</t>
  </si>
  <si>
    <t>Microsoft AI for Good Lab; National Cancer Institute [U01CA152637, K99CA293004, P30CA015704]</t>
  </si>
  <si>
    <t>Microsoft AI for Good Lab; National Cancer Institute (United States Department of Health &amp; Human Services, National Institutes of Health (NIH) - USA, NIH National Cancer Institute (NCI))</t>
  </si>
  <si>
    <t>Funding: Support from the Microsoft AI for Good Lab and the National Cancer Institute (grants U01CA152637, K99CA293004 [to A.S.K.] , and P30CA015704) .</t>
  </si>
  <si>
    <t>[Oviedo, Felipe; Xu, Yixi; Weeks, William B.; Dodhia, Rahul; Ferres, Juan M. Lavista] Microsoft, AI Good Lab, 1 Microsoft Way, 4330 150th Ave NE, Redmond, WA 98052 USA; [Kazerouni, Anum S.; Hirano, Michael; Blum, Elyse; Rahbar, Habib; Partridge, Savannah C.] Univ Washington, Sch Med, Dept Radiol, Seattle, WA 98195 USA; [Liznerski, Philipp; Kloft, Marius] Univ Kaiserslautern Landau, Kaiserslautern, Germany; [Vandermeulen, Robert A.] Berlin Inst Fdn Learning &amp; Data, Berlin, Germany; [Vandermeulen, Robert A.] Tech Univ Berlin, Machine Learning Grp, Berlin, Germany; [Alessio, Adam M.] Michigan State Univ, Dept Biomed Engn, E Lansing, MI USA; [Li, Christopher I.; Rahbar, Habib; Partridge, Savannah C.] Fred Hutchinson Canc Ctr, Seattle, WA 98109 USA</t>
  </si>
  <si>
    <t>Microsoft; University of Washington; University of Washington Seattle; RPTU University Kaiserslautern; Technical University of Berlin; Michigan State University; Fred Hutchinson Cancer Center</t>
  </si>
  <si>
    <t>Cancer Detection in Breast MRI Screening via Explainable AI Anomaly Detection</t>
  </si>
  <si>
    <t>RADIOLOGY</t>
  </si>
  <si>
    <t>Vandermeulen, Robert/KTH-7387-2024; Weeks, WB/G-7436-2014</t>
  </si>
  <si>
    <t>Li, Christopher/0000-0003-1543-0743; Oviedo, Felipe/0000-0001-9480-6539; Alessio, Adam/0000-0003-3371-8580; Kazerouni, Anum/0000-0002-4200-534X</t>
  </si>
  <si>
    <t>RADIOLOGICAL SOC NORTH AMERICA (RSNA)</t>
  </si>
  <si>
    <t>OAK BROOK</t>
  </si>
  <si>
    <t>820 JORIE BLVD, SUITE 200, OAK BROOK, ILLINOIS, UNITED STATES</t>
  </si>
  <si>
    <t>0033-8419</t>
  </si>
  <si>
    <t>1527-1315</t>
  </si>
  <si>
    <t>Radiology</t>
  </si>
  <si>
    <t>e241629</t>
  </si>
  <si>
    <t>10.1148/radiol.241629</t>
  </si>
  <si>
    <t>http://dx.doi.org/10.1148/radiol.241629</t>
  </si>
  <si>
    <t>5CV9V</t>
  </si>
  <si>
    <t>40662973</t>
  </si>
  <si>
    <t>WOS:001532656500007</t>
  </si>
  <si>
    <t>Shafik, RA; Afify, YM; Badr, N; Mounir, M</t>
  </si>
  <si>
    <t>The lack of validated stage-specific biomarkers hampers the understanding of Alzheimer's disease (AD) progression and clinical translation. Current transcriptomic methods often produce unstable results with limited stage discrimination. We aimed to develop an explainable machine learning pipeline to identify robust, interpretable gene signatures linked to distinct AD neuropathological stages. We analyzed multi-region transcriptomic data from the MSBB cohort using a multi-class XGBoost-SHAP-driven framework. Class imbalance was addressed using SMOTE, and model robustness was assessed through cross-validation and permutation-based validation. Our pipeline accurately classified Early, Mid, and Late Braak stages and achieved accurate Braak stage classification (regional ROC AUCs up to 0.76). The method identified a concise set of high-confidence, stage-specific genes, showing minimal signature overlap (similar to 1.7%). Key validated novel candidate biomarkers included ARX (Early), MKNK2 (Mid), and SLC25A16/NEURL1B (Late), linked to GABAergic, inflammatory, mitochondrial, and synaptic pathways. This explainable framework overcomes key limitations of conventional analyses, providing a stable, interpretable gene signature for AD staging. It establishes a robust method for transcriptional biomarker discovery and offers new biological insight into AD progression, highlighting potential stage-specific therapeutic targets.</t>
  </si>
  <si>
    <t>Shafik, Reham A.; Afify, Yasmine M.; Badr, Nagwa; Mounir, Mahmoud</t>
  </si>
  <si>
    <t>Shafik, RA (corresponding author), Ain Shams Univ, Fac Comp &amp; Informat Sci, Informat Syst, Cairo, Egypt.</t>
  </si>
  <si>
    <t>reham_ashraf@cis.asu.edu.eg</t>
  </si>
  <si>
    <t>Ain Shams University</t>
  </si>
  <si>
    <t>Ain Shams University (Egyptian Knowledge Bank (EKB), Ain Shams University)</t>
  </si>
  <si>
    <t>[Shafik, Reham A.; Afify, Yasmine M.; Badr, Nagwa; Mounir, Mahmoud] Ain Shams Univ, Fac Comp &amp; Informat Sci, Informat Syst, Cairo, Egypt</t>
  </si>
  <si>
    <t>Egyptian Knowledge Bank (EKB); Ain Shams University</t>
  </si>
  <si>
    <t>Robust transcriptomic signatures of Alzheimer's disease progression: validated explainable AI approach</t>
  </si>
  <si>
    <t>Braak-staging; Gene expression; Transcriptomics; Brain regions; XGBoost; SHAP; SMOTE; Explainable AI; Biomarkers</t>
  </si>
  <si>
    <t>Mounir, Mahmoud/PFJ-1907-2025; Afify, Yasmine/FEA-3260-2022</t>
  </si>
  <si>
    <t>Shafik, Reham A/0009-0002-0701-4141; Mounir, Mahmoud/0000-0003-0172-0360</t>
  </si>
  <si>
    <t>MAY 19 2026</t>
  </si>
  <si>
    <t>15478</t>
  </si>
  <si>
    <t>10.1038/s41598-026-47879-8</t>
  </si>
  <si>
    <t>http://dx.doi.org/10.1038/s41598-026-47879-8</t>
  </si>
  <si>
    <t>IG3LL</t>
  </si>
  <si>
    <t>42156857</t>
  </si>
  <si>
    <t>WOS:001771023800015</t>
  </si>
  <si>
    <t>Zhong, XL; Hu, AQ; Chen, H; Ma, XH</t>
  </si>
  <si>
    <t>Lumbar fusion surgery and its public health are intervention with significant variability in the outcomes and overall risks and benefits for the patients, therefore requiring state-of-the-art risk assessment models. In this paper, an Explainable Artificial Intelligence (XAI) approach is developed for the application in spinal fusion surgeries and public health with the Machin learning (ML) methods combined with nanotechnology. Consequently, the proposed framework captures patient's demographic, public health index, clinical, and biomechanical characteristics for prediction of surgical outcomes, pos-surgical complications, and recovery curves. Feature importance analysis and SHapley Additive exPlanations (SHAP) are used for decision justification to let clinicians understand which factors contribute to the high-risk score. The proposed XAI model is tested on clinical datasets from previous years and year ended to be more accurate compared to traditional statistical models yet enough compact for interpretation. The results reveal the application of explainable AI combined with nanotechnology in the enhancement of treatment plans and public health for various patients, the minimization of possible surgery complications, as well as, the introduction of improved chances of success. Results show that older patients with osteoporosis face higher physiological strain because it results in delayed postoperative healing along with greater surgical complications because of their decreased hemoglobin levels and insufficient bone repair. The duration of surgeries increases when patients have low hematocrit levels and lower vitamin D concentrations which calls for unique preoperative optimization methods to enhance surgical results.</t>
  </si>
  <si>
    <t>Zhong, Xinglong; Hu, Anqi; Chen, Hao; Ma, Xianghua</t>
  </si>
  <si>
    <t>Ma, XH (corresponding author), Hengrui Pharmaceut, Strategy &amp; Dev Dept, Shanghai 201210, Peoples R China.</t>
  </si>
  <si>
    <t>xianghua.ma@atomicmail.io</t>
  </si>
  <si>
    <t>[Zhong, Xinglong; Hu, Anqi; Chen, Hao; Ma, Xianghua] Hengrui Pharmaceut, Strategy &amp; Dev Dept, Shanghai 201210, Peoples R China</t>
  </si>
  <si>
    <t>Translating nanotechnology and explainable AI into public health policy for spinal fusion: Population-level risk management</t>
  </si>
  <si>
    <t>ADVANCES IN NANO RESEARCH</t>
  </si>
  <si>
    <t>nanotechnology; public health; risk stratification; machin learning; spinal fusion surgeries; XAI approach</t>
  </si>
  <si>
    <t>TECHNO-PRESS</t>
  </si>
  <si>
    <t>DAEJEON</t>
  </si>
  <si>
    <t>PO BOX 33, YUSEONG, DAEJEON 305-600, SOUTH KOREA</t>
  </si>
  <si>
    <t>2287-237X</t>
  </si>
  <si>
    <t>2287-2388</t>
  </si>
  <si>
    <t>ADV NANO RES</t>
  </si>
  <si>
    <t>Adv. Nano Res.</t>
  </si>
  <si>
    <t>361</t>
  </si>
  <si>
    <t>378</t>
  </si>
  <si>
    <t>10.12989/anr.2026.20.3.361</t>
  </si>
  <si>
    <t>http://dx.doi.org/10.12989/anr.2026.20.3.361</t>
  </si>
  <si>
    <t>Nanoscience &amp; Nanotechnology; Materials Science, Multidisciplinary</t>
  </si>
  <si>
    <t>GD1TP</t>
  </si>
  <si>
    <t>WOS:001733577200004</t>
  </si>
  <si>
    <t>Shi, WQ; Giuste, FO; Zhu, YD; Tamo, B; Nnamdi, MC; Hornback, A; Carpenter, AM; Hilton, C; Iwinski, HJ; Wattenbarger, JM; Wang, MD</t>
  </si>
  <si>
    <t>BackgroundAdolescent idiopathic scoliosis (AIS) is the most common type of scoliosis, affecting 1-4% of adolescents. The Scoliosis Research Society-22R (SRS-22R), a health-related quality-of-life instrument for AIS, has allowed orthopedists to measure subjective patient outcomes before and after corrective surgery beyond objective radiographic measurements. However, research has revealed that there is no significant correlation between the correction rate in major radiographic parameters and improvements in patient-reported outcomes (PROs), making it difficult to incorporate PROs into personalized surgical planning.MethodsThe objective of this study is to develop an artificial intelligence (AI)-enabled surgical planning and counseling support system for post-operative patient rehabilitation outcomes prediction in order to facilitate personalized AIS patient care. A unique multi-site cohort of 455 pediatric patients undergoing spinal fusion surgery at two Shriners Children's hospitals from 2010 is investigated in our analysis. In total, 171 pre-operative clinical features are used to train six machine-learning models for post-operative outcomes prediction. We further employ explainability analysis to quantify the contribution of pre-operative radiographic and questionnaire parameters in predicting patient surgical outcomes. Moreover, we enable responsible AI by calibrating model confidence for human intervention and mitigating health disparities for algorithm fairness.ResultsThe best prediction model achieves an area under receiver operating curve (AUROC) performance of 0.86, 0.85, and 0.83 for individual SRS-22R question response prediction over three-time horizons from pre-operation to 6-month, 1-year, and 2-year post-operation, respectively. Additionally, we demonstrate the efficacy of our proposed prediction method to predict other patient rehabilitation outcomes based on minimal clinically important differences (MCID) and correction rates across all three-time horizons.ConclusionsBased on the relationship analysis, we suggest additional attention to sagittal parameters (e.g., lordosis, sagittal vertical axis) and patient self-image beyond major Cobb angles to improve surgical decision-making for AIS patients. In the age of personalized medicine, the proposed responsible AI-enabled clinical decision-support system may facilitate pre-operative counseling and shared decision-making within real-world clinical settings.</t>
  </si>
  <si>
    <t>Shi, Wenqi; Giuste, Felipe O.; Zhu, Yuanda; Tamo, Ben J.; Nnamdi, Micky C.; Hornback, Andrew; Carpenter, Ashley M.; Hilton, Coleman; Iwinski, Henry J.; Wattenbarger, J. Michael; Wang, May D.</t>
  </si>
  <si>
    <t>Shi, WQ; Wang, MD (corresponding author), Georgia Inst Technol, Sch Elect &amp; Comp Engn, Atlanta, GA 30322 USA.; Shi, WQ (corresponding author), Univ Texas Southwestern Med Ctr, Dallas, TX 75390 USA.; Wang, MD (corresponding author), Georgia Inst Technol, Wallace H Coulter Dept Biomed Engn, Atlanta, GA 30322 USA.; Iwinski, HJ (corresponding author), Shriners Childrens, Tampa, FL 33612 USA.</t>
  </si>
  <si>
    <t>hiwinski@shrinenet.org; wshi83@gatech.edu; maywang@gatech.edu</t>
  </si>
  <si>
    <t>Shriners Hospitals for Children; Shriners Children's Hospital; Georgia Institute of Technology in Greenville-Lexington Shriner Multi-site AI-enabled Rehabilitation Technology for Scoliosis Patients Care (GL-SMART) project; Wallace H. Coulter Distinguished Faculty Fellowship; Petit Institute Faculty Fellowship; Amazon and Microsoft Research</t>
  </si>
  <si>
    <t>We would to express our gratitude to all adolescent idiopathic scoliosis patients and their families who participated in this study. In addition, we appreciate Dr. Monica Isgut and Amritpal Singh for their careful proofreading of our final manuscript and their insightful suggestions for enhancing paper quality. This research has been supported by the Shriners Children's Hospital and Georgia Institute of Technology in Greenville-Lexington Shriner Multi-site AI-enabled Rehabilitation Technology for Scoliosis Patients Care (GL-SMART) project. This research has also been supported by a Wallace H. Coulter Distinguished Faculty Fellowship, a Petit Institute Faculty Fellowship, and research funding from Amazon and Microsoft Research to Professor May D. Wang.</t>
  </si>
  <si>
    <t>[Shi, Wenqi; Zhu, Yuanda; Tamo, Ben J.; Nnamdi, Micky C.; Wang, May D.] Georgia Inst Technol, Sch Elect &amp; Comp Engn, Atlanta, GA 30322 USA; [Shi, Wenqi] Univ Texas Southwestern Med Ctr, Dallas, TX 75390 USA; [Giuste, Felipe O.; Hornback, Andrew; Wang, May D.] Georgia Inst Technol, Wallace H Coulter Dept Biomed Engn, Atlanta, GA 30322 USA; [Giuste, Felipe O.; Hornback, Andrew; Wang, May D.] Emory Univ, Atlanta, GA 30322 USA; [Carpenter, Ashley M.; Hilton, Coleman; Iwinski, Henry J.; Wattenbarger, J. Michael] Shriners Childrens, Tampa, FL 33612 USA</t>
  </si>
  <si>
    <t>University System of Georgia; Georgia Institute of Technology; University of Texas System; University of Texas Southwestern Medical Center; University System of Georgia; Georgia Institute of Technology; Emory University</t>
  </si>
  <si>
    <t>Predicting pediatric patient rehabilitation outcomes after spinal deformity surgery with artificial intelligence</t>
  </si>
  <si>
    <t>COMMUNICATIONS MEDICINE</t>
  </si>
  <si>
    <t>CLINICALLY IMPORTANT DIFFERENCE; RADIOGRAPHIC PARAMETERS; IDIOPATHIC SCOLIOSIS; CONCURRENT VALIDITY; PAIN DOMAINS; APPEARANCE; DECISION; RELIABILITY; FIXATION; MODEL</t>
  </si>
  <si>
    <t>Giuste, Felipe/ABH-9932-2020; Shi, Wenqi/LZH-8814-2025; Wang, May/AAF-2065-2021</t>
  </si>
  <si>
    <t>Nnamdi, Micky C/0009-0007-0915-6342; Hilton, Coleman/0000-0001-9070-7680; Carpenter, Ashley/0000-0002-1892-2826; Shi, Wenqi/0000-0001-8972-7342</t>
  </si>
  <si>
    <t>2730-664X</t>
  </si>
  <si>
    <t>COMMUN MED-LONDON</t>
  </si>
  <si>
    <t>Communications Med.</t>
  </si>
  <si>
    <t>JAN 2 2025</t>
  </si>
  <si>
    <t>10.1038/s43856-024-00726-1</t>
  </si>
  <si>
    <t>http://dx.doi.org/10.1038/s43856-024-00726-1</t>
  </si>
  <si>
    <t>R1M1M</t>
  </si>
  <si>
    <t>39747461</t>
  </si>
  <si>
    <t>WOS:001389169600001</t>
  </si>
  <si>
    <t>Hempel, P; Ribeiro, AH; Vollmer, M; Bender, T; Dörr, M; Krefting, D; Spicher, N</t>
  </si>
  <si>
    <t>Aging affects the 12-lead electrocardiogram (ECG) and correlates with cardiovascular disease (CVD). AI-ECG models estimate aging effects as a novel biomarker but have only been evaluated on single ECGs-without utilizing longitudinal data. We validated an AI-ECG model, originally trained on Brazilian data, using a German cohort with over 20 years of follow-up, demonstrating similar performance (r2 = 0.70) to the original study (0.71). Incorporating longitudinal ECGs revealed a stronger association with cardiovascular risk, increasing the hazard ratio for mortality from 1.43 to 1.65. Moreover, aging effects were associated with higher odds ratios for atrial fibrillation, heart failure, and mortality. Using explainable AI methods revealed that the model aligns with clinical knowledge by focusing on ECG features known to reflect aging. Our study suggests that aging effects in longitudinal ECGs can be applied on population level as a novel biomarker to identify patients at risk early.</t>
  </si>
  <si>
    <t>Hempel, Philip; Ribeiro, Antonio H.; Vollmer, Marcus; Bender, Theresa; Doerr, Marcus; Krefting, Dagmar; Spicher, Nicolai</t>
  </si>
  <si>
    <t>Hempel, P (corresponding author), Univ Med Ctr Gottingen, Dept Med Informat, Gottingen, Germany.; Hempel, P (corresponding author), German Ctr Cardiovasc Res DZHK, Partner Site Lower Saxony, Gottingen, Germany.</t>
  </si>
  <si>
    <t>philip.hempel@med.uni-goettingen.de</t>
  </si>
  <si>
    <t>Lower Saxony "Vorab" of the Volkswagen Foundation; Ministry for Science and Culture of Lower Saxony [76211-12-1/21]; German Federal Ministry for Education and Research; Ministry for Education, Research and Cultural Affairs; Ministry for Social Affairs of the State Mecklenburg-Western Pomerania [01ZZ9603, 01ZZ0103, 01ZZ0403]; Open Access Publication Funds/transformative agreements of the Gottingen University</t>
  </si>
  <si>
    <t>Lower Saxony "Vorab" of the Volkswagen Foundation; Ministry for Science and Culture of Lower Saxony; German Federal Ministry for Education and Research (Federal Ministry of Education &amp; Research (BMBF)); Ministry for Education, Research and Cultural Affairs; Ministry for Social Affairs of the State Mecklenburg-Western Pomerania; Open Access Publication Funds/transformative agreements of the Gottingen University</t>
  </si>
  <si>
    <t>This work was supported by the Lower Saxony "Vorab" of the Volkswagen Foundation and the Ministry for Science and Culture of Lower Saxony under Grant 76211-12-1/21. The Study of Health in Pomerania is part of the Community Medicine Research Network of the University Medicine Greifswald, which was funded by the German Federal Ministry for Education and Research, the Ministry for Education, Research and Cultural Affairs, and the Ministry for Social Affairs of the State Mecklenburg-Western Pomerania (funding numbers 01ZZ9603, 01ZZ0103, and 01ZZ0403). We acknowledge support by the Open Access Publication Funds/transformative agreements of the Gottingen University.</t>
  </si>
  <si>
    <t>[Hempel, Philip; Bender, Theresa; Krefting, Dagmar; Spicher, Nicolai] Univ Med Ctr Gottingen, Dept Med Informat, Gottingen, Germany; [Hempel, Philip; Bender, Theresa; Krefting, Dagmar; Spicher, Nicolai] German Ctr Cardiovasc Res DZHK, Partner Site Lower Saxony, Gottingen, Germany; [Ribeiro, Antonio H.] Uppsala Univ, Dept Informat Technol, Uppsala, Sweden; [Vollmer, Marcus] Univ Med Greifswald, Inst Bioinformat, Greifswald, Germany; [Vollmer, Marcus; Doerr, Marcus] German Ctr Cardiovasc Res DZHK, Partner Site Greifswald, Greifswald, Germany; [Doerr, Marcus] Univ Med Greifswald, Dept Internal Med B, Greifswald, Germany</t>
  </si>
  <si>
    <t>University of Gottingen; University of Gottingen Hospital; German Centre for Cardiovascular Research; Uppsala University; Universitat Greifswald; Greifswald Medical School; German Centre for Cardiovascular Research; Universitat Greifswald; Greifswald Medical School</t>
  </si>
  <si>
    <t>Explainable AI associates ECG aging effects with increased cardiovascular risk in a longitudinal population study</t>
  </si>
  <si>
    <t>HEART-FAILURE; ATRIAL-FIBRILLATION; MINAS-GERAIS; CLASSIFICATION; DIAGNOSIS; BIOLOGY; STATE; AGE</t>
  </si>
  <si>
    <t>Hempel, Philip/NJS-1860-2025; Horta Ribeiro, Antonio/AAE-1948-2019; Spicher, Nicolai/GRX-0641-2022; Dörr, Marcus/F-1919-2010; Vollmer, Marcus/KBR-1760-2024; Krefting, Dagmar/JUV-6380-2023</t>
  </si>
  <si>
    <t>Hempel, Philip/0009-0008-7234-8715; Horta Ribeiro, Antonio/0000-0003-3632-8529; Spicher, Nicolai/0000-0002-2879-9948; Bender, Theresa/0000-0001-6721-7034; Vollmer, Marcus/0000-0002-4593-2026; Krefting, Dagmar/0000-0002-7238-5339</t>
  </si>
  <si>
    <t>JAN 13 2025</t>
  </si>
  <si>
    <t>10.1038/s41746-024-01428-7</t>
  </si>
  <si>
    <t>http://dx.doi.org/10.1038/s41746-024-01428-7</t>
  </si>
  <si>
    <t>S1A7C</t>
  </si>
  <si>
    <t>39806125</t>
  </si>
  <si>
    <t>WOS:001395645100001</t>
  </si>
  <si>
    <t>Schwarz, M; Hinske, LC; Mansmann, U; Albashiti, F</t>
  </si>
  <si>
    <t>Although AI algorithms and applications become more and popular in the healthcare sector, only few institutions have an operational AI strategy. Identifying the best suited processes for ML algorithm implementation and adoption is a big challenge. Also, raising human confidence in AI systems is elementary to building trustworthy, socially beneficial and responsible AI. A commonly agreed AI auditing framework that provides best practices and tools could help speeding up the adoption process. In this paper, we first highlight important concepts in the field of AI auditing and then restructure and subsume them into an ML auditing core criteria catalog. We conducted a scoping study where we analyzed sources being associated with the term "Auditable AI" in a qualitative way. We utilized best practices from Mayring (2000), Miles and Huberman (1994), and Bortz and Doring (2006). Based on referrals, additional relevant white papers and sources in the field of AI auditing were also included. The literature base was compared using inductively constructed categories. Afterwards, the findings were reflected on and synthesized into a resulting ML auditing core criteria catalog. The catalog is grouped into the categories: Conceptual Basics, Data &amp; Algorithm Design and Assessment Metrics. As a practical guide, it consists of 30 questions developed to cover the mentioned categories and to guide ML implementation teams. Our consensus-based ML auditing criteria catalog is intended as a starting point for the development of evaluation strategies by specific stakeholders. We believe it will be beneficial to healthcare organizations that have been or will start implementing ML algorithms. Not only to help them being prepared for any upcoming legally required audit activities, but also to create better, well-perceived and accepted products. Potential limitations could be overcome by utilizing the proposed catalog in practice on real use cases to expose gaps and to further improve the catalog. Thus, this paper is seen as a starting point towards the development of a framework, where essential technical components can be specified.</t>
  </si>
  <si>
    <t>Schwarz, Markus; Hinske, Ludwig Christian; Mansmann, Ulrich; Albashiti, Fady</t>
  </si>
  <si>
    <t>Schwarz, M (corresponding author), LMU Univ Hosp Munich, Med Data Integrat Ctr MeDIC LMU, D-82152 Planegg, Germany.</t>
  </si>
  <si>
    <t>markus.schwarz@campus.lmu.de</t>
  </si>
  <si>
    <t>[Schwarz, Markus; Albashiti, Fady] LMU Univ Hosp Munich, Med Data Integrat Ctr MeDIC LMU, D-82152 Planegg, Germany; [Hinske, Ludwig Christian] Univ Hosp Augsburg, Inst Digital Med, D-86356 Augsburg, Germany; [Mansmann, Ulrich] Ludwig Maximilians Univ Munchen, Inst Med Informat Proc Biometry &amp; Epidemiol IBE, D-81377 Munich, Germany</t>
  </si>
  <si>
    <t>University of Munich; University of Munich</t>
  </si>
  <si>
    <t>Designing an ML Auditing Criteria Catalog as Starting Point for the Development of a Framework</t>
  </si>
  <si>
    <t>AAI; AI auditing; auditable AI; AI governance; ML auditing core criteria catalog; AI auditing framework</t>
  </si>
  <si>
    <t>Hinske, Christian/AAN-4805-2021</t>
  </si>
  <si>
    <t>39953</t>
  </si>
  <si>
    <t>39967</t>
  </si>
  <si>
    <t>10.1109/ACCESS.2024.3375763</t>
  </si>
  <si>
    <t>http://dx.doi.org/10.1109/ACCESS.2024.3375763</t>
  </si>
  <si>
    <t>LW1K2</t>
  </si>
  <si>
    <t>WOS:001189744100001</t>
  </si>
  <si>
    <t>Farah, H; Ghabban, F; Bennour, A; Santosh, KC</t>
  </si>
  <si>
    <t>Biometric identification from medical images is of increasing interest in forensic-motivated research, particularly in scenarios where conventional soft-tissue-based modalities may become unreliable. This study presents an anatomically motivated feasibility framework that investigates the discriminative potential of skeletal-only cues extracted from chest X-ray radiographs for person identification. Leveraging the relative structural stability of bone anatomye propose a deep metric learning framework utilizing a Triplet Network with a ResNetbased backbone to extract and cluster discriminative skeletal embeddings. The framework is evaluated on the NIH ChestXray14 dataset as a large-scale clinical proxy for anatomical variability, achieving an identification accuracy of 97.3% under the considered experimental protocol. To analyze the learned embedding space, dimensionality reduction techniques including UMAP and t-SNE are employed to visualize identity clustering and inter-subject separability. Furthermore, explainable artificial intelligence (XAI) techniques, specifically Grad-CAM, are applied to provide anatomically grounded interpretations of the regions contributing to identity discrimination. The study is positioned as a proof-of-concept investigation aimed at establishing a methodological and analytical foundation for skeletal-based biometric modeling rather than as a fully validated forensic deployment system. The results highlight the potential of skeletal-only representations for identity discrimination and underline the importance of future validation on dedicated forensic and post-mortem datasets, as well as enhanced segmentation protocols, to further advance explainable and privacy-aware biometric research.</t>
  </si>
  <si>
    <t>Farah, Hazem; Ghabban, Fahad; Bennour, Akram; Santosh, K. C.</t>
  </si>
  <si>
    <t>Bennour, A (corresponding author), Echahid Cheikh Larbi Tebessi Univ, Lab Math Informat &amp; Syst LAMIS, Tebessa, Algeria.</t>
  </si>
  <si>
    <t>akram.bennour@univ-tebessa.dz</t>
  </si>
  <si>
    <t>[Farah, Hazem; Bennour, Akram] Echahid Cheikh Larbi Tebessi Univ, Lab Math Informat &amp; Syst LAMIS, Tebessa, Algeria; [Ghabban, Fahad] Taibah Univ, Coll Comp Sci &amp; Engn, Medina 41477, Saudi Arabia; [Santosh, K. C.] Univ South Dakota, Dept Comp Sci, USD AI Res, Vermillion, SD USA</t>
  </si>
  <si>
    <t>Echahid Cheikh Larbi Tebessi University; Taibah University; University of South Dakota</t>
  </si>
  <si>
    <t>Enhancing biometric transparency through skeletal feature learning in chest X-rays: A triplet network approach with Explainable AI</t>
  </si>
  <si>
    <t>IMAGE AND VISION COMPUTING</t>
  </si>
  <si>
    <t>Biometric identification; Skeletal features; Chest X-rays; Triplet network; Deep metric learning; Explainable AI; Grad-CAM; Forensic science; Ethical biometrics; XAI in computer vision</t>
  </si>
  <si>
    <t>ERRORS</t>
  </si>
  <si>
    <t>ghabban, fahad/GZK-9025-2022; Bennour, Akram/MSX-4869-2025; Santosh, K.C./H-1363-2012</t>
  </si>
  <si>
    <t>ghabban, fahad/0000-0003-3158-6131</t>
  </si>
  <si>
    <t>0262-8856</t>
  </si>
  <si>
    <t>1872-8138</t>
  </si>
  <si>
    <t>IMAGE VISION COMPUT</t>
  </si>
  <si>
    <t>Image Vis. Comput.</t>
  </si>
  <si>
    <t>169</t>
  </si>
  <si>
    <t>105956</t>
  </si>
  <si>
    <t>10.1016/j.imavis.2026.105956</t>
  </si>
  <si>
    <t>http://dx.doi.org/10.1016/j.imavis.2026.105956</t>
  </si>
  <si>
    <t>Computer Science, Artificial Intelligence; Computer Science, Software Engineering; Computer Science, Theory &amp; Methods; Engineering, Electrical &amp; Electronic; Optics</t>
  </si>
  <si>
    <t>Computer Science; Engineering; Optics</t>
  </si>
  <si>
    <t>FE2QV</t>
  </si>
  <si>
    <t>WOS:001716670400001</t>
  </si>
  <si>
    <t>Nirob, MAS; Paul, SG; Saha, A; Assaduzzaman, M; Kabir, MA; Mahmud, A; Rehman, AU; Bermak, A</t>
  </si>
  <si>
    <t>Eye diseases are a major global cause of blindness and vision impairment, highlighting the vital need for accurate and early diagnosis to prevent further deterioration. Despite advancements in medical imaging, the retinal diseases classification using fundus images remains challenging due to the complexity and subtlety of visual features. This study aims to develop and validate EDDNet30, a novel 30-layer deep learning model, to improve the classification of eye diseases from fundus images. The model incorporates advanced architectural features, such as spatial attention and multi-scale fusion modules, to enhance diagnostic accuracy and robustness. To validate the proposed model, a diverse dataset of 5531 images comprising 9 different disease categories is collected from various sources has been utilized. To enhance image quality, several pre-processing approaches were applied, including histogram equalization, color space conversion and contrast adjustment, ensuring high-resolution final images. Furthermore, image data augmentation was employed to increase the dataset's count, enhancing the model's ability to generalize during training. The spatial attention module helps the model to concentrate on the most relevant regions of the images, while multi-scale fusion modules capture and integrate details at different scales, significantly improving classification performance. To evaluate its effectiveness, the model was compared to various transfer learning models. The results show that EDDNet30 consistently outperforms transfer-learning models with 95.29% accuracy tested on 10% split test data, demonstrating superior accuracy and robustness in eye disease classification. Furthermore, model interpretability was enhanced by employing various explainable AI methods, such as Grad-CAM, Grad-CAM++ and LIME to identify and emphasize key features influencing the decision-making process. EDDNet30 represents a promising advancement in automated ocular disease detection, offering improved diagnostic reliability for clinical use.</t>
  </si>
  <si>
    <t>Nirob, Md. Asraful Sharker; Paul, Showmick Guha; Saha, Arpa; Assaduzzaman, Md; Kabir, Md Alamgir; Mahmud, Arif; Rehman, Atiq Ur; Bermak, Amine</t>
  </si>
  <si>
    <t>Kabir, MA (corresponding author), Daffodil Int Univ, Dept Comp Sci &amp; Engn, Hlth Informat Res Lab HIRL, Dhaka 1216, Bangladesh.; Rehman, AU (corresponding author), Hamad Bin Khalifa Univ, Coll Sci &amp; Engn, Doha, Qatar.</t>
  </si>
  <si>
    <t>atirehman@hbku.edu.qa; kabir.cse@diu.edu.bd</t>
  </si>
  <si>
    <t>Qatar National Library</t>
  </si>
  <si>
    <t>Qatar National Library (Qatar National Research Fund (QNRF))</t>
  </si>
  <si>
    <t>This work was supported by the Open Access Funding provided by Qatar National Library.</t>
  </si>
  <si>
    <t>[Nirob, Md. Asraful Sharker; Paul, Showmick Guha; Saha, Arpa; Assaduzzaman, Md; Kabir, Md Alamgir; Mahmud, Arif] Daffodil Int Univ, Dept Comp Sci &amp; Engn, Hlth Informat Res Lab HIRL, Dhaka 1216, Bangladesh; [Rehman, Atiq Ur; Bermak, Amine] Hamad Bin Khalifa Univ, Coll Sci &amp; Engn, Doha, Qatar</t>
  </si>
  <si>
    <t>Daffodil International University; Qatar Foundation (QF); Hamad Bin Khalifa University-Qatar</t>
  </si>
  <si>
    <t>EDDNet30: A Spatial Attention and Multi-Scale Fusion Model for Enhanced Eye Disease Classification With Explainable AI</t>
  </si>
  <si>
    <t>Accuracy; Eye diseases; Deep learning; Retina; Glaucoma; Feature extraction; Complexity theory; Diabetic retinopathy; Data models; Blindness; Eye disease; spatial attention; disease classification; deep learning; fusion model; eye disease classification</t>
  </si>
  <si>
    <t>DIABETIC-RETINOPATHY; MACULAR DEGENERATION; RISK-FACTORS; GLAUCOMA; PATHOGENESIS</t>
  </si>
  <si>
    <t>Bermak, Amine/G-9915-2013; rehman, atiq/AAP-7152-2020; Mahmud, Arif/T-1189-2019; Kabir, M/ABA-2963-2020</t>
  </si>
  <si>
    <t>Assaduzzaman/0000-0002-7838-0096</t>
  </si>
  <si>
    <t>19453</t>
  </si>
  <si>
    <t>19471</t>
  </si>
  <si>
    <t>10.1109/ACCESS.2026.3659151</t>
  </si>
  <si>
    <t>http://dx.doi.org/10.1109/ACCESS.2026.3659151</t>
  </si>
  <si>
    <t>DN2NU</t>
  </si>
  <si>
    <t>WOS:001687453200005</t>
  </si>
  <si>
    <t>Cleofas, JV</t>
  </si>
  <si>
    <t>Aim: This paper proposes a human rights-based framework to guide nursing academia's stakeholdership in the healthcare artificial intelligence governance ecosystem. Background: As artificial intelligence transforms healthcare, nursing academia must engage as an activated stakeholder in its governance ecosystem to ensure high-quality, equitable, safe and ethical artificial intelligence-enabled healthcare goods and services. Design: Discussion paper Methods: This discussion paper employs abductive reasoning and the ethical and emancipatory conventions of nursing knowing to propose a multifaceted framework of nurse academia's stakeholdership in the context of artificial intelligence-driven healthcare by appealing to three perspectives, namely: the AI governance ecosystem, the tripartite functions of academia and the human rights-based approach. Results: The proposed framework integrates three axes- domains, modalities and human rights considerations-positioning nursing academia as both a capacity-builder for duty bearers and an empowerment advocate for rights claimants. This normative framework can be used to guide the actions of nursing academic institutions as stakeholders in healthcare artificial intelligence governance. Conclusions: By leveraging its instructional, research and service functions, nursing academia can be a trans-formative stakeholder that can shape artificial intelligence governance to uphold health-related human rights.</t>
  </si>
  <si>
    <t>Cleofas, Jerome Visperas</t>
  </si>
  <si>
    <t>Cleofas, JV (corresponding author), De La Salle Univ, Dept Sociol &amp; Behav Sci, Manila, Philippines.; Cleofas, JV (corresponding author), 2401 Taft Ave, Manila 1004, Metro Manila, Philippines.</t>
  </si>
  <si>
    <t>jerome.cleofas@dlsu.edu.ph</t>
  </si>
  <si>
    <t>[Cleofas, Jerome Visperas] De La Salle Univ, Dept Sociol &amp; Behav Sci, Manila, Philippines</t>
  </si>
  <si>
    <t>De La Salle University</t>
  </si>
  <si>
    <t>Towards a framework for human rights-based stakeholdership of nursing academia in the healthcare artificial intelligence governance ecosystem: A discussion paper</t>
  </si>
  <si>
    <t>NURSE EDUCATION IN PRACTICE</t>
  </si>
  <si>
    <t>Academia; Artificial intelligence; Delivery of healthcare; Human rights; Nursing</t>
  </si>
  <si>
    <t>Cleofas, Jerome/ADK-1126-2022</t>
  </si>
  <si>
    <t>1471-5953</t>
  </si>
  <si>
    <t>1873-5223</t>
  </si>
  <si>
    <t>NURSE EDUC PRACT</t>
  </si>
  <si>
    <t>Nurse Educ. Pract.</t>
  </si>
  <si>
    <t>104737</t>
  </si>
  <si>
    <t>10.1016/j.nepr.2026.104737</t>
  </si>
  <si>
    <t>http://dx.doi.org/10.1016/j.nepr.2026.104737</t>
  </si>
  <si>
    <t>CY9IA</t>
  </si>
  <si>
    <t>41581257</t>
  </si>
  <si>
    <t>WOS:001677734300001</t>
  </si>
  <si>
    <t>Akbar, S; Azam, H; Almutairi, SS; Alqahtani, O; Shah, HB; Aleryani, A</t>
  </si>
  <si>
    <t>The prompt spread of COVID-19 has emphasized the necessity for effective and precise diagnostic tools. In this article, a hybrid approach in terms of datasets as well as the methodology by utilizing a previously unexplored dataset obtained from a private hospital for detecting COVID-19, pneumonia, and normal conditions in chest X-ray images (CXIs) is proposed coupled with Explainable Artificial Intelligence (XAI). Our study leverages less preprocessing with pre-trained cutting-edge models like InceptionV3, VGG16, and VGG19 that excel in the task of feature extraction. The methodology is further enhanced by the inclusion of the t-SNE (t-Distributed Stochastic Neighbor Embedding) technique for visualizing the extracted image features and Contrast Limited Adaptive Histogram Equalization (CLAHE) to improve images before extraction of features. Additionally, an Attention Mechanism is utilized, which helps clarify how the model makes decisions, which builds trust in artificial intelligence (AI) systems. To evaluate the effectiveness of the proposed approach, both benchmark datasets and a private dataset obtained with permissions from Jinnah Postgraduate Medical Center (JPMC) in Karachi, Pakistan, are utilized. In 12 experiments, VGG19 showcased remarkable performance in the hybrid dataset approach, achieving 100% accuracy in COVID-19 vs. pneumonia classification and 97% in distinguishing normal cases. Overall, across all classes, the approach achieved 98% accuracy, demonstrating its efficiency in detecting COVID19 and differentiating it from other chest disorders (Pneumonia and healthy) while also providing insights into the decision-making process of the models.</t>
  </si>
  <si>
    <t>Akbar, Saad; Azam, Humera; Almutairi, Sulaiman Sulmi; Alqahtani, Omar; Shah, Habib; Aleryani, Aliya</t>
  </si>
  <si>
    <t>Almutairi, SS (corresponding author), Qassim Univ, Coll Appl Med Sci, Dept Hlth Informat, Qasim 51452, Saudi Arabia.</t>
  </si>
  <si>
    <t>ssmtiery@qu.edu.sa</t>
  </si>
  <si>
    <t>Deanship of Graduate Studies and Scientific Research at Qassim University [QU-APC-2024-9/1]</t>
  </si>
  <si>
    <t>The researchers would like to thank the Deanship of Graduate Studies and Scientific Research at Qassim University for financial support (QU-APC-2024-9/1) .</t>
  </si>
  <si>
    <t>[Akbar, Saad; Azam, Humera] Univ Karachi, Dept Comp Sci, Karachi 75270, Pakistan; [Akbar, Saad] Hamdard Univ, Fac Engn Sci &amp; Technol, Dept Comp, Karachi 75540, Pakistan; [Almutairi, Sulaiman Sulmi] Qassim Univ, Coll Appl Med Sci, Dept Hlth Informat, Qasim 51452, Saudi Arabia; [Alqahtani, Omar; Shah, Habib; Aleryani, Aliya] King Khalid Univ, Coll Comp Sci, Dept Comp Sci, Abha 61421, Saudi Arabia</t>
  </si>
  <si>
    <t>University of Karachi; Hamdard University; Qassim University; King Khalid University</t>
  </si>
  <si>
    <t>Contemporary Study for Detection of COVID-19 Using Machine Learning with Explainable AI</t>
  </si>
  <si>
    <t>CMC-COMPUTERS MATERIALS &amp; CONTINUA</t>
  </si>
  <si>
    <t>COVID-19 detection; deep neural networks; support vector machine; CXIs; InceptionV3; VGG16; VGG19; t-SNE embedding; CLAHE; attention mechanism; XAI</t>
  </si>
  <si>
    <t>X-RAY IMAGES; NEURAL-NETWORK; CLASSIFICATION; FRAMEWORK; DISEASE</t>
  </si>
  <si>
    <t>shah, habib/HTM-1745-2023; Almutairi, Sulaiman/KYQ-0371-2024; Bashir, Humera/CAG-1212-2022; ALQAHTANI, OMAR/JEF-2705-2023</t>
  </si>
  <si>
    <t>Aleryani, Aliya/0000-0001-9844-0327; Akbar, Saad/0000-0003-2281-688X; Almutairi, Sulaiman/0000-0003-4810-6018; Bashir, Humera/0000-0002-3283-7441; ALQAHTANI, OMAR/0009-0001-6652-3512</t>
  </si>
  <si>
    <t>TECH SCIENCE PRESS</t>
  </si>
  <si>
    <t>HENDERSON</t>
  </si>
  <si>
    <t>871 CORONADO CENTER DR, SUTE 200, HENDERSON, NV 89052 USA</t>
  </si>
  <si>
    <t>1546-2218</t>
  </si>
  <si>
    <t>1546-2226</t>
  </si>
  <si>
    <t>CMC-COMPUT MATER CON</t>
  </si>
  <si>
    <t>CMC-Comput. Mat. Contin.</t>
  </si>
  <si>
    <t>1075</t>
  </si>
  <si>
    <t>1104</t>
  </si>
  <si>
    <t>10.32604/cmc.2024.050913</t>
  </si>
  <si>
    <t>http://dx.doi.org/10.32604/cmc.2024.050913</t>
  </si>
  <si>
    <t>Computer Science, Information Systems; Materials Science, Multidisciplinary</t>
  </si>
  <si>
    <t>Computer Science; Materials Science</t>
  </si>
  <si>
    <t>C6Z6X</t>
  </si>
  <si>
    <t>WOS:001290839400012</t>
  </si>
  <si>
    <t>Almohimeed, A; Saad, RMA; Mostafa, S; El-Rashidy, NM; Farrag, S; Gaballah, A; Abd Elaziz, M; El-Sappagh, S; Saleh, H</t>
  </si>
  <si>
    <t>Alzheimer's disease (AD) is a progressive neurological disorder characterized by memory loss and cognitive decline, affecting millions worldwide. Early detection is crucial for effective treatment, as it can slow disease progression and improve quality of life. Machine learning has shown promise in AD detection using various medical modalities. In this paper, we propose a novel multi-level stacking model that combines heterogeneous models and modalities to predict different classes of AD. The modalities include cognitive sub-scores (e.g., clinical dementia rating - sum of boxes, Alzheimer's disease assessment scale) from the Alzheimer's Disease Neuroimaging Initiative dataset. In the proposed approach, in level 1, we used six base models (Random Forest (RF), Decision Tree (DT), Support Vector Machine (SVM), Logistic Regression (LR), K-nearest Neighbors (KNN), and Native Bayes (NB)to train each modality (ADAS, CDR, and FQA). Then, we build stacking training that combines the outputs of each base model for the training set and staking testing that combines the outcomes of each model for the testing set. In level 2, three stacking models are produced for each modality that trains and evaluates based on the output of 6 base models based on (RF, LR, DT, SVM, KNN, and NB) are combined in training stacking for the training set and testing stacking for the testing set. Stacking training is used to train meta-learners (RF), and stacking testing is used to evaluate meta-learners (RF). Finally, in level 3, the output prediction of the stacking model from each modality (ADAS, CDR, and FQA) in the training and testing datasets is merged to build a new dataset, which is staking training and stacking testing. Training stacking is used to train the meta-learner, and the testing set is used to evaluate the meta-learner and produce the final prediction. Our research also aims to provide model explanations, ensuring efficiency, effectiveness, and trust through explainable artificial intelligence (XAI). Feature selection optimization based on Particle Swarm Optimization is used to select the most appropriate sub-scores. The proposed model shows significant potential for improving early disease diagnosis. The results demonstrate that the multi-modality approach outperforms single-modality approaches. Moreover, the proposed multi-level stacking models achieve the highest performance with selected features compared to regular ML classifiers and stacking models using full multi-modalities, achieving accuracy, precision, recall, and F1-scores of 92.08%, 92.07%, 92.08%, and 92.01% for two classes, and 90.03%, 90.19%, 90.03%, and 90.05% for three classes, respectively.</t>
  </si>
  <si>
    <t>Almohimeed, Abdulaziz; Saad, Redhwan M. A.; Mostafa, Sherif; El-Rashidy, Nora Mahmoud; Farrag, Sarah; Gaballah, Abdelkareem; Abd Elaziz, Mohamed; El-Sappagh, Shaker; Saleh, Hager</t>
  </si>
  <si>
    <t>Almohimeed, A (corresponding author), Imam Mohammad Ibn Saud Islamic Universitym IMSIU, Coll Comp &amp; Informat Sci, Riyadh 11652, Saudi Arabia.; Saleh, H (corresponding author), South Valley Univ, Fac Comp &amp; Artificial Intelligence, Hurghada, Egypt.</t>
  </si>
  <si>
    <t>aialmohimeed@imamu.edu.sa; hager.saleh.fci@gmail.com</t>
  </si>
  <si>
    <t>Midocean University</t>
  </si>
  <si>
    <t>This work was supported by Midocean University.</t>
  </si>
  <si>
    <t>[Almohimeed, Abdulaziz] Imam Mohammad Ibn Saud Islamic Universitym IMSIU, Coll Comp &amp; Informat Sci, Riyadh 11652, Saudi Arabia; [Saad, Redhwan M. A.] Midocean Univ, Coll Informat, Moroni, Comoros; [Mostafa, Sherif; Saleh, Hager] South Valley Univ, Fac Comp &amp; Artificial Intelligence, Hurghada, Egypt; [El-Rashidy, Nora Mahmoud] Kafrelsheikh Univ, Fac Artificial Intelligence, Machine Learning &amp; Informat Retrieval Dept, Kafrelsheikh 13518, Egypt; [Farrag, Sarah] South Valley Univ, Fac Comp &amp; Informat, Qena, Egypt; [Gaballah, Abdelkareem] Kafrelsheikh Univ, Fac Artificial Intelligence, Kafrelsheikh 13518, Egypt; [Abd Elaziz, Mohamed; El-Sappagh, Shaker] Galala Univ, Fac Comp Sci &amp; Engn, Suez 435611, Egypt; [El-Sappagh, Shaker] Benha Univ, Fac Comp &amp; Artificial Intelligence, Informat Syst Dept, Banha 13518, Egypt</t>
  </si>
  <si>
    <t>Egyptian Knowledge Bank (EKB); Qena University; Egyptian Knowledge Bank (EKB); Kafrelsheikh University; Egyptian Knowledge Bank (EKB); Qena University; Egyptian Knowledge Bank (EKB); Kafrelsheikh University; Galala University; Egyptian Knowledge Bank (EKB); Benha University</t>
  </si>
  <si>
    <t>Explainable Artificial Intelligence of Multi-Level Stacking Ensemble for Detection of Alzheimer’s Disease Based on Particle Swarm Optimization and the Sub-Scores of Cognitive Biomarkers</t>
  </si>
  <si>
    <t>Machine learning; multi-level stacking machine learning; ensemble learning; sub scores of cognitive; explainable artificial intelligence; particle swarm optimization</t>
  </si>
  <si>
    <t>ALZHEIMERS ASSOCIATION WORKGROUPS; DIAGNOSTIC GUIDELINES; LOGISTIC-REGRESSION; NATIONAL INSTITUTE; CLASSIFICATION; PROGRESSION; IMPAIRMENT; PREDICTION; RECOMMENDATIONS; DEMENTIA</t>
  </si>
  <si>
    <t>El Rashidy, Nora/GRJ-8142-2022; Saleh, Hager/AES-9663-2022; Almohimeed, Abdulaziz/NFT-5720-2025; El-Sappagh, Shaker/E-3799-2019; Abd-Elaziz, Mohamed/AAH-8886-2019; abd el aziz, mohamed/AAH-8886-2019; Saad, Redhwan/AFG-0690-2022; Mostafa, Sherif/AAA-4420-2022</t>
  </si>
  <si>
    <t>El Rashidy, Nora/0000-0001-8177-9439; Saleh, Hager/0000-0001-6184-7107; Almohimeed, Abdulaziz/0009-0005-9862-6398; Abd-Elaziz, Mohamed/0009-0003-4060-5151; abd el aziz, mohamed/0000-0002-7682-6269; Saad, Redhwan/0000-0001-7241-9327; Mostafa, Sherif/0000-0002-2520-4005</t>
  </si>
  <si>
    <t>123173</t>
  </si>
  <si>
    <t>123193</t>
  </si>
  <si>
    <t>10.1109/ACCESS.2023.3328331</t>
  </si>
  <si>
    <t>http://dx.doi.org/10.1109/ACCESS.2023.3328331</t>
  </si>
  <si>
    <t>Y5GK8</t>
  </si>
  <si>
    <t>WOS:001105538000001</t>
  </si>
  <si>
    <t>Panigrahi, BS; Vanitha, M; Ashraf, M; Lalitha, RVS; Haritha, D; Sundaram, A</t>
  </si>
  <si>
    <t>Although machine learning models can detect additive manufacturing (AM) defects with over 90% accuracy, their black-box nature limits adoption in aerospace, medical, and defence sectors, where transparency, traceability, and regulatory compliance are essential. This study presents a hybrid explainable AI framework that systematically combines SHAP and LIME for interpretable AM defect classification. Using 8,420 samples spanning four defect categories from three AM processes-laser powder bed fusion, fused deposition modelling, and directed energy deposition-the framework integrates SHAP's stable global explanations for compliance documentation with LIME's rapid local explanations for real-time quality control. The proposed method achieves 94.3% classification accuracy, outperforming the baseline ensemble of Random Forest, VGG-16, ResNet-50, and a standard non-XAI ensemble by 6.4 percentage points. It also reduces explanation time by 85%, from 2914.5 ms with SHAP alone to 434.1 ms, corresponding to a 6.71 &amp; times; speedup. User studies involving 25 manufacturing engineers and quality operators showed significant improvements in trust and usability (p &lt; 0.01). The framework supports alignment with AS9100, ISO 13485, and FDA expectations, enabling credible and efficient AI deployment in safety-critical AM environments.</t>
  </si>
  <si>
    <t>Panigrahi, Bhawani Sankar; Vanitha, M.; Ashraf, Mohd; Lalitha, R. V. S.; Haritha, D.; Sundaram, Ajith</t>
  </si>
  <si>
    <t>Panigrahi, BS (corresponding author), GITAM Univ, GITAM Sch CSE, Dept Comp Sci &amp; Engn, Vishakhapatnam, India.</t>
  </si>
  <si>
    <t>bspanigrahi.cse@gmail.com</t>
  </si>
  <si>
    <t>[Panigrahi, Bhawani Sankar] GITAM Univ, GITAM Sch CSE, Dept Comp Sci &amp; Engn, Vishakhapatnam, India; [Vanitha, M.] Saveetha Engn Coll, Dept Elect &amp; Commun Engn, Chennai, India; [Ashraf, Mohd] Maulana Azad Natl Urdu Univ, Sch Technol, Comp Sci &amp; Engn, Hyderabad, India; [Lalitha, R. V. S.] Aditya Univ, Dept CSE, Surampalem, India; [Haritha, D.] Koneru Lakshmaiah Educ Fdn, Dept Comp Sci &amp; Engn, Guntur, India; [Sundaram, Ajith] Amrita Vishwa Vidyapeetham, Amrita Sch Business, Kochi, India</t>
  </si>
  <si>
    <t>Gandhi Institute of Technology &amp; Management (GITAM); Koneru Lakshmaiah Education Foundation (K L Deemed to be University); Amrita Vishwa Vidyapeetham; Amrita Vishwa Vidyapeetham Kochi</t>
  </si>
  <si>
    <t>Explainable AI frameworks using SHAP and LIME enhance interpretable defect classification in additive manufacturing</t>
  </si>
  <si>
    <t>NONDESTRUCTIVE TESTING AND EVALUATION</t>
  </si>
  <si>
    <t>Explainable AI; Shapley Additive explanations (SHAP); Local Interpretable Model-agnostic Explanations (LIME); additive manufacturing; defect classification; interpretability</t>
  </si>
  <si>
    <t>SCALE</t>
  </si>
  <si>
    <t>Sundaram, Ajith/ABE-6573-2020; Panigrahi, Bhawani/HPF-5608-2023</t>
  </si>
  <si>
    <t>1058-9759</t>
  </si>
  <si>
    <t>1477-2671</t>
  </si>
  <si>
    <t>NONDESTRUCT TEST EVA</t>
  </si>
  <si>
    <t>Nondestruct. Test. Eval.</t>
  </si>
  <si>
    <t>10.1080/10589759.2026.2644404</t>
  </si>
  <si>
    <t>http://dx.doi.org/10.1080/10589759.2026.2644404</t>
  </si>
  <si>
    <t>Materials Science, Characterization &amp; Testing</t>
  </si>
  <si>
    <t>Materials Science</t>
  </si>
  <si>
    <t>FI8ZA</t>
  </si>
  <si>
    <t>WOS:001719817700001</t>
  </si>
  <si>
    <t>Jaziri, W; Sassi, N</t>
  </si>
  <si>
    <t>Deep Reinforcement Learning (DRL) has achieved remarkable success in optimizing complex control tasks; however, its opaque decision-making process limits accountability and erodes user trust in safety-critical domains such as autonomous driving and clinical decision support. To address this transparency gap, this study proposes a hybrid DRL framework that embeds explainability directly into the learning process rather than relying on post hoc interpretation. The model integrates symbolic reasoning, multi-head self-attention, and Layer-wise Relevance Propagation (LRP) to generate real-time, human-interpretable explanations while maintaining high control performance. Evaluated over 20,000 simulated episodes, the hybrid framework achieved a 91.9% task-completion rate, a 19.1% increase in user trust, and a 15.3% reduction in critical errors relative to baseline models. Human-AI interaction experiments with 120 participants demonstrated a 25.6% improvement in comprehension, a 22.7% faster response time, and a 17.4% lower cognitive load compared with non-explainable DRL systems. Despite a modest approximate to 4% performance trade-off, the integration of explainability as an intrinsic design principle significantly enhances accountability, transparency, and operational reliability. Overall, the findings confirm that embedding explainability within DRL enables real-time transparency without compromising performance, advancing the development of scalable, trustworthy AI architectures for high-stakes applications.</t>
  </si>
  <si>
    <t>Jaziri, Wassim; Sassi, Najla</t>
  </si>
  <si>
    <t>Jaziri, W (corresponding author), King Faisal Univ, Sch Business, Dept Management Informat Syst, Al Hufuf 31982, Saudi Arabia.</t>
  </si>
  <si>
    <t>wjaziri@kfu.edu.sa</t>
  </si>
  <si>
    <t>King Faisal University [KFU253446]</t>
  </si>
  <si>
    <t>King Faisal University (King Faisal University)</t>
  </si>
  <si>
    <t>This work was supported by the Deanship of Scientific Research, Vice Presidency for Graduate Studies and Scientific Research, King Faisal University, Saudi Arabia (Project No. KFU253446).</t>
  </si>
  <si>
    <t>[Jaziri, Wassim; Sassi, Najla] King Faisal Univ, Sch Business, Dept Management Informat Syst, Al Hufuf 31982, Saudi Arabia</t>
  </si>
  <si>
    <t>Explainable by Design: Enhancing Trustworthiness in AI-Driven Control Systems</t>
  </si>
  <si>
    <t>MATHEMATICS</t>
  </si>
  <si>
    <t>explainable artificial intelligence (XAI); real-time explainability; explainable reasoning; human-AI collaboration; deep reinforcement learning (DRL); trustworthy AI; AI-driven control systems</t>
  </si>
  <si>
    <t>Sassi, Najla/GLN-6533-2022; Jaziri, Wassim/NDS-6689-2025</t>
  </si>
  <si>
    <t>jaziri, wassim/0000-0002-4775-7276</t>
  </si>
  <si>
    <t>2227-7390</t>
  </si>
  <si>
    <t>MATHEMATICS-BASEL</t>
  </si>
  <si>
    <t>3805</t>
  </si>
  <si>
    <t>10.3390/math13233805</t>
  </si>
  <si>
    <t>http://dx.doi.org/10.3390/math13233805</t>
  </si>
  <si>
    <t>Q8834</t>
  </si>
  <si>
    <t>WOS:001635035600001</t>
  </si>
  <si>
    <t>Alrabie, S; Barnawi, A</t>
  </si>
  <si>
    <t>In recent years, deep learning has shown promise in automating heart-sound classification. Although this approach is fast, non-invasive, and cost-effective, its diagnostic accuracy still mainly depends on the clinician's expertise, making it particularly challenging to detect rare or complex conditions. This study is motivated by two key concerns in the field of heart-sound classification. First, we observed that automatic heart-sound segmentation algorithms-commonly used for data augmentation-produce varying outcomes, raising concerns about the accuracy of both the segmentation process and the resulting classification performance. Second, we noticed inconsistent accuracy scores across different pretrained models, prompting the need for interpretable explanations to validate these results. We argue that without interpretability to support reported metrics, accuracy scores can be misleading because of ambiguity in how training data interact with pretrained models. Specifically, it remains unclear whether these models classify spectrogram images-generated from heart-sound signals-in a way that aligns with clinical reasoning, where experts focus on specific components of the heart cycle, such as S1, systole, S2, and diastole. To address this, we applied explainable AI (XAI) techniques with two primary objectives: (1) to assess whether the model truly focuses on clinically relevant features, thereby allowing classification results to be verified and trusted, and (2) to investigate whether incorporating attention mechanisms can improve both the performance and the model's focus on meaningful segments of the signal. To the best of our knowledge, this is the first study conducted on a manually segmented dataset, which objectively evaluates the model's behavior using XAI and explores performance enhancement by combining attention mechanisms with pretrained models. We employ the Grad-CAM method to visualize the model's attention and gain insights into the decision-making process. The experimental results show that integrating multi-head attention significantly improves both the classification accuracy and interpretability. Notably, ResNet50 with multi-head attention achieved an accuracy of 97.3%, outperforming those of both the baseline and SE-enhanced models. Moreover, the mean intersection over union (mIoU) for interpretability increased from 75.7% to 82.0%, indicating the model's improved focus on diagnostically relevant regions.</t>
  </si>
  <si>
    <t>Alrabie, Sami; Barnawi, Ahmed</t>
  </si>
  <si>
    <t>Alrabie, S (corresponding author), King Abdulaziz Univ, Fac Comp &amp; Informat Technol FCIT, Jeddah 21589, Saudi Arabia.</t>
  </si>
  <si>
    <t>sawadalrabie@stu.kau.edu.sa; ambarnawi@kau.edu.sa</t>
  </si>
  <si>
    <t>KAU Endowment (WAQF) at King Abdulaziz University, Jeddah, Saudi Arabia; Deanship of Scientific Research (DSR)</t>
  </si>
  <si>
    <t>KAU Endowment (WAQF) at King Abdulaziz University, Jeddah, Saudi Arabia; Deanship of Scientific Research (DSR) (King Abdulaziz University)</t>
  </si>
  <si>
    <t>This project was funded by the KAU Endowment (WAQF) at King Abdulaziz University, Jeddah, Saudi Arabia. The authors, therefore, acknowledge with thanks WAQF and the Deanship of Scientific Research (DSR) for technical and financial support.</t>
  </si>
  <si>
    <t>[Alrabie, Sami; Barnawi, Ahmed] King Abdulaziz Univ, Fac Comp &amp; Informat Technol FCIT, Jeddah 21589, Saudi Arabia</t>
  </si>
  <si>
    <t>Are Artificial Intelligence Models Listening Like Cardiologists? Bridging the Gap Between Artificial Intelligence and Clinical Reasoning in Heart-Sound Classification Using Explainable Artificial Intelligence</t>
  </si>
  <si>
    <t>heart-sound classification; attention mechanism; Grad-CAM; deep learning; explainable AI (XAI)</t>
  </si>
  <si>
    <t>Barnawi, Ahmed/AGZ-1217-2022</t>
  </si>
  <si>
    <t>Alrabie, Sami/0000-0002-4674-6081; Barnawi, Ahmed/0000-0003-0516-8331</t>
  </si>
  <si>
    <t>MAY 22 2025</t>
  </si>
  <si>
    <t>10.3390/bioengineering12060558</t>
  </si>
  <si>
    <t>http://dx.doi.org/10.3390/bioengineering12060558</t>
  </si>
  <si>
    <t>4GT0H</t>
  </si>
  <si>
    <t>40564375</t>
  </si>
  <si>
    <t>WOS:001517630200001</t>
  </si>
  <si>
    <t>Boltaboyeva, A; Amangeldy, B; Baigarayeva, Z; Imanbek, B; Tasmurzayev, N; Kakharov, A; Tuleukhanov, S; Omirbekova, Z; Makhatova, B</t>
  </si>
  <si>
    <t>Background/Objectives: Obstructive sleep apnea (OSA) and related sleep disorders affect a substantial proportion of hospitalized patients, with an estimated 48% pooled prevalence of undiagnosed OSA in cardiac inpatients and up to 80% of moderate-to-severe community OSA cases carrying no formal diagnosis at the time of hospital admission. In parallel, frailty-a state of heightened physiological vulnerability arising from cumulative multi-system biological decline-is present in 40-80% of inpatients and shares deep, bidirectional neurobiological pathways with sleep-disordered breathing through circadian dysregulation, intermittent hypoxia, hypothalamic-pituitary-adrenal axis activation, and chronic low-grade inflammation. Despite this convergence, no prior study has integrated validated, administratively computable frailty phenotyping with a machine learning framework specifically designed to predict inpatient sleep disorder diagnosis-and OSA in particular-at the point of hospital admission. The present study addresses this gap by developing an admission-time, explainable machine learning framework for the prediction of inpatient sleep disorder diagnoses (ICD-10 G47.x, encompassing OSA G47.3, insomnia G47.0, hypersomnia, and circadian rhythm disorders) and of insomnia specifically (ICD-10 G47.00). Methods: We developed and evaluated a suite of five binary classification models-XGBoost, Random Forest, LightGBM, CatBoost, and Decision Tree-using 9682 balanced hospitalization episodes from the MIMIC-IV (version 2.2) database. The predictor set comprised 23 admission-time structured features across three domains: (i) frailty and comorbidity burden, including the Hospital Frailty Risk Score (HFRS) derived from ICD-10 codes, the Elixhauser comorbidity index, prior admission history, and six binary disease flags (obesity, hypertension, type 2 diabetes, heart failure, COPD, and depression/anxiety); (ii) physiological and laboratory biomarkers from the first 24 h of care, including minimum SpO2, heart rate variability, hemoglobin, creatinine, albumin, and arterial blood gas parameters; and (iii) sociodemographic and administrative variables encompassing age, sex, ethnicity, insurance type, and admission acuity. Model performance was assessed through five-fold stratified cross-validation and bootstrap confidence intervals (n = 1000 iterations), with predictor importance quantified using SHapley Additive exPlanations (SHAP). Results: XGBoost achieved the strongest aggregate performance across all evaluation metrics, attaining an area under the receiver operating characteristic curve (AUC) of 0.871 (95% CI: 0.856-0.887), accuracy of 79.6%, F1-score of 0.820, and sensitivity of 94.9%, correctly identifying 903 of 952 true positive cases in the held-out test set; all gradient boosting frameworks substantially outperformed the Decision Tree baseline (AUC 0.836). SHAP analysis identified the HFRS and Elixhauser index as the two dominant predictors, followed by depression/anxiety, obesity, hypertension, and minimum SpO2-a hierarchy that recapitulates the canonical clinical phenotype of obstructive sleep apnea in frail inpatients rather than that of primary insomnia, indicating that the model is preferentially capturing the OSA-frailty axis within the broader G47.x outcome. The predicted probability outputs were well-calibrated across all risk deciles.Conclusions: Frailty-derived features, in combination with admission-time clinical and physiological data, can predict inpatient sleep disorder diagnoses-predominantly OSA-with high sensitivity and well-calibrated risk estimates. The deployable, interpretable nature of the XGBoost model makes it directly suitable for integration into clinical decision support systems, offering a screening tool that requires no dedicated instrumentation beyond routine admission data. By flagging high-risk patients at the moment of admission, the framework provides a concrete mechanism for accelerating referral for definitive diagnostic confirmation (overnight oximetry, polysomnography) and earlier initiation of CPAP and related therapies, with direct implications for reducing the persistent diagnostic gap, perioperative risk, and preventable adverse outcomes in frail hospitalized populations.</t>
  </si>
  <si>
    <t>Boltaboyeva, Assiya; Amangeldy, Bibars; Baigarayeva, Zhanel; Imanbek, Baglan; Tasmurzayev, Nurdaulet; Kakharov, Adilet; Tuleukhanov, Sultan; Omirbekova, Zhanar; Makhatova, Balzhan</t>
  </si>
  <si>
    <t>Amangeldy, B; Imanbek, B (corresponding author), Farabi Univ, Al Farabi AI Ctr, AlfaCtr, Alma Ata 050040, Kazakhstan.</t>
  </si>
  <si>
    <t>Science Committee of the Ministry of Science and Higher Education of the Republic of Kazakhstan [AP26103523]</t>
  </si>
  <si>
    <t>Science Committee of the Ministry of Science and Higher Education of the Republic of Kazakhstan (Government of the Republic of Kazakhstan, Ministry of Science &amp; Higher Education of the Republic of Kazakhstan, Science Committee of the Ministry of Science &amp; Higher Education of the Republic of Kazakhstan)</t>
  </si>
  <si>
    <t>This research was funded by the Science Committee of the Ministry of Science and Higher Education of the Republic of Kazakhstan (Grant No. AP26103523).</t>
  </si>
  <si>
    <t>[Boltaboyeva, Assiya; Amangeldy, Bibars; Baigarayeva, Zhanel; Imanbek, Baglan; Tasmurzayev, Nurdaulet; Kakharov, Adilet] Farabi Univ, Al Farabi AI Ctr, AlfaCtr, Alma Ata 050040, Kazakhstan; [Boltaboyeva, Assiya; Baigarayeva, Zhanel; Kakharov, Adilet] LLP Kazakhstan R&amp;D Solut, Alma Ata 050040, Kazakhstan; [Tuleukhanov, Sultan] Farabi Univ, Fac Biol &amp; Biotechnol, Alma Ata 050040, Kazakhstan; [Omirbekova, Zhanar] Satbayev Univ, Inst Automat &amp; Informat Technol, Alma Ata 050056, Kazakhstan; [Makhatova, Balzhan] Asfendiyarov Kazakh Natl Med Univ, Fac Pharm, Alma Ata 050012, Kazakhstan; [Makhatova, Balzhan] Natl Acad Sci Kazakhstan President Republ Kazakhst, Alma Ata 050010, Kazakhstan</t>
  </si>
  <si>
    <t>Satbayev University; Asfendiyarov Kazakh National Medical University</t>
  </si>
  <si>
    <t>Frailty-Driven Prediction of Inpatient Obstructive Sleep Apnea and Related Sleep Disorder Diagnoses Using Explainable AI</t>
  </si>
  <si>
    <t>BIOMEDICINES</t>
  </si>
  <si>
    <t>sleep disorders; obstructive sleep apnea; insomnia; frailty; hospital frailty risk score; MIMIC-IV; XGBoost; gradient boosting; machine learning; clinical decision support; electronic health records; SHAP; inpatient prediction; sleep-disordered breathing</t>
  </si>
  <si>
    <t>Amangeldy, Bibars/IWE-2434-2023; Boltaboyeva, Assiya/KBB-4035-2024; Imanbek, Baglan/JNT-6011-2023; Tasmurzayev, Nurdaulet/KHW-3566-2024</t>
  </si>
  <si>
    <t>2227-9059</t>
  </si>
  <si>
    <t>Biomedicines</t>
  </si>
  <si>
    <t>1304</t>
  </si>
  <si>
    <t>10.3390/biomedicines14061304</t>
  </si>
  <si>
    <t>http://dx.doi.org/10.3390/biomedicines14061304</t>
  </si>
  <si>
    <t>Biochemistry &amp; Molecular Biology; Medicine, Research &amp; Experimental; Pharmacology &amp; Pharmacy</t>
  </si>
  <si>
    <t>Biochemistry &amp; Molecular Biology; Research &amp; Experimental Medicine; Pharmacology &amp; Pharmacy</t>
  </si>
  <si>
    <t>KB0RE</t>
  </si>
  <si>
    <t>42351732</t>
  </si>
  <si>
    <t>WOS:001802717400001</t>
  </si>
  <si>
    <t>Yagin, FH; Colak, C; Al-Hashem, F; Alzakari, SA; Alhussan, AA; Aghaei, M</t>
  </si>
  <si>
    <t>Background: Hepatocellular carcinoma (HCC) is a leading cause of cancer-related mortality worldwide, often diagnosed at late stages due to the limited sensitivity of current screening tools. This study explores whether blood-based lipidomic profiling, combined with explainable artificial intelligence (XAI), can improve early and interpretable detection of HCC. Methods: We analyzed lipidomic data from 219 HCC patients and 219 matched healthy controls using liquid chromatography-mass spectrometry. An Explainable Boosting Machine (EBM) was employed to identify discriminatory lipid biomarkers and was compared against several standard machine learning algorithms. Results: The EBM model achieved superior performance with 87.0% accuracy, 87.7% sensitivity, 86.3% specificity, and an AUC of 91.8%, outperforming other models. Key lipid biomarkers identified included specific phosphatidylcholines (PC 38:2, PC 40:4), sphingomyelins (SM d40:2 B), and lysophosphatidylcholines (LPC 18:2), which exhibited significant alterations in HCC patients and highlighted disruptions in sphingolipid metabolism. Conclusions: Integration of lipidomics with explainable machine learning offers a powerful, transparent approach for HCC biomarker discovery, achieving high diagnostic accuracy while providing biological insights. This strategy holds promise for developing non-invasive, clinically interpretable screening tools to improve early detection of liver cancer.</t>
  </si>
  <si>
    <t>Yagin, Fatma Hilal; Colak, Cemil; Al-Hashem, Fahaid; Alzakari, Sarah A.; Alhussan, Amel Ali; Aghaei, Mohammadreza</t>
  </si>
  <si>
    <t>Yagin, FH (corresponding author), Malatya Turgut Ozal Univ, Fac Med, Dept Biostat, TR-44210 Malatya, Turkiye.; Yagin, FH (corresponding author), Lakehead Univ, Dept Comp Sci, Thunder Bay, ON P7B 5E1, Canada.; Aghaei, M (corresponding author), Norwegian Univ Sci &amp; Technol NTNU, Dept Ocean Operat &amp; Civil Engn, N-7034 Alesund, Norway.</t>
  </si>
  <si>
    <t>Princess Nourah bint Abdulrahman University Researchers Supporting Project [PNURSP2025R716]</t>
  </si>
  <si>
    <t>Princess Nourah bint Abdulrahman University Researchers Supporting Project (Princess Nourah bint Abdulrahman University)</t>
  </si>
  <si>
    <t>Princess Nourah bint Abdulrahman University Researchers Supporting Project number (PNURSP2025R716), Princess Nourah bint Abdulrahman University, Riyadh, Saudi Arabia.</t>
  </si>
  <si>
    <t>[Yagin, Fatma Hilal] Malatya Turgut Ozal Univ, Fac Med, Dept Biostat, TR-44210 Malatya, Turkiye; [Yagin, Fatma Hilal] Lakehead Univ, Dept Comp Sci, Thunder Bay, ON P7B 5E1, Canada; [Colak, Cemil] Inonu Univ, Fac Med, Dept Biostat &amp; Med Informat, TR-44280 Malatya, Turkiye; [Al-Hashem, Fahaid] King Khalid Univ, Coll Med, Dept Physiol, Abha 61421, Saudi Arabia; [Alzakari, Sarah A.; Alhussan, Amel Ali] Princess Nourah Bint Abdulrahman Univ, Coll Comp &amp; Informat Sci, Dept Comp Sci, Riyadh 11671, Saudi Arabia; [Aghaei, Mohammadreza] Norwegian Univ Sci &amp; Technol NTNU, Dept Ocean Operat &amp; Civil Engn, N-7034 Alesund, Norway</t>
  </si>
  <si>
    <t>Malatya Turgut Ozal University; Lakehead University; Inonu University; King Khalid University; Princess Nourah bint Abdulrahman University; Norwegian University of Science &amp; Technology (NTNU)</t>
  </si>
  <si>
    <t>Identification of a Novel Lipidomic Biomarker for Hepatocyte Carcinoma Diagnosis: Advanced Boosting Machine Learning Techniques Integrated with Explainable Artificial Intelligence</t>
  </si>
  <si>
    <t>hepatocellular carcinoma; lipidomics; biomarkers; machine learning; explainable boosting machine</t>
  </si>
  <si>
    <t>METABOLISM; CANCER</t>
  </si>
  <si>
    <t>YAĞIN, Fatma Hilal/ABI-8066-2020; ÇOLAK, Cemil/ABI-3261-2020; Alhussan, Amel/GSM-7896-2022; Aghaei, Mohammadreza/Y-3934-2018; AL-Hashem, Fahaid/GPS-8057-2022</t>
  </si>
  <si>
    <t>YAĞIN, Fatma Hilal/0000-0002-9848-7958; ÇOLAK, Cemil/0000-0001-5406-098X; Alhussan, Amel/0000-0001-7530-7961; Aghaei, Mohammadreza/0000-0001-5735-3825</t>
  </si>
  <si>
    <t>716</t>
  </si>
  <si>
    <t>10.3390/metabo15110716</t>
  </si>
  <si>
    <t>http://dx.doi.org/10.3390/metabo15110716</t>
  </si>
  <si>
    <t>G0732</t>
  </si>
  <si>
    <t>41295302</t>
  </si>
  <si>
    <t>WOS:001624176700001</t>
  </si>
  <si>
    <t>Johnson, GU; Robert, G; Lee, CS; Boehm, L; Pandharipande, PP; Ely, EW</t>
  </si>
  <si>
    <t>Background: Survivorship after critical illness is often characterised by fragmented recovery and lingering cognitive, psychological, and physical impairments collectively described as post-intensive care syndrome. Current recovery frameworks and follow-up models remain inconsistently delivered, poorly standardised, and rarely address survivors' and families' need to make sense of the intensive care unit (ICU) experience in a transparent, inclusive, and sensitive way. The Critical Illness Survivorship Programme is proposed to humanise post-intensive care by integrating generative artificial intelligence technologies with co-designed, person-centred recovery strategies. This discussion paper provides the theoretical foundation for the proposed Critical Illness Survivorship Programme, which intends to humanise post-intensive care recovery through ethically governed, artificial intelligence-enabled narrative approaches. Discussion: The Critical Illness Survivorship Programme redefines recovery as both a biological and narrative process. Drawing from interpretive nursing inquiry, narrative medicine, cognitive rehabilitation, and responsible artificial intelligence design, the Critical Illness Survivorship Programme is designed to generate personalised intensive care unit journey summaries that translate complex health-record data into accessible, emotionally attuned stories, visualisations, and audio outputs. These narratives aim to support sense-making, memory integration, and emotional recovery while promoting transparency, inclusivity, and cultural sensitivity. Conclusions: The proposed Critical Illness Survivorship Programme will offer a conceptual pathway for developing ethically governed, artificial intelligence-enabled tools that bridge digital innovation and human connection in survivorship care. It emphasises interdisciplinary collaboration, trauma-informed communication, and co-design as essential safeguards for compassionate technology integration. Implications for practice: Future research should examine the feasibility, ethical oversight, and educational implications of the Critical Illness Survivorship Programme within clinical pathways. By reframing technology as a partner in empathy and understanding, the Critical Illness Survivorship Programme proposes a potential model of recovery - one that restores coherence, dignity, and meaning in life after critical illness.</t>
  </si>
  <si>
    <t>Johnson, Gideon U.; Robert, Glenn; Lee, Christopher S.; Boehm, Leanne; Pandharipande, Pratik P.; Ely, E. Wesley</t>
  </si>
  <si>
    <t>Johnson, GU (corresponding author), Kings Coll London, Florence Nightingale Fac Nursing Midwifery &amp; Palli, London, England.</t>
  </si>
  <si>
    <t>gideon.johnson@nhs.net</t>
  </si>
  <si>
    <t>Critical Illness Survivorship Programme</t>
  </si>
  <si>
    <t>The author gratefully acknowledges Professor Louise Rose and Professor Beverley Ewens for their mentorship and dialogue, which have shaped the conceptual development of the Critical Illness Survivorship Programme.</t>
  </si>
  <si>
    <t>[Johnson, Gideon U.; Robert, Glenn] Kings Coll London, Florence Nightingale Fac Nursing Midwifery &amp; Palli, London, England; [Boehm, Leanne] Vanderbilt Univ, Sch Nursing, Nashville, TN USA; [Lee, Christopher S.] Boston Coll, Connell Sch Nursing, Chestnut Hill, MA USA; [Lee, Christopher S.] Wroclaw Med Univ, Fac Nursing &amp; Midwifery, Dept Emergency Med Serv, Wroclaw, Poland; [Ely, E. Wesley] Div Allergy Pulm &amp; Crit Care Med, Nashville, TN USA; [Boehm, Leanne; Pandharipande, Pratik P.; Ely, E. Wesley] Crit Illness Brain Dysfunct &amp; Survivorship CIBS Ct, Nashville, TN USA; [Ely, E. Wesley] Vet Affairs Geriatr Res Educ Clin Ctr GRECC, Nashville, TN USA; [Pandharipande, Pratik P.] Div Anesthesiol &amp; Crit Care Med, Nashville, TN USA</t>
  </si>
  <si>
    <t>University of London; King's College London; Vanderbilt University; Boston College; Wroclaw Medical University; Geriatric Research Education &amp; Clinical Center</t>
  </si>
  <si>
    <t>Reimagining intensive care unit recovery: The Critical Illness Survivorship Programme for humanising post-intensive care unit care - A discussion paper</t>
  </si>
  <si>
    <t>Critical care; Survivorship; Artificial intelligence; Narrative medicine; Post-intensive care syndrome; Human-centred design</t>
  </si>
  <si>
    <t>PATIENT; MEDICINE; MODEL</t>
  </si>
  <si>
    <t>Boehm, Leanne/R-8510-2018; Ely, E./Z-2018-2019; Pandharipande, Pratik/ACC-5687-2022; Robert, Glenn/ABD-6477-2021</t>
  </si>
  <si>
    <t>Boehm, Leanne/0000-0003-0127-6677; Johnson, MSN, PGDip, BSN, CCRN, RN, Gideon/0000-0001-9950-074X</t>
  </si>
  <si>
    <t>105386</t>
  </si>
  <si>
    <t>10.1016/j.ijnurstu.2026.105386</t>
  </si>
  <si>
    <t>http://dx.doi.org/10.1016/j.ijnurstu.2026.105386</t>
  </si>
  <si>
    <t>EQ9LW</t>
  </si>
  <si>
    <t>41764874</t>
  </si>
  <si>
    <t>WOS:001707620800001</t>
  </si>
  <si>
    <t>Sobhan, M; Islam, MM; Trepka, MJ; Holt, GE; Dimitroff, CJ; Mondal, AM</t>
  </si>
  <si>
    <t>This research addresses the challenge of unequal outcomes in lung cancer across racial and sex groups. Traditional approaches that classify patients by race often produce biased results due to imbalanced data. To overcome this, the authors created a new framework called TILDA-X, which uses disease conditions instead of race for classification and employs explainable artificial intelligence to identify meaningful biomarkers. By discovering individual patient biomarkers first and then building up to group-level patterns, the method uncovers unique biological pathways linked to disparities between different racial and sex groups. The results show that this approach is far more accurate and biologically valid than race-based classification. These findings provide a robust and more reliable way to understand lung cancer differences, supporting the development of precision medicine that can benefit diverse patient populations.Background: Lung cancer is a leading cause of cancer-related mortality, with disparities in incidence and outcomes observed across different racial and sex groups. Identifying both patient-specific and cohort-specific disparity biomarkers is critical for developing targeted treatments. The lung cancer dataset is highly imbalanced across races, leading to biased results in disparity information if classification is based on race. Method: This study developed an explainable artificial intelligence-based framework, TILDA-X, which designs classification models based on disease conditions instead of races to mitigate racial imbalance in the dataset and applies explainable AI to delineate patient-specific disparity information. A lung cancer transcriptome dataset with three disease conditions-lung adenocarcinoma, lung squamous cell carcinoma, and healthy samples-was used to develop classification models. Applying a bottom-up approach from patient-specific disparity information, the cohort-specific disparity information is discovered for different racial and sex groups, African American males, European American males, African American females, and European American females. Results: Classification based on disease conditions achieved accuracy between 88% and 100% for minority groups (African American males and females), whereas it was only between 0% and 16% for race-based classification, which underscores the significance of the proposed approach. Functional analysis of sub-cohort-specific biomarker genes revealed unique pathways associated with lung cancers in different races and sexes. Among the significant pathways identified, over similar to 63% overlapped with previously reported lung cancer-related studies, supporting the biological validity of our findings. Overall, combining disease conditions-based classification with explainable AI, this study provides a robust, interpretable framework for characterizing race- and sex-specific disparities in lung cancer, offering a foundation for precision oncology and equitable therapeutic development based on transcriptome profile only.</t>
  </si>
  <si>
    <t>Sobhan, Masrur; Islam, Md Mezbahul; Trepka, Mary Jo; Holt, Gregory E.; Dimitroff, Charles J.; Mondal, Ananda M.</t>
  </si>
  <si>
    <t>Mondal, AM (corresponding author), Florida Int Univ, Knight Fdn Sch Comp &amp; Informat Sci, Machine Learning &amp; Data Analyt Grp, Miami, FL 33199 USA.</t>
  </si>
  <si>
    <t>misla093@fiu.edu; msobh002@fiu.edu; cdimitroff@fiu.edu; amondal@fiu.edu; trepkam@fiu.edu; gholt@med.miami.edu</t>
  </si>
  <si>
    <t>NIH/NHGRI [UG3HG013615]; State of Florida Biomedical Research Program, Bankhead Coley Research Infrastructure [23B16]; NIH/NCI [R21CA290324, R01CA282520]</t>
  </si>
  <si>
    <t>NIH/NHGRI (United States Department of Health &amp; Human Services, National Institutes of Health (NIH) - USA, NIH National Human Genome Research Institute (NHGRI)); State of Florida Biomedical Research Program, Bankhead Coley Research Infrastructure; NIH/NCI (United States Department of Health &amp; Human Services, National Institutes of Health (NIH) - USA, NIH National Cancer Institute (NCI))</t>
  </si>
  <si>
    <t>This work was partially supported by the NIH/NCI R21CA290324, NIH/NHGRI UG3HG013615, NIH/NCI R01CA282520, and the State of Florida Biomedical Research Program, Bankhead Coley Research Infrastructure grant number 23B16. The APC was funded by NIH/NCI R21CA290324. The content is solely the responsibility of the authors and does not necessarily represent the official views of the funding agencies.</t>
  </si>
  <si>
    <t>[Sobhan, Masrur; Islam, Md Mezbahul; Mondal, Ananda M.] Florida Int Univ, Knight Fdn Sch Comp &amp; Informat Sci, Machine Learning &amp; Data Analyt Grp, Miami, FL 33199 USA; [Trepka, Mary Jo] Florida Int Univ, Robert Stempel Coll Publ Hlth &amp; Social Work, Dept Epidemiol, Miami, FL 33199 USA; [Holt, Gregory E.] Univ Miami, Dept Med, Coral Gables, FL 33146 USA; [Dimitroff, Charles J.] Florida Int Univ, Herbert Wertheim Coll Med, Dept Cellular &amp; Mol Med, Miami, FL 33199 USA</t>
  </si>
  <si>
    <t>State University System of Florida; Florida International University; State University System of Florida; Florida International University; University of Miami; State University System of Florida; Florida International University</t>
  </si>
  <si>
    <t>TILDA-X: Transcriptome-Informed Lung Cancer Disparities via Explainable AI</t>
  </si>
  <si>
    <t>explainable AI; health disparity; lung cancer; patient-specific biomarker; SHAP</t>
  </si>
  <si>
    <t>SQUAMOUS-CELL CARCINOMA; SUSCEPTIBILITY LOCI; ADENOCARCINOMA; HETEROGENEITY; METABOLISM; ASSOCIATION; LANDSCAPE; GROWTH; LINKS</t>
  </si>
  <si>
    <t>Dimitroff, Charles/0000-0002-4224-7621; Trepka, Mary Jo/0000-0002-6585-1194; Mondal, Ananda/0000-0002-4005-9942; Islam, Mezbahul/0009-0008-4762-7843; Sobhan, Masrur/0000-0002-1515-4366; Holt, Gregory/0000-0001-8276-7915</t>
  </si>
  <si>
    <t>3454</t>
  </si>
  <si>
    <t>10.3390/cancers17213454</t>
  </si>
  <si>
    <t>http://dx.doi.org/10.3390/cancers17213454</t>
  </si>
  <si>
    <t>9TW8J</t>
  </si>
  <si>
    <t>41228248</t>
  </si>
  <si>
    <t>WOS:001614915000001</t>
  </si>
  <si>
    <t>Sovrano, F; Vitali, F</t>
  </si>
  <si>
    <t>This paper presents a new method for objectively measuring the explainability of textual information, such as the outputs of Explainable AI (XAI). We introduce a metric called Degree of Explainability (DoX), drawing inspiration from Ordinary Language Philosophy and Achinstein's theory of explanations. It assumes that the degree of explainability is directly proportional to the number of relevant questions that a piece of information can correctly answer. We have operationalized this concept by formalizing the DoX metric through a mathematical formula, which we have integrated into a software tool named DoXpy. DoXpy relies on pre-trained deep language models for knowledge extraction and answer retrieval in order to estimate the DoX, transforming our theoretical insights into a practical tool for real-world applications. To confirm the effectiveness and consistency of our approach, we conducted comprehensive experiments and user studies with over 190 participants. These studies evaluated the quality of explanations by healthcare and finance XAI-based software systems. Our results demonstrate a correlation between increases in objective explanation usability and increments in the DoX score. These findings suggest that the DoX metric is congruent with other mainstream explainability measures. It provides a more objective and cost-effective alternative to non-deterministic user studies. Thus, we discuss the potential of DoX as a tool to evaluate the legal compliance of XAI systems. By bridging the gap between theory and practice in Explainable AI, our work fosters transparency, understandability, and legal compliance. DoXpy and related materials have been made available online to ensure reproducibility. &amp; COPY; 2023 Elsevier B.V. All rights reserved.</t>
  </si>
  <si>
    <t>Sovrano, Francesco; Vitali, Fabio</t>
  </si>
  <si>
    <t>Sovrano, F (corresponding author), Univ Bologna, DISI, Mura Anteo Zamboni 7, I-40126 Bologna, Italy.</t>
  </si>
  <si>
    <t>francesco.sovrano2@unibo.it; fabio.vitali@unibo.it</t>
  </si>
  <si>
    <t>[Sovrano, Francesco; Vitali, Fabio] Univ Bologna, DISI, Mura Anteo Zamboni 7, I-40126 Bologna, Italy</t>
  </si>
  <si>
    <t>University of Bologna</t>
  </si>
  <si>
    <t>An objective metric for Explainable AI: How and why to estimate the degree of explainability</t>
  </si>
  <si>
    <t>Degree of explainability; Objective explainability metric; Explainable AI; Theory of explanations</t>
  </si>
  <si>
    <t>EXPLANATIONS; EXPLICATION; USABILITY</t>
  </si>
  <si>
    <t>Vitali, Fabio/E-9368-2012; Sovrano, Francesco/HZI-4282-2023</t>
  </si>
  <si>
    <t>Vitali, Fabio/0000-0002-7562-5203; Sovrano, Francesco/0000-0002-6285-1041</t>
  </si>
  <si>
    <t>OCT 25 2023</t>
  </si>
  <si>
    <t>278</t>
  </si>
  <si>
    <t>110866</t>
  </si>
  <si>
    <t>10.1016/j.knosys.2023.110866</t>
  </si>
  <si>
    <t>http://dx.doi.org/10.1016/j.knosys.2023.110866</t>
  </si>
  <si>
    <t>R6TW4</t>
  </si>
  <si>
    <t>WOS:001065670900001</t>
  </si>
  <si>
    <t>Wang, SJ; Wang, XN; Zhu, XY; Wang, XW; Liu, YQ; Zhao, MC; Chang, ZL; Shao, Y; Zhang, HT; Yang, SY; Wang, JY</t>
  </si>
  <si>
    <t>Accurate tumor mutation burden (TMB) quantification is critical for immunotherapy stratification, yet remains challenging due to variability across sequencing platforms, tumor heterogeneity, and variant calling pipelines. Here, we introduce TMBquant, an explainable AI-powered caller designed to optimize TMB estimation through dynamic feature selection, ensemble learning, and automated strategy adaptation. Built upon the H2O AutoML framework, TMBquant integrates variant features, minimizes classification errors, and enhances both accuracy and stability across diverse datasets. We benchmarked TMBquant against nine widely used variant callers, including traditional tools (e.g. Mutect2, VarScan2, Strelka2) and recent AI-based methods (DeepSomatic, Octopus), using 706 whole-exome sequencing tumor-control pairs. To evaluate clinical relevance, we further assessed TMBquant through survival analyses across immunotherapy-treated cohorts of non-small cell lung cancer (NSCLC), nasopharyngeal carcinoma (NPC), and the two NSCLC subtypes: lung adenocarcinoma and lung squamous cell carcinoma. In each cohort, TMBquant consistently achieved the highest hazard ratios, demonstrating superior patient stratification compared to all other methods. Importantly, TMBquant maintained robust predictive performance across both high-TMB (NSCLC) and low-TMB (NPC) settings, highlighting its generalizability across cancer types with distinct biological characteristics. These findings establish TMBquant as a reliable, reproducible, and clinically actionable tool for precision oncology. The software is open source and freely available at https://github.com/SomaticCaller/SomaticCaller. To enhance reproducibility, we provide detailed usage instructions and representative code snippets for TMBquant in the Methods section (see Code Availability).</t>
  </si>
  <si>
    <t>Wang, Shenjie; Wang, Xiaonan; Zhu, Xiaoyan; Wang, Xuwen; Liu, Yuqian; Zhao, Minchao; Chang, Zhili; Shao, Yang; Zhang, Haitao; Yang, Shuanying; Wang, Jiayin</t>
  </si>
  <si>
    <t>Wang, JY (corresponding author), Xi An Jiao Tong Univ, Sch Comp Sci &amp; Technol, 28 Xianning West Rd, Xian 710049, Peoples R China.; Zhang, HT (corresponding author), Fourth Mil Med Univ, Tangdu Hosp, Dept Resp Med, 569 Xinsi Rd, Xian 710038, Shaanxi, Peoples R China.</t>
  </si>
  <si>
    <t>wangjiayin@mail.xjtu.edu.cn; Zht_best@163.com</t>
  </si>
  <si>
    <t>National Natural Science Foundation of China [72293581, 72274152, 62402376]; Natural Science Basic Research Program of Shaanxi [2020JC-01]</t>
  </si>
  <si>
    <t>National Natural Science Foundation of China (National Natural Science Foundation of China (NSFC)); Natural Science Basic Research Program of Shaanxi</t>
  </si>
  <si>
    <t>This work was funded by the National Natural Science Foundationof China, grant numbers 72293581, 72274152, and 62402376. This work was also supported by the Natural Science Basic Research Program of Shaanxi, grant number 2020JC-01. The article processing charge was funded by the Natural Science Basic Research Program of Shaanxi, grant number 2020JC-01</t>
  </si>
  <si>
    <t>[Wang, Shenjie; Wang, Xuwen; Yang, Shuanying; Wang, Jiayin] Xi An Jiao Tong Univ, Affiliated Hosp 2, Dept Resp Med, 157 Xiwu Rd, Xian 710004, Peoples R China; [Wang, Shenjie; Wang, Xiaonan; Zhu, Xiaoyan; Wang, Xuwen; Liu, Yuqian; Wang, Jiayin] Xi An Jiao Tong Univ, Sch Comp Sci &amp; Technol, 28 Xianning West Rd, Xian 710049, Peoples R China; [Wang, Shenjie; Zhu, Xiaoyan; Wang, Xuwen; Liu, Yuqian; Wang, Jiayin] Xi An Jiao Tong Univ, Shaanxi Engn Res Ctr Med &amp; Hlth Big Data, 28 Xianning West Rd, Xian 710049, Peoples R China; [Wang, Xiaonan; Zhao, Minchao; Chang, Zhili; Shao, Yang] Nanjing Geneseeq Technol Inc, 128 Huakang Rd, Nanjing 211800, Peoples R China; [Zhang, Haitao] Fourth Mil Med Univ, Tangdu Hosp, Dept Resp Med, 569 Xinsi Rd, Xian 710038, Shaanxi, Peoples R China</t>
  </si>
  <si>
    <t>Xi'an Jiaotong University; Xi'an Jiaotong University; Xi'an Jiaotong University; Geneseeq Technology Inc.; Air Force Medical University</t>
  </si>
  <si>
    <t>TMBquant: an explainable AI-powered caller advancing tumor mutation burden quantification across heterogeneous samples</t>
  </si>
  <si>
    <t>BRIEFINGS IN BIOINFORMATICS</t>
  </si>
  <si>
    <t>variant calling; counting-based biomarker; tumor mutation burden; immunotherapy; heterogeneous samples</t>
  </si>
  <si>
    <t>BLOCKADE; CANCER</t>
  </si>
  <si>
    <t>Liu, Yuqian/OIS-9133-2025</t>
  </si>
  <si>
    <t>1467-5463</t>
  </si>
  <si>
    <t>1477-4054</t>
  </si>
  <si>
    <t>BRIEF BIOINFORM</t>
  </si>
  <si>
    <t>Brief. Bioinform.</t>
  </si>
  <si>
    <t>bbaf455</t>
  </si>
  <si>
    <t>10.1093/bib/bbaf455</t>
  </si>
  <si>
    <t>http://dx.doi.org/10.1093/bib/bbaf455</t>
  </si>
  <si>
    <t>Biochemical Research Methods; Mathematical &amp; Computational Biology</t>
  </si>
  <si>
    <t>Biochemistry &amp; Molecular Biology; Mathematical &amp; Computational Biology</t>
  </si>
  <si>
    <t>6ZJ1C</t>
  </si>
  <si>
    <t>40919911</t>
  </si>
  <si>
    <t>WOS:001565630700001</t>
  </si>
  <si>
    <t>Ashikuzzaman, M; Julhash, MM; Ali, MF; Alam, MS; Ali, M; Imran, IH; Obaidi, O; Islam, MK</t>
  </si>
  <si>
    <t>Leukemia, a life-threatening hematological malignancy, necessitates early and accurate diagnosis for effective treatment. Traditional microscopic examination is often time-consuming and subjective, while most existing deep learning-based studies are limited to a narrow selection of models and lack interpretability analysis. To address these gaps, this study presents a comprehensive comparative evaluation of fourteen pre-trained CNN architectures, including EfficientNetB1/B3/B5, Xception, InceptionV3, InceptionResNetV2, DenseNet201, ResNet variants, VGG16/19, and MobileNet, for automated leukemia detection from microscopic blood smear images. A publicly available Kaggle dataset containing 10,700 labeled images with variations in staining intensity, cell morphology, and image resolution was used. The dataset was divided into training (70%, 7500 images), validation (15%, 1600 images), and testing (15%, 1600 images) subsets using stratified sampling to preserve class balance. To ensure statistical robustness, all experiments were repeated ten times with different random seeds, and performance metrics are reported as mean values, with pairwise McNemar's tests applied to validate the significance of observed differences (p &lt; 0.05). EfficientNetB1, EfficientNetB5, Xception, and ResNet50 achieved test accuracies of up to 96%, recall up to 98%, F1-scores up to 97%, and AUC values up to 0.987, indicating excellent threshold-independent discriminative capability. Explainable AI techniques, specifically Grad-CAM and LIME, were integrated to enhance transparency and clinical trustworthiness. Comparative analysis demonstrates competitive or superior performance against recent state-of-the-art methods, providing preliminary evidence toward future clinical translation. However, the study is limited by reliance on a single publicly available binary-class dataset, which constrains generalizability across imaging devices, staining protocols, and clinical sites; external validation on independent multi-center datasets is therefore identified as a primary direction for future work.</t>
  </si>
  <si>
    <t>Ashikuzzaman, Md; Julhash, Mir Md.; Ali, Md. Feroz; Alam, Md Shafiul; Ali, Mohammad; Imran, Imil Hamda; Obaidi, Obaidullah; Islam, Md Kamrul</t>
  </si>
  <si>
    <t>Ali, MF (corresponding author), Pabna Univ Sci &amp; Technol, Dept Elect &amp; Elect Engn, Pabna 6600, Bangladesh.; Alam, MS (corresponding author), King Faisal Univ, Coll Engn, Dept Elect Engn, Al Ahsa 31982, Saudi Arabia.; Obaidi, O (corresponding author), Kabul Univ, Fac Engn, Dept Energy Engn, Kabul 1006, Afghanistan.</t>
  </si>
  <si>
    <t>feroz071021@gmail.com; shafiul@kfu.edu.sa; obaidullah.obaidi@ku.edu.af</t>
  </si>
  <si>
    <t>King Faisal University [KFU261717]</t>
  </si>
  <si>
    <t>This work was supported by the Deanship of Scientific Research, Vice Presidency for Graduate Studies and Scientific Research, King Faisal University, Saudi Arabia [Grant No. KFU261717].</t>
  </si>
  <si>
    <t>[Ashikuzzaman, Md; Julhash, Mir Md.; Ali, Md. Feroz] Pabna Univ Sci &amp; Technol, Dept Elect &amp; Elect Engn, Pabna 6600, Bangladesh; [Alam, Md Shafiul; Ali, Mohammad; Imran, Imil Hamda] King Faisal Univ, Coll Engn, Dept Elect Engn, Al Ahsa 31982, Saudi Arabia; [Obaidi, Obaidullah] Kabul Univ, Fac Engn, Dept Energy Engn, Kabul 1006, Afghanistan; [Islam, Md Kamrul] King Faisal Univ, Coll Engn, Dept Civil &amp; Environm Engn, Al Ahsa 31982, Saudi Arabia</t>
  </si>
  <si>
    <t>King Faisal University; King Faisal University</t>
  </si>
  <si>
    <t>Automated leukemia detection from microscopic images using deep transfer learning with explainable AI-based analysis</t>
  </si>
  <si>
    <t>Leukemia detection; Microscopic image analysis; Deep learning; Transfer learning; Convolutional neural networks (CNNs)</t>
  </si>
  <si>
    <t>ACUTE LYMPHOBLASTIC-LEUKEMIA; ENSEMBLE</t>
  </si>
  <si>
    <t>MAY 30 2026</t>
  </si>
  <si>
    <t>24693</t>
  </si>
  <si>
    <t>10.1038/s41598-026-55415-x</t>
  </si>
  <si>
    <t>http://dx.doi.org/10.1038/s41598-026-55415-x</t>
  </si>
  <si>
    <t>MK1NH</t>
  </si>
  <si>
    <t>42218261</t>
  </si>
  <si>
    <t>WOS:001844163900005</t>
  </si>
  <si>
    <t>Arif, M; Zhao, LY; Zou, XY; Li, KS; Chen, ZT; Ai, Y; Tian, MY</t>
  </si>
  <si>
    <t>Artificial intelligence (AI) is reshaping the service industries, increasing demand for fair, transparent, and ethical systems. This study examined how AI ethics training, employee competencies, organizational governance maturity, and leadership commitment jointly supported responsible AI performance. Survey data from employees in hospitality and tourism organizations were analyzed using structural equation modeling. The findings indicated that ethics training was associated with stronger responsible AI performance through two complementary mechanisms: the development of employee competencies and the institutionalization of governance processes. Leadership commitment further strengthened the relationship between governance maturity and performance, highlighting the role of organizational values in ethical technology use. Together, these results indicated that responsible AI emerged from the alignment of learning practices, institutional structures, and leadership priorities. The study provides practical guidance for service organizations seeking to embed ethical principles into AI use. It contributes to broader discussions about responsible digital transformation and sustainable service innovation.</t>
  </si>
  <si>
    <t>Arif, Muhammad; Zhao, Liyang; Zou, Xiaoyan; Li, Keshun; Chen, Zhangting; Ai, Ye; Tian, Mengyao</t>
  </si>
  <si>
    <t>Arif, M (corresponding author), Guilin Tourism Univ, Sch Tourism Ecol &amp; Environm, Guilin 541006, Peoples R China.; Arif, M (corresponding author), Guilin Tourism Univ, Guangxi Cultural Tourism &amp; Wellness Integrated Dev, Guilin 541006, Peoples R China.</t>
  </si>
  <si>
    <t>arifgreenexpert@outlook.com</t>
  </si>
  <si>
    <t>The 2024 Ministry of Education Humanities and Social Sciences Research Project for Western and Border Regions [24XJC630001]; Project for Enhancing the Capacity of Popular Science Services in Ecological Conservation and Sustainable Utilization of Landscape Resources in the Li River Basin [2025FN9653478]; Humanities and Social Science Project [2023QGRW049]; The 2023 Guangxi Philosophy and Social Sciences Research Project [23FYJ058]; Guangxi Philosophy and Social Sciences Research Project 2024 [24SHF007]; Research Projects of the Scientific Research Team of the School of Tourism Ecology and Environment at Guilin Tourism University in China [STKY-2024001]</t>
  </si>
  <si>
    <t>The 2024 Ministry of Education Humanities and Social Sciences Research Project for Western and Border Regions; Project for Enhancing the Capacity of Popular Science Services in Ecological Conservation and Sustainable Utilization of Landscape Resources in the Li River Basin; Humanities and Social Science Project; The 2023 Guangxi Philosophy and Social Sciences Research Project; Guangxi Philosophy and Social Sciences Research Project 2024; Research Projects of the Scientific Research Team of the School of Tourism Ecology and Environment at Guilin Tourism University in China</t>
  </si>
  <si>
    <t>The authors sincerely thank all anonymous participants who voluntarily took part in this study and shared their time and insights. Their contributions were essential to the completion of this research. This research was funded by the 2024 Ministry of Education Humanities and Social Sciences Research Project for Western and Border Regions (no. 24XJC630001) ; Project for Enhancing the Capacity of Popular Science Services in Ecological Conservation and Sustainable Utilization of Landscape Resources in the Li River Basin (2025FN9653478) ; Humanities and Social Science Project (2023QGRW049) ; 2023 Guangxi Philosophy and Social Sciences Research Project (23FYJ058) ; Guangxi Philosophy and Social Sciences Research Project 2024 (24SHF007) ; and Research Projects of the Scientific Research Team of the School of Tourism Ecology and Environment at Guilin Tourism University in China (no. STKY-2024001) .</t>
  </si>
  <si>
    <t>[Arif, Muhammad; Zhao, Liyang; Zou, Xiaoyan; Li, Keshun; Chen, Zhangting; Ai, Ye; Tian, Mengyao] Guilin Tourism Univ, Sch Tourism Ecol &amp; Environm, Guilin 541006, Peoples R China; [Arif, Muhammad; Chen, Zhangting] Guilin Tourism Univ, Guangxi Cultural Tourism &amp; Wellness Integrated Dev, Guilin 541006, Peoples R China</t>
  </si>
  <si>
    <t>Guilin Tourism University; Guilin Tourism University</t>
  </si>
  <si>
    <t>Ethics training competencies and leadership enable responsible AI in hospitality and tourism</t>
  </si>
  <si>
    <t>ISCIENCE</t>
  </si>
  <si>
    <t>Arif, Muhammad/Q-2498-2019</t>
  </si>
  <si>
    <t>Chen, Zhangting/0000-0002-1584-3276; Ai, Ye/0009-0002-1099-2528</t>
  </si>
  <si>
    <t>2589-0042</t>
  </si>
  <si>
    <t>iScience</t>
  </si>
  <si>
    <t>MAR 20 2026</t>
  </si>
  <si>
    <t>115134</t>
  </si>
  <si>
    <t>10.1016/j.isci.2026.115134</t>
  </si>
  <si>
    <t>http://dx.doi.org/10.1016/j.isci.2026.115134</t>
  </si>
  <si>
    <t>FD0CO</t>
  </si>
  <si>
    <t>41852745</t>
  </si>
  <si>
    <t>WOS:001715817500001</t>
  </si>
  <si>
    <t>Ahuja, R; Jain, A; Muskan; Singh, SS</t>
  </si>
  <si>
    <t>Cardiovascular diseases (CVD) have consistently ranked among the leading causes of mortality worldwide, accounting for a significant proportion of deaths across all age groups and regions. These diseases encompass a range of conditions affecting the heart and blood vessels, including coronary artery disease, heart failure, stroke, and hypertension. With the notion of timely intervention and risk management, a hybrid deep learning approach incorporating Bidirectional Gated Recurrent Unit (Bi-GRU) and extreme Gradient Boosting (XGBoost) for precise CVD prediction has been proposed. In addition, leveraging Internet-of-Things (IoT) devices in heart disease detection enables self-assessments to monitor for irregularities in heart function which aids in the early detection of heart disease. Several IoT devices including Electrocardiogram (ECG) sensors, glucometers for measuring blood pressure and pulse are employed. The proposed system leverages real-time model testing using IoT-enabled wearable devices to analyze the vital signs as well as other health evaluation parameters. This information is processed and monitored using the proposed model containing ensembled deep learning and machine learning algorithms, specifically trained to identify the risk of presence of cardiovascular diseases. Furthermore, to maintain reliability of the model's predictions, we incorporate explainable artificial intelligence techniques, which provide transparent and interpretable illustrations helping the decision-making process of these algorithms. The trained model is evaluated using the Mendeley Cardiovascular Disease dataset along with real-time data collected from various IoT sensors monitoring patients. This approach tests and validates the efficacy of the proposed hybrid deep learning model, which achieves an accuracy of 98%. The proposed approach seeks to integrate predictive analytics with real-time IoT applications in the medical field, enhancing cardiovascular care through improved outcomes and more informed decision-making.</t>
  </si>
  <si>
    <t>Ahuja, Rohit; Jain, Amisha; Muskan; Singh, Shashank Sheshar</t>
  </si>
  <si>
    <t>Ahuja, R (corresponding author), Thapar Inst Engn &amp; Technol, Dept Comp Sci &amp; Engn, Patiala 147004, Punjab, India.; Singh, SS (corresponding author), South Asian Univ, Fac Engn &amp; Technol, Dept Comp Sci &amp; Engn, New Delhi 110068, India.</t>
  </si>
  <si>
    <t>ajain8_be21@thapar.edu; mmuskan_be21@thapar.edu; rohit.ahuja@thapar.edu; shashank.sheshar@sau.int</t>
  </si>
  <si>
    <t>Thapar Institute of Engineering and Technology</t>
  </si>
  <si>
    <t>This research received funding from Experiential Learning Centre, Thapar Institute of Engineering and Technology, Patiala Punjab 147004.</t>
  </si>
  <si>
    <t>[Ahuja, Rohit; Jain, Amisha; Muskan] Thapar Inst Engn &amp; Technol, Dept Comp Sci &amp; Engn, Patiala 147004, Punjab, India; [Singh, Shashank Sheshar] South Asian Univ, Fac Engn &amp; Technol, Dept Comp Sci &amp; Engn, New Delhi 110068, India</t>
  </si>
  <si>
    <t>Thapar Institute of Engineering &amp; Technology; South Asian University (SAU)</t>
  </si>
  <si>
    <t>Empowering cardiovascular disease detection with IoT-enabled interpretable deep learning driven approach using explainable AI</t>
  </si>
  <si>
    <t>CLUSTER COMPUTING-THE JOURNAL OF NETWORKS SOFTWARE TOOLS AND APPLICATIONS</t>
  </si>
  <si>
    <t>Cardiovascular diseases detection; Deep learning; Bidirectional gated recurrent unit; Explainable artificial intelligence; SHapely additive exPlanations; Internet of things</t>
  </si>
  <si>
    <t>RESOURCE</t>
  </si>
  <si>
    <t>Singh, Shashank Sheshar/Q-3551-2019</t>
  </si>
  <si>
    <t>1386-7857</t>
  </si>
  <si>
    <t>1573-7543</t>
  </si>
  <si>
    <t>CLUSTER COMPUT</t>
  </si>
  <si>
    <t>Cluster Comput.</t>
  </si>
  <si>
    <t>JUL 21 2026</t>
  </si>
  <si>
    <t>519</t>
  </si>
  <si>
    <t>10.1007/s10586-026-06334-z</t>
  </si>
  <si>
    <t>http://dx.doi.org/10.1007/s10586-026-06334-z</t>
  </si>
  <si>
    <t>LK7CT</t>
  </si>
  <si>
    <t>WOS:001826886300002</t>
  </si>
  <si>
    <t>Rafie, Z; Talab, MS; Koor, BEZ; Garavand, A; Salehnasab, C; Ghaderzadeh, M</t>
  </si>
  <si>
    <t>Introduction Type 2 diabetes mellitus (T2DM) poses a major public health challenge, particularly in regions with limited representation in predictive modeling studies.This research aimed to develop and interpret robust machine learning (ML) models for early T2DM risk prediction using data from the Dena Cohort in Iran. Methods Data from 3,203 adults aged 35-70 years were preprocessed through outlier removal, median/mode imputation, feature selection via LightGBM, and class balancing with the Synthetic Minority Over-sampling Technique (SMOTE). Two gradient-boosting algorithms, XGBoost and CatBoost, underwent hyperparameter tuning and 10-fold cross-validation. Model performance was assessed using accuracy, F1-score, and the area under the receiver operating characteristic curve (AUC). Shapley Additive Explanations (SHAP) provided global and case-specific interpretability of predictive features. Results XGBoost achieved the highest performance (accuracy = 96.07%, AUC= 99.29%), outperforming CatBoost and demonstrating substantial improvement with SMOTE balancing. Key predictors included fasting blood sugar, fatty liver, urolithiasis, red blood cell indices, and lifestyle factors such as energy drink consumption and prolonged television viewing. SHAP visualizations enhanced model transparency and facilitated individualized risk interpretation. Conclusion This study demonstrates that combining advanced gradient-boosting models with SHAP explainability yields highly accurate, interpretable T2DM risk prediction in an underrepresented population.These findings support integrating interpretable ML into clinical workflows for personalized prevention and early intervention strategies.</t>
  </si>
  <si>
    <t>Rafie, Zahra; Talab, Moslem Sedaghat; Koor, Behrooz Ebrahim Zadeh; Garavand, Ali; Salehnasab, Cirruse; Ghaderzadeh, Mustafa</t>
  </si>
  <si>
    <t>Salehnasab, C (corresponding author), Yasuj Univ Med Sci, Social Determinants Hlth Res Ctr, Yasuj, Iran.</t>
  </si>
  <si>
    <t>cirruse.salehnasab@gmail.com</t>
  </si>
  <si>
    <t>Dena Cohort Research Center</t>
  </si>
  <si>
    <t>The authors gratefully acknowledge the support of the Dena Cohort Research Center and all study participants for their valuable contributions.</t>
  </si>
  <si>
    <t>[Rafie, Zahra] Yasuj Univ Med Sci, Student Res Comm, Sch Med, Yasuj, Iran; [Talab, Moslem Sedaghat] Yasuj Univ Med Sci, Sch Med, Dept Internal Med, Yasuj, Iran; [Koor, Behrooz Ebrahim Zadeh] Yasuj Univ Med Sci, Sch Hlth, Dept Nutr, Yasuj, Iran; [Garavand, Ali] Lorestan Univ Med Sci, Sch Allied Med Sci, Khorramabad, Iran; [Salehnasab, Cirruse] Yasuj Univ Med Sci, Social Determinants Hlth Res Ctr, Yasuj, Iran; [Ghaderzadeh, Mustafa] Urmia Univ Med Sci, Boukan Fac Med Sci, Orumiyeh, Iran</t>
  </si>
  <si>
    <t>Yasouj University; Yasouj University; Yasouj University; Lorestan University of Medical Sciences; Yasouj University; Urmia University of Medical Sciences</t>
  </si>
  <si>
    <t>Leveraging XGBoost and explainable AI for accurate prediction of type 2 diabetes</t>
  </si>
  <si>
    <t>Type 2 diabetes; Machine learning; XGBoost; CatBoost; Explainable AI; SHAP; Dena cohort</t>
  </si>
  <si>
    <t>CELL DISTRIBUTION WIDTH; ARTIFICIAL-INTELLIGENCE; RETINOPATHY; RISK</t>
  </si>
  <si>
    <t>Ghaderzadeh, Mustafa/GON-9856-2022; Garavand, Ali/AAG-3792-2021; Salehnasab, Cirruse/R-2805-2018</t>
  </si>
  <si>
    <t>Ghaderzadeh, Mustafa/0000-0003-4016-3843; Salehnasab, Cirruse/0000-0002-5615-9307</t>
  </si>
  <si>
    <t>OCT 31 2025</t>
  </si>
  <si>
    <t>3688</t>
  </si>
  <si>
    <t>10.1186/s12889-025-24953-w</t>
  </si>
  <si>
    <t>http://dx.doi.org/10.1186/s12889-025-24953-w</t>
  </si>
  <si>
    <t>9ID5Z</t>
  </si>
  <si>
    <t>41174635</t>
  </si>
  <si>
    <t>WOS:001606922700037</t>
  </si>
  <si>
    <t>Gaspar, D; Silva, P; Silva, C</t>
  </si>
  <si>
    <t>Machine learning-based systems have presented increasing learning performance, in a wide variety of tasks. However, the problem with some state-of-the-art models is their lack of transparency, trustworthiness, and explainability. To address this problem, eXplainable Artificial Intelligence (XAI) appeared. It is a research field that aims to make black-box models more understandable to humans. The research on this topic has increased in recent years, and many methods, such as LIME (Local Interpretable Model-Agnostic Explanations) and SHAP (SHapley Additive exPlanations) have been proposed. Machine learning-based Intrusion Detection Systems (IDS) are one of the many application domains of XAI. However, most of the works about model interpretation focus on other fields, like computer vision, natural language processing, biology, healthcare, etc. This poses a challenge for cybersecurity professionals tasked with analyzing IDS results, thereby impeding their capacity to make informed decisions. In an attempt to address this problem, we have selected two XAI methods, LIME, and SHAP. Using the methods, we have retrieved explanations for the results of a black-box model, part of an IDS solution that performs intrusion detection on IoT devices, increasing its interpretability. In order to validate the explanations, we carried out a perturbation analysis where we tried to obtain a different classification based on the features present in the explanations. With the explanations and the perturbation analysis we were able to draw conclusions about the negative impact of particular features on the model results when present in the input data, making it easier for cybersecurity experts when analyzing the model results and it serves as an aid to the continuous improvement the model. The perturbations also serve as a comparison of performance between LIME and SHAP. To evaluate the degree of interpretability increase, and the explanations provided by each XAI method of the model and directly compare the XAI methods, we have performed a survey analysis.</t>
  </si>
  <si>
    <t>Gaspar, Diogo; Silva, Paulo; Silva, Catarina</t>
  </si>
  <si>
    <t>Gaspar, D (corresponding author), Inst Pedro Nunes, Lab Informat &amp; Sistemas LIS, P-3030199 Coimbra, Portugal.</t>
  </si>
  <si>
    <t>jgaspar@ipn.pt</t>
  </si>
  <si>
    <t>Autonomous Trust, Security and Privacy Management Framework for Internet of Things (IoT) (ARCADIAN-IoT)</t>
  </si>
  <si>
    <t>[Gaspar, Diogo; Silva, Paulo] Inst Pedro Nunes, Lab Informat &amp; Sistemas LIS, P-3030199 Coimbra, Portugal; [Silva, Paulo; Silva, Catarina] Univ Coimbra, CISUC LASI Ctr Informat &amp; Syst, Dept Informat Engn, P-3004512 Coimbra, Portugal</t>
  </si>
  <si>
    <t>Universidade de Coimbra; Universidade de Coimbra</t>
  </si>
  <si>
    <t>Explainable AI for Intrusion Detection Systems: LIME and SHAP Applicability on Multi-Layer Perceptron</t>
  </si>
  <si>
    <t>Intrusion detection; Explainable AI; Analytical models; Perturbation methods; Surveys; Internet of Things; Computer security; Machine learning; Artificial intelligence; Multilayer perceptrons; explainability; intrusion detection system; local interpretable model-agnostic explanations; machine learning; shapley additive explanations</t>
  </si>
  <si>
    <t>CHALLENGES</t>
  </si>
  <si>
    <t>Silva, Catarina/A-9763-2014; Silva, Paulo/AAH-3311-2021</t>
  </si>
  <si>
    <t>Gaspar, José Diogo/0009-0003-0654-9344; Silva, Catarina/0000-0002-5656-0061</t>
  </si>
  <si>
    <t>30164</t>
  </si>
  <si>
    <t>30175</t>
  </si>
  <si>
    <t>10.1109/ACCESS.2024.3368377</t>
  </si>
  <si>
    <t>http://dx.doi.org/10.1109/ACCESS.2024.3368377</t>
  </si>
  <si>
    <t>JV7K1</t>
  </si>
  <si>
    <t>WOS:001176000600001</t>
  </si>
  <si>
    <t>Zaher, A; Prikshat, V; Vinot, D; Malik, A; Abd El Aziz, J</t>
  </si>
  <si>
    <t>Extant research has sparingly tackled the theme of emerging role transformation of physicians in an AI-driven healthcare environment, and the requisite AI competencies for sustaining their job performance. This research draws on the Job Demands-Resources (JD-R) framework as a sensitising analytical lens to conceptualise physician role transformation as changes in core work characteristics that generate job demands, the resulting adverse work outcomes as part of the health impairment pathway, and AI-related competencies as job resources that can buffer these impacts. While JD-R also encompasses a motivational pathway, this study deliberately centres on strain-related mechanisms considering the early and evolving stage of AI implementation in healthcare. We empirically explore these relationships through a theory-informed inductive qualitative design-comprising thirty-five physician interviews across various specialties and healthcare settings across eleven countries. Based upon systematic thematic analysis, we identified, five emergent role transformation dimensions of physicians, namely, 'AI Integrator', 'Data Steward', 'Workflow Architect', 'Ethical Guardian', and 'Reflective Practitioner', and five adverse outcomes: "Emotional Strain", "Cognitive Fatigue', 'Performance Impairment', 'Role Uncertainty', and 'Social Role Conflict'. We further theorise five domain-specific AI competencies as buffering job resources, namely, 'AI Fluency', 'AI Clinical Competence', 'AI Risk Mitigation Competence', 'Responsible AI Leadership Competence', and 'AI Relational Competence'. By operationalising role transformation and competence development within the JD-R framework, this study extends job design theory into AI-intensive healthcare contexts. Practically, the identified themes offer actionable guidance for healthcare workforce development, organisational support, and capability-building to ensure that physicians are prepared to the new role and are well in an AI-driven healthcare environment.</t>
  </si>
  <si>
    <t>Zaher, Ali; Prikshat, Verma; Vinot, Didier; Malik, Ashish; Abd El Aziz, Janabelle</t>
  </si>
  <si>
    <t>Prikshat, V (corresponding author), Cent Queensland Univ, Sch Business &amp; Law, Melbourne, Australia.</t>
  </si>
  <si>
    <t>p.verma3@cqu.edu.au; ali.zaher1@univ-lyon3.fr; Didier.Vinot@univ-lyon3.fr; janabelle.abd-el-aziz@bsb-education.com; ashish.malik@unsw.edu.au</t>
  </si>
  <si>
    <t>[Zaher, Ali] Chaire Valeurs Soin, Magellan Res Grp, EA3713, Lyon, France; [Prikshat, Verma] Cent Queensland Univ, Sch Business &amp; Law, Melbourne, Australia; [Vinot, Didier] Univ Jean Moulin Lyon 3, iaelyon, Chaire Valeurs du Soin, Magellan Res Grp,EA3713, Lyon, France; [Malik, Ashish] UNSW, Sch Business, Canberra, Australia; [Abd El Aziz, Janabelle] Univ Bourgogne Europe, Burgundy Sch Business, CEREN, EA 7477, F-21000 Dijon, France</t>
  </si>
  <si>
    <t>Central Queensland University; Universite Jean Moulin Lyon 3; University of New South Wales Sydney; Universite Bourgogne Europe; Burgundy School of Business</t>
  </si>
  <si>
    <t>Physician role transformation in AI-driven healthcare: Role demands, adverse work outcomes and AI competencies as resources</t>
  </si>
  <si>
    <t>TECHNOLOGICAL FORECASTING AND SOCIAL CHANGE</t>
  </si>
  <si>
    <t>AI-driven healthcare; Physician role transformation; Adverse outcomes; AI competencies; Job-Demand Resources theory</t>
  </si>
  <si>
    <t>ARTIFICIAL-INTELLIGENCE; JOB DEMANDS; CHALLENGES; ENGAGEMENT; BURNOUT; IMPACT</t>
  </si>
  <si>
    <t>Zaher, Ali/HSG-6732-2023; Malik, Ashish/MCX-6747-2025; Vinot, Didier/AGP-7998-2022; Prikshat, Verma/O-1149-2015</t>
  </si>
  <si>
    <t>97</t>
  </si>
  <si>
    <t>0040-1625</t>
  </si>
  <si>
    <t>1873-5509</t>
  </si>
  <si>
    <t>TECHNOL FORECAST SOC</t>
  </si>
  <si>
    <t>Technol. Forecast. Soc. Chang.</t>
  </si>
  <si>
    <t>227</t>
  </si>
  <si>
    <t>124645</t>
  </si>
  <si>
    <t>10.1016/j.techfore.2026.124645</t>
  </si>
  <si>
    <t>http://dx.doi.org/10.1016/j.techfore.2026.124645</t>
  </si>
  <si>
    <t>Business; Regional &amp; Urban Planning</t>
  </si>
  <si>
    <t>Business &amp; Economics; Public Administration</t>
  </si>
  <si>
    <t>FX3ZM</t>
  </si>
  <si>
    <t>WOS:001729660500001</t>
  </si>
  <si>
    <t>Tokgoz, G; Kirboga, KK; Ozel, F; Yucepur, S; Ardahanli, I; Gurbanov, R</t>
  </si>
  <si>
    <t>This study explores the molecular alterations and disease progression in COVID-19 patients using ATR-FTIR spectroscopy combined with spectrochemical and explainable artificial intelligence (XAI) approaches. Blood serum samples from intubated patients (IC), those receiving hospital services (SC), and recovered patients (PC) were analyzed to identify potential spectrochemical serum biomarkers. Spectrochemical parameters such as lipid, protein, nucleic acid concentrations, and IgG glycosylation were quantified, revealing significant alterations indicative of disease severity. Notably, increased lipid content, altered protein concentrations, and enhanced protein phosphorylation were observed in IC patients compared to SC and PC groups. The serum AGR (Albumin/Globulin Ratio) index demonstrated a distinct shift among patient groups, suggesting its potential as a rapid biochemical marker for COVID-19 severity. Additionally, alterations in IgG glycosylation and glucose concentrations were associated with disease severity. Spectral analysis highlighted specific bands indicative of nucleic acid concentrations, with notable changes observed in IC patients. XAI techniques further elucidated the importance of various spectral features in predicting disease severity across patient categories, emphasizing the heterogeneity of COVID-19's impact. Overall, this comprehensive approach provides insights into the molecular mechanisms underlying COVID-19 pathogenesis and offers a transparent and interpretable prediction algorithm to aid decision-making and patient management.</t>
  </si>
  <si>
    <t>Tokgoz, Gorkem; Kirboga, K. Kubra; Ozel, Faik; Yucepur, Serkan; Ardahanli, Isa; Gurbanov, Rafig</t>
  </si>
  <si>
    <t>Gurbanov, R (corresponding author), Bilecik Seyh Edebali Univ, Fac Engn, Dept Bioengn, TR-11100 Bilecik, Turkiye.</t>
  </si>
  <si>
    <t>rafig.gurbanov@bilecik.edu.tr</t>
  </si>
  <si>
    <t>Scientific Research Project Fund of Bilecik Seyh Edebali University [2023-01. BSEU.25-01]</t>
  </si>
  <si>
    <t>Scientific Research Project Fund of Bilecik Seyh Edebali University</t>
  </si>
  <si>
    <t>This work is supported by the Scientific Research Project Fund of Bilecik Seyh Edebali University under project number 2023-01. BSEU.25-01 to RG.</t>
  </si>
  <si>
    <t>[Tokgoz, Gorkem; Kirboga, K. Kubra; Gurbanov, Rafig] Bilecik Seyh Edebali Univ, Fac Engn, Dept Bioengn, TR-11100 Bilecik, Turkiye; [Ozel, Faik] Bilecik Seyh Edebali Univ, Fac Med, Dept Internal Med, TR-11100 Bilecik, Turkiye; [Yucepur, Serkan] Bilecik Seyh Edebali Univ, Fac Med, Dept Anesthesiol &amp; Reanimat, TR-11100 Bilecik, Turkiye; [Ardahanli, Isa] Bilecik Seyh Edebali Univ, Fac Med, Dept Cardiol, TR-11100 Bilecik, Turkiye; [Gurbanov, Rafig] Bilecik Seyh Edebali Univ, Cent Res Lab, TR-11100 Bilecik, Turkiye</t>
  </si>
  <si>
    <t>Bilecik Seyh Edebali University; Bilecik Seyh Edebali University; Bilecik Seyh Edebali University; Bilecik Seyh Edebali University; Bilecik Seyh Edebali University</t>
  </si>
  <si>
    <t>Spectrochemical and explainable artificial intelligence approaches for molecular level identification of the status of critically ill patients with COVID-19</t>
  </si>
  <si>
    <t>TALANTA</t>
  </si>
  <si>
    <t>COVID-19; FTIR; Biomarker; Explainable artificial intelligence; Shapley explanations</t>
  </si>
  <si>
    <t>INFRARED FTIR SPECTROSCOPY; GLYCOSYLATION; SERUM</t>
  </si>
  <si>
    <t>Kırboğa, Kevser Kübra/JGM-3886-2023; Gurbanov, Rafig/AFH-3654-2022; Ardahanlı, İsa/AAK-1755-2021; Tokgöz, Görkem/MEP-2105-2025</t>
  </si>
  <si>
    <t>Kırboğa, Kevser Kübra/0000-0002-2917-8860; Ardahanlı, İsa/0000-0002-9309-803X; Tokgöz, Görkem/0009-0002-5840-5468</t>
  </si>
  <si>
    <t>0039-9140</t>
  </si>
  <si>
    <t>1873-3573</t>
  </si>
  <si>
    <t>Talanta</t>
  </si>
  <si>
    <t>NOV 1 2024</t>
  </si>
  <si>
    <t>279</t>
  </si>
  <si>
    <t>126652</t>
  </si>
  <si>
    <t>10.1016/j.talanta.2024.126652</t>
  </si>
  <si>
    <t>http://dx.doi.org/10.1016/j.talanta.2024.126652</t>
  </si>
  <si>
    <t>C4T4Y</t>
  </si>
  <si>
    <t>39106646</t>
  </si>
  <si>
    <t>WOS:001289301000001</t>
  </si>
  <si>
    <t>Varghese, A; George, B; Sherimon, V; Goud, P</t>
  </si>
  <si>
    <t>Alzheimers' disease, acknowledged for its intricate and degenerative characteristics, presents considerable challenges, particularly among the elderly population. The relentless nature of Alzheimer s', marked by the gradual deterioration of cognitive function, underscores the urgency to develop effective strategies for early diagnosis and intervention. Artificial intelligence has played a significant role in terms of disease diagnosis and treatments. However, it has got limited acceptance in the medical community due to its lack of transparency. This study aims to advance the understanding and prediction of Alzheimers' disease progression through the integration of time-aware modeling and Explainable AI techniques. It makes significant contributions by addressing two key objectives in the context of Alzheimers' disease. First, by including temporal aspects, it accurately depicts the pace at which relevant predictors change over time, thereby capturing the dynamic nature of Alzheimers' disease. Second, by giving interpretable insights into the algorithms' decision-making process, the study hopes to empower researchers and physicians. This approach not only enhances transparency but also builds trust in the models' outcomes. The ADNI dataset, comprising 2980 observations, was employed for developing a prediction model using various machine learning classifiers. Among these classifiers, the Random Forest model emerged as the top performer, exhibiting superior accuracy, a high Coefficient of Determination (R2), and an impressive F1 score. To enhance interpretability, subsequent analyses utilized LIME and SHAP techniques. By combining time-aware modeling with Explainable AI methods, we seek to unravel the dynamic relationships within the dataset, providing transparent insights into the temporal evolution of Alzheimers' disease. Thus, this paper contributes to the creation of a clinically relevant and practical model for monitoring Alzheimers' disease progression that holds the potential for a deeper understanding of the evolving nature of the disease and paving the way for personalized and timely interventions.</t>
  </si>
  <si>
    <t>Varghese, Abraham; George, Ben; Sherimon, Vinu; Goud, Prashanth</t>
  </si>
  <si>
    <t>Sherimon, V (corresponding author), Univ Technol &amp; Appl Sci, Coll Comp &amp; Informat Sci, Muscat, Oman.</t>
  </si>
  <si>
    <t>vinu.sherimon@utas.edu.om</t>
  </si>
  <si>
    <t>Research Council (TRC) of the Sultanate of Oman under the Block Funding Program [BFP/RGP/ICT/21/148]</t>
  </si>
  <si>
    <t>Research Council (TRC) of the Sultanate of Oman under the Block Funding Program (Ministry of Higher Education, Research &amp; Innovation, Oman, The Research Council Oman)</t>
  </si>
  <si>
    <t>The research leading to these results has received funding from the Research Council (TRC) of the Sultanate of Oman under the Block Funding Program BFP/RGP/ICT/21/148.</t>
  </si>
  <si>
    <t>[Varghese, Abraham; George, Ben; Sherimon, Vinu; Goud, Prashanth] Univ Technol &amp; Appl Sci, Coll Comp &amp; Informat Sci, Muscat, Oman; Univ Technol &amp; Appl Sci, Muscat, Oman; [Goud, Prashanth] Natl Univ Sci &amp; Technol, Coll Med, Muscat, Oman</t>
  </si>
  <si>
    <t>National University of Science &amp; Technology, Oman</t>
  </si>
  <si>
    <t>Transparent Insights into Alzheimer's Progression: A Time-Aware Approach with Explainable AI</t>
  </si>
  <si>
    <t>JURNAL KEJURUTERAAN</t>
  </si>
  <si>
    <t>Alzheimers' disease; explainable AI; time-aware modeling; machine learning; LIME; SHAP</t>
  </si>
  <si>
    <t>UKM PRESS</t>
  </si>
  <si>
    <t>SELANGOR</t>
  </si>
  <si>
    <t>BANGI, SELANGOR, 43600, MALAYSIA</t>
  </si>
  <si>
    <t>0128-0198</t>
  </si>
  <si>
    <t>2289-7526</t>
  </si>
  <si>
    <t>J KEJURUTER</t>
  </si>
  <si>
    <t>J. Kejuruter.</t>
  </si>
  <si>
    <t>1721</t>
  </si>
  <si>
    <t>1725</t>
  </si>
  <si>
    <t>10.17576/jkukm-2024-36(4)-34</t>
  </si>
  <si>
    <t>http://dx.doi.org/10.17576/jkukm-2024-36(4)-34</t>
  </si>
  <si>
    <t>D3W7X</t>
  </si>
  <si>
    <t>WOS:001295529700038</t>
  </si>
  <si>
    <t>Agarwal, A; Agarwal, P; Nene, MJ</t>
  </si>
  <si>
    <t>As Artificial Intelligence (AI) becomes increasingly embedded in critical telecommunications infrastructure, existing legal frameworks remain ill-equipped to address the distinct risks this development introduces. This paper proposes the AI Regulatory Readiness Index (ARRI), a reproducible instrument for doctrinally assessing the legal preparedness of national frameworks to govern AI in critical digital infrastructure, and applies it across ten jurisdictions spanning five continents. ARRI comprises seven indicators across three dimensions: substantive AI-specific obligations, operational safeguards, and governance coordination, scored on a four-point ordinal scale and aggregated to a normalised 0-100 index. Legal instruments in force as of 28 February 2026 are assessed across telecommunications, cybersecurity, data protection, and AI governance domains. The study finds that global AI regulatory readiness in telecommunications remains concentrated in the lower range, with a mean ARRI score of 34 and a median of 26.5. AI incident reporting and risk classification emerge as the most acute and near-universal gaps, with binding legal definitions of AI-specific incidents largely absent across the legal frameworks applicable to telecommunications in the jurisdictions studied. ARRI scores diverge systematically from existing composite indices. For example, Indonesia achieves ITU Global Cybersecurity Index Tier 1 status yet scores 19 under ARRI, demonstrating that cybersecurity readiness and AI regulatory readiness are legally distinct conditions that existing frameworks conflate. The ten jurisdictions are classified into five regulatory archetypes, and a normative minimum standards framework is proposed, anchoring baseline AI governance readiness at an ARRI score of 67. ARRI is designed to be sector-portable and applicable beyond telecommunications to energy, healthcare, and transport infrastructure.</t>
  </si>
  <si>
    <t>Agarwal, Avinash; Agarwal, Peeyush; Nene, Manisha J.</t>
  </si>
  <si>
    <t>Agarwal, A (corresponding author), Minist Commun, Dept Telecommun, Sanchar Bhawan, New Delhi 110001, Delhi, India.</t>
  </si>
  <si>
    <t>peeyush2478@gmail.com; avinash.70@gov.in; mjnene@diat.ac.in</t>
  </si>
  <si>
    <t>[Agarwal, Avinash] Minist Commun, Dept Telecommun, Sanchar Bhawan, New Delhi 110001, Delhi, India; [Agarwal, Peeyush] Netaji Subhas Univ Technol, New Delhi 110078, Delhi, India; [Nene, Manisha J.] Minist Def, Def Inst Adv Technol, Pune 411025, Maharashtra, India</t>
  </si>
  <si>
    <t>Netaji Subhas University of Technology; Defence Research &amp; Development Organisation (DRDO); Defence Institute of Advanced Technology (DIAT)</t>
  </si>
  <si>
    <t>The AI Regulatory Readiness Index ARRI: Assessing Cross-jurisdictional legal preparedness for AI in telecommunications</t>
  </si>
  <si>
    <t>COMPUTER LAW &amp; SECURITY REVIEW</t>
  </si>
  <si>
    <t>AI Regulatory Readiness Index (ARRI); AI governance; Critical infrastructure; Telecommunications regulation; Comparative legal analysis; AI incident reporting; Regulatory gaps</t>
  </si>
  <si>
    <t>Agarwal, Avinash/JLM-9378-2023; Nene, Manisha/AIA-8741-2022</t>
  </si>
  <si>
    <t>176</t>
  </si>
  <si>
    <t>ELSEVIER ADVANCED TECHNOLOGY</t>
  </si>
  <si>
    <t>OXFORD FULFILLMENT CENTRE THE BOULEVARD, LANGFORD LANE, KIDLINGTON, OXFORD OX5 1GB, OXON, ENGLAND</t>
  </si>
  <si>
    <t>2212-473X</t>
  </si>
  <si>
    <t>2212-4748</t>
  </si>
  <si>
    <t>COMPUT LAW SECUR REV</t>
  </si>
  <si>
    <t>Comput. Law Secur. Rev.</t>
  </si>
  <si>
    <t>106340</t>
  </si>
  <si>
    <t>10.1016/j.clsr.2026.106340</t>
  </si>
  <si>
    <t>http://dx.doi.org/10.1016/j.clsr.2026.106340</t>
  </si>
  <si>
    <t>Law</t>
  </si>
  <si>
    <t>Government &amp; Law</t>
  </si>
  <si>
    <t>HZ6EQ</t>
  </si>
  <si>
    <t>WOS:001766459600001</t>
  </si>
  <si>
    <t>Green Accepted; Green Submitted</t>
  </si>
  <si>
    <t>Khatun, MR; Islam, MS</t>
  </si>
  <si>
    <t>Photonic crystal fiber based surface plasmon resonance (PCF-SPR) biosensors are sophisticated optical sensing platforms that enable precise detection of minute refractive index (RI) variations for various applications. This study introduces a highly sensitive, low-loss, and simply designed PCF-SPR biosensor for label-free analyte detection, operating across a broad RI range of 1.31 to 1.42. In addition to conventional methods, machine learning (ML) regression techniques were integrated to predict key optical properties, while explainable AI (XAI) methods, particularly Shapley Additive exPlanations (SHAP), were used to analyze model outputs and identify the most influential design parameters. This hybrid approach significantly accelerates sensor optimization, reduces computational costs, and improves design efficiency compared to conventional methods. The proposed biosensor achieves impressive performance metrics, including a maximum wavelength sensitivity of 125,000 nm/RIU, amplitude sensitivity of -1422.34 RIU (-) (1), resolution of 8 x 10 (-) (7) RIU, and a figure of merit (FOM) of 2112.15. ML models demonstrated high predictive accuracy for effective index, confinement loss, and amplitude sensitivity. SHAP analysis revealed that wavelength, analyte refractive index, gold thickness, and pitch are the most critical factors influencing sensor performance. The combination of a simple yet efficient design and advanced ML-driven optimization makes this biosensor a promising candidate for high-precision medical diagnostics, particularly cancer cell detection, and chemical sensing applications.</t>
  </si>
  <si>
    <t>Khatun, Mst. Rokeya; Islam, Md. Saiful</t>
  </si>
  <si>
    <t>Khatun, MR (corresponding author), Bangladesh Univ Engn &amp; Technol BUET, Inst Informat &amp; Commun Technol IICT, Dhaka, Bangladesh.</t>
  </si>
  <si>
    <t>rokeya2kcse@gmail.com</t>
  </si>
  <si>
    <t>[Khatun, Mst. Rokeya; Islam, Md. Saiful] Bangladesh Univ Engn &amp; Technol BUET, Inst Informat &amp; Commun Technol IICT, Dhaka, Bangladesh</t>
  </si>
  <si>
    <t>Bangladesh University of Engineering &amp; Technology (BUET)</t>
  </si>
  <si>
    <t>Design optimization of high-sensitivity PCF-SPR biosensor using machine learning and explainable AI</t>
  </si>
  <si>
    <t>Islam, Saiful/NHP-8485-2025</t>
  </si>
  <si>
    <t>Khatun, Mst. Rokeya/0009-0004-8990-4643; Islam, Saiful/0000-0002-5246-040X</t>
  </si>
  <si>
    <t>SEP 15 2025</t>
  </si>
  <si>
    <t>e0330944</t>
  </si>
  <si>
    <t>10.1371/journal.pone.0330944</t>
  </si>
  <si>
    <t>http://dx.doi.org/10.1371/journal.pone.0330944</t>
  </si>
  <si>
    <t>7KE0E</t>
  </si>
  <si>
    <t>40953064</t>
  </si>
  <si>
    <t>WOS:001572957000011</t>
  </si>
  <si>
    <t>Frid, S; Bassegoda, O; Mahamud, MAC; Sanjuan, G; de la Hoz, MAA; Celi, L; Franco, IC; Anmella, G; López, TC; Arellano, AL; Leguízamo-Martínez, LM; Mezquita, L; Macías, PAP; Gallardo-Pizarro, A; Colom, RG; Jornet, AR; Cucó, GB; Frigola, XB</t>
  </si>
  <si>
    <t>Objectives To describe the implementation of a multidisciplinary, ethically grounded hackathon as a model to develop and evaluate generative AI (GenAI) solutions for real-world clinical challenges within a hospital setting. Methods The GenAI Health Hackathon (GAHH) organised at Hospital Cl &amp; iacute;nic de Barcelona included 13 challenges were selected via an internal call based on clinical impact, feasibility and data availability. Participants accessed anonymised real-world data through a secure cloud environment. Teams employed large language models and retrieval-augmented generation to build prototypes addressing tasks such as clinical text structuring, decision support and workflow automation. Human-in-the-loop validation, explainability and regulatory safeguards were emphasised. Results The hackathon yielded multiple AI prototypes tested on real data. Results varied: entity recognition reached 90.5% accuracy, summarisation &gt;90% clinician concordance and nutritional models achieved F1 scores of 0.75-0.93. Lower scores (F1&lt;0.52, Jaccard Index &lt;0.4) were seen in complex reasoning or multilingual tasks. Bias was explored in 10 projects, with mitigations such as stratified sampling, prompt tuning, disclaimers and expert oversight. A transferable framework was proposed to replicate responsible GenAI hackathons in clinical contexts. Discussion Interdisciplinary collaboration and real-world testing proved essential for aligning GenAI with clinical needs. The hackathon revealed challenges in bias, evaluation and integration but offered a transferable framework for responsible innovation under General Data Protection Regulation and the European Union Artificial Intelligence Act. Conclusions The GAHH demonstrated that GenAI can be safely and effectively applied in healthcare with rigorous governance and interdisciplinary collaboration, offering a scalable model for responsible AI innovation.</t>
  </si>
  <si>
    <t>Frid, Santiago; Bassegoda, Octavi; Camacho Mahamud, Maria Araceli; Sanjuan, Gemma; Armengol de la Hoz, Miguel Angel; Celi, Leo; Cano Franco, Isaac; Anmella, Gerard; Cunat Lopez, Tomas; Arellano, Ana Lucia; Leguizamo-Martinez, Lina Maria; Mezquita, Laura; Penafiel Macias, Petter Axcell; Gallardo-Pizarro, Antonio; Gonzalez Colom, Ruben; Renu Jornet, Arturo; Bracons Cuco, Guillem; Borrat Frigola, Xavier</t>
  </si>
  <si>
    <t>Frid, S (corresponding author), Hosp Clin Barcelona, Clin Informat Serv, Barcelona, Spain.; Frid, S (corresponding author), Univ Barcelona, Clin Fdn, Fac Med &amp; Ciencies Salut, Barcelona, Spain.; Frid, S (corresponding author), Inst Invest Biomed August Pi i Sunyer, Fdn Recerca Clin Barcelona, Multimodal Imaging Biomarkers, Barcelona, Spain.</t>
  </si>
  <si>
    <t>leoanthonyceli@yahoo.com; lmezquita@clinic.cat; rgonzalezc@recerca.clinic.cat; lmleguizamo@clinic.cat; guillembracons.95@gmail.com; frid@clinic.cat; mcamachom@clinic.cat; bassegoda@clinic.cat; sanjuan@clinic.cat; xborrat@clinic.cat; iscano@recerca.clinic.cat; mangel.armengol@juntadeandalucia.es; cunat@clinic.cat; alarellano@clinic.cat; papenafiel@clinic.cat; arenu@clinic.cat; anmella@clinic.cat; agallardo@clinic.cat</t>
  </si>
  <si>
    <t>[Frid, Santiago; Penafiel Macias, Petter Axcell; Bracons Cuco, Guillem] Hosp Clin Barcelona, Clin Informat Serv, Barcelona, Spain; [Frid, Santiago] Univ Barcelona, Clin Fdn, Fac Med &amp; Ciencies Salut, Barcelona, Spain; [Frid, Santiago] Inst Invest Biomed August Pi i Sunyer, Fdn Recerca Clin Barcelona, Multimodal Imaging Biomarkers, Barcelona, Spain; [Bassegoda, Octavi] Hosp Clin Barcelona, Liver Unit, Liver Intens Care, Barcelona, Spain; [Camacho Mahamud, Maria Araceli] Hosp Clin Barcelona, Dept Strategy &amp; Planning, Barcelona, Spain; [Sanjuan, Gemma] Hosp Clin Barcelona, IT Dept, Barcelona, Spain; [Armengol de la Hoz, Miguel Angel] Reg Govt Andalusia Minist Hlth &amp; Consumer Affairs, Big Data Dept, PMC FPS, Seville, Spain; [Celi, Leo] MIT, Div Hlth Sci &amp; Tech, Boston, MA USA; [Cano Franco, Isaac; Arellano, Ana Lucia; Leguizamo-Martinez, Lina Maria; Gonzalez Colom, Ruben] Inst Invest Biomed August Pi i Sunyer, Fdn Recerca Clin Barcelona, Barcelona, Spain; [Anmella, Gerard] Hosp Clin Barcelona, Dept Psychiat &amp; Psychol, Barcelona, Spain; [Anmella, Gerard] IDIBAPS, Bipolar &amp; Depress Disorders Unit, Digital Innovat Grp, Barcelona, Spain; [Cunat Lopez, Tomas] Hosp Clin Barcelona, Anesthesiol Serv, Barcelona, Spain; [Arellano, Ana Lucia; Leguizamo-Martinez, Lina Maria] Hosp Clin Barcelona, Dept Clin Pharmacol, Barcelona, Spain; [Mezquita, Laura] Hosp Clin Barcelona, Med Oncol Serv, Barcelona, Spain; [Gallardo-Pizarro, Antonio] Hosp Clin Barcelona, Infect Dis Serv, Barcelona, Spain; [Renu Jornet, Arturo] Hosp Clin Barcelona, Stroke Unit, Barcelona, Spain; [Bracons Cuco, Guillem] Univ Politecn Cataluna, Fac Math &amp; Stat, Barcelona, Spain; [Borrat Frigola, Xavier] Hosp Clin Barcelona, Clin Informat, Barcelona, Spain; [Borrat Frigola, Xavier] Univ Barcelona, Clin Fdn Dept, Barcelona, Spain</t>
  </si>
  <si>
    <t>University of Barcelona; Hospital Clinic de Barcelona; University of Barcelona; University of Barcelona; Hospital Clinic de Barcelona; IDIBAPS; University of Barcelona; Hospital Clinic de Barcelona; University of Barcelona; Hospital Clinic de Barcelona; University of Barcelona; Hospital Clinic de Barcelona; Massachusetts Institute of Technology (MIT); University of Barcelona; Hospital Clinic de Barcelona; IDIBAPS; University of Barcelona; Hospital Clinic de Barcelona; University of Barcelona; Hospital Clinic de Barcelona; IDIBAPS; University of Barcelona; Hospital Clinic de Barcelona; University of Barcelona; Hospital Clinic de Barcelona; University of Barcelona; Hospital Clinic de Barcelona; University of Barcelona; Hospital Clinic de Barcelona; University of Barcelona; Hospital Clinic de Barcelona; Universitat Politecnica de Catalunya; University of Barcelona; Hospital Clinic de Barcelona; University of Barcelona</t>
  </si>
  <si>
    <t>Bridging generative AI and healthcare practice: insights from the GenAI Health Hackathon at Hospital Clínic de Barcelona</t>
  </si>
  <si>
    <t>BMJ HEALTH &amp; CARE INFORMATICS</t>
  </si>
  <si>
    <t>Large Language Models; Artificial intelligence</t>
  </si>
  <si>
    <t>Gallardo-Pizarro, Antonio/PHO-2369-2026; Sanjuan, Gemma/AHC-6696-2022; Anmella, Gerard/AAB-7311-2021; Arellano, Ana Lucía/H-9422-2017; MEZQUITA, LAURA/AAH-8859-2020; Frid, Santiago/JVM-7864-2024</t>
  </si>
  <si>
    <t>Gallardo-Pizarro, Antonio/0000-0003-1517-4073; Celi, Leo Anthony/0000-0001-6712-6626; Camacho-Mahamud, Araceli/0009-0008-1205-3288; Peñafiel Macías, Petter Axcell/0009-0006-9917-9726; Anmella, Gerard/0000-0002-6798-4054; Bassegoda, Octavi/0000-0002-6036-6026; Arellano, Ana Lucía/0000-0001-8601-3504; Frid, Santiago/0000-0001-8400-5770; Armengol de la Hoz, Miguel Ángel/0000-0002-7012-2973</t>
  </si>
  <si>
    <t>2632-1009</t>
  </si>
  <si>
    <t>BMJ HEALTH CARE INFO</t>
  </si>
  <si>
    <t>BMJ Health Care Inform.</t>
  </si>
  <si>
    <t>e101640</t>
  </si>
  <si>
    <t>10.1136/bmjhci-2025-101640</t>
  </si>
  <si>
    <t>http://dx.doi.org/10.1136/bmjhci-2025-101640</t>
  </si>
  <si>
    <t>8SM7F</t>
  </si>
  <si>
    <t>41093629</t>
  </si>
  <si>
    <t>WOS:001596278700001</t>
  </si>
  <si>
    <t>Liebherr, M; Gösswein, E; Kannen, C; Babiker, A; Al-Shakhsi, S; Staab, V; Li, B; Ali, R; Montag, C</t>
  </si>
  <si>
    <t>Explainable AI (XAI) is discussed as an important feature of AI systems that is required for professional, ethical and commercial reasons. XAI is particularly needed in AI systems that remain relatively closed, i.e. black box, on how to make decisions whether for complexity or commercial sensitivity. Still, many factors play an important role on whether people perceive a need for XAI. The personal relevance of the AI system might play a role, but also individual differences in personality traits or cognitive functions. In order to test these assumptions, 215 participants (129 female) underwent an online experiment testing their objective working memory capacity and completed the Intellect facet of the Big Five Personality traits (as a proxy for self-assessed cognitive capacity). Further, all participants were presented three AI systems scenarios of relatively different degrees of (personal) relevance and, hence, personal investment: skin cancer detection (i), the personalization of social media feeds (ii), and the amount to pay for a car insurance (iii). We observed that people reported a higher need for XAI in scenarios where they were more personally invested (health, payment for insurance &gt; social media); for signficant differences between these scenarios see the result section. Interestingly, working memory capacity was not associated with XAI needs across the three domains, but self-reported Intellect showed a mild positive association with need for an AI explanation in the context of the insurance story. The present study represents a first attempt to investigate objective working memory capacity in the context of need for XAI. Beyond that, the study indicates that personal investment is crucial for determining the need for XAI.</t>
  </si>
  <si>
    <t>Liebherr, M.; Gosswein, E.; Kannen, C.; Babiker, A.; Al-Shakhsi, S.; Staab, V.; Li, B. j.; Ali, R.; Montag, C.</t>
  </si>
  <si>
    <t>Liebherr, M (corresponding author), Univ Duisburg Essen, Dept Gen Psychol, Duisburg, Germany.</t>
  </si>
  <si>
    <t>Magnus.liebherr@uni-due.de; arbabiker@hbku.edu.qa; saal32183@hbku.edu.qa; benjyli@ntu.edu.sg; eva.goesswein@uni-due.de; verena.staab@uni-due.de; raali2@hbku.edu.qa</t>
  </si>
  <si>
    <t>[Liebherr, M.; Gosswein, E.; Staab, V.] Univ Duisburg Essen, Dept Gen Psychol, Duisburg, Germany; [Liebherr, M.; Gosswein, E.] Univ Duisburg Essen, Dept Mechatron, Duisburg, Germany; [Kannen, C.; Montag, C.] Ulm Univ, Inst Psychol &amp; Educ, Dept Mol Psychol, Ulm, Germany; [Babiker, A.; Al-Shakhsi, S.; Ali, R.] Hamad Bin Khalifa Univ, Coll Sci &amp; Engn, Doha, Qatar; [Li, B. j.] Nanyang Technol Univ, Wee Kim Wee Sch Commun &amp; Informat, Nanyang, Singapore</t>
  </si>
  <si>
    <t>University of Duisburg Essen; University of Duisburg Essen; Ulm University; Qatar Foundation (QF); Hamad Bin Khalifa University-Qatar; Nanyang Technological University</t>
  </si>
  <si>
    <t>Working memory and the need for explainable AI-Scenarios from healthcare, social media and insurance</t>
  </si>
  <si>
    <t>Cognition; Working memory; XAI; Intellect; Personality; Context</t>
  </si>
  <si>
    <t>ARTIFICIAL-INTELLIGENCE; INDIVIDUAL-DIFFERENCES; NEUROSCIENCE; PERFORMANCE; ALGORITHMS; CAPACITY</t>
  </si>
  <si>
    <t>Gößwein, Eva/MTG-2066-2025</t>
  </si>
  <si>
    <t>Gößwein, Eva/0000-0002-6820-0856</t>
  </si>
  <si>
    <t>JAN 30 2025</t>
  </si>
  <si>
    <t>e41871</t>
  </si>
  <si>
    <t>10.1016/j.heliyon.2025.e41871</t>
  </si>
  <si>
    <t>http://dx.doi.org/10.1016/j.heliyon.2025.e41871</t>
  </si>
  <si>
    <t>IK4RM</t>
  </si>
  <si>
    <t>39925355</t>
  </si>
  <si>
    <t>WOS:001773815500001</t>
  </si>
  <si>
    <t>Strauss, I; Moure, I; O'Reilly, T; Rosenblat, S</t>
  </si>
  <si>
    <t>Drawing on 1,178 AI risk and reliability papers from 9,439 generative AI papers (January 2020 through March 2025), we compare research outputs from the most influential research institutions: frontier AI companies (Anthropic, Google DeepMind, Meta, Microsoft, and OpenAI) and leading AI universities (CMU, MIT, NYU, Stanford, UC Berkeley, and University of Washington). We find that Frontier Corporate AI research increasingly concentrates on pre-deployment areas - model alignment and testing &amp; evaluation - while attention to deployment-stage issues, such as model bias, has waned as commercial imperatives and existential risk concerns have taken precedence. We identify significant research gaps in high-risk deployment domains, including healthcare applications, commercial and financial contexts, misinformation, persuasive and addictive features, hallucinations, and copyright usage in training and inference. Without concerted efforts to enhance external observability into AI's deployment, the growing concentration of AI research with frontier corporations could deepen knowledge deficits in these critical deployment areas. We recommend measures to expand external researcher access to deployment data and improve systematic observability of AI systems' in-market behaviors.</t>
  </si>
  <si>
    <t>Strauss, Ilan; Moure, Isobel; O'Reilly, Tim; Rosenblat, Sruly</t>
  </si>
  <si>
    <t>Strauss, I (corresponding author), AI Disclosures Project, Code Sci &amp; Soc, New York, NY 10004 USA.; Strauss, I (corresponding author), UCL, Inst Innovat &amp; Publ Purpose, London WC1B 5BP, England.; Strauss, I (corresponding author), Univ Johannesburg, SARChI ID, ZA-2006 Johannesburg, South Africa.</t>
  </si>
  <si>
    <t>ilan@aidisclosures.org</t>
  </si>
  <si>
    <t>Alfred P. Sloan Foundation; Omidyar Network; Patrick J. McGovern Foundation</t>
  </si>
  <si>
    <t>Alfred P. Sloan Foundation (Alfred P. Sloan Foundation); Omidyar Network; Patrick J. McGovern Foundation</t>
  </si>
  <si>
    <t>This work was supported by the Alfred P. Sloan Foundation, the Omidyar Network, and the Patrick J. McGovern Foundation.</t>
  </si>
  <si>
    <t>[Strauss, Ilan; Moure, Isobel; O'Reilly, Tim; Rosenblat, Sruly] AI Disclosures Project, Code Sci &amp; Soc, New York, NY 10004 USA; [Strauss, Ilan] UCL, Inst Innovat &amp; Publ Purpose, London WC1B 5BP, England; [Strauss, Ilan] Univ Johannesburg, SARChI ID, ZA-2006 Johannesburg, South Africa; [O'Reilly, Tim] OReilly Media, Sebastopol, CA 95472 USA</t>
  </si>
  <si>
    <t>University of London; University College London; University of Johannesburg</t>
  </si>
  <si>
    <t>Real-World Gaps in AI Governance Research</t>
  </si>
  <si>
    <t>Modeling; Artificial intelligence; Safety; Educational institutions; Testing; Generative AI; Internet; Search engines; Context; Labeling; AI governance; AI safety; reliability; generative AI; deployment; policy</t>
  </si>
  <si>
    <t>104060</t>
  </si>
  <si>
    <t>104076</t>
  </si>
  <si>
    <t>10.1109/ACCESS.2026.3706255</t>
  </si>
  <si>
    <t>http://dx.doi.org/10.1109/ACCESS.2026.3706255</t>
  </si>
  <si>
    <t>LC0TJ</t>
  </si>
  <si>
    <t>WOS:001821036400017</t>
  </si>
  <si>
    <t>Stanimirovic, AS; Nikolic, MS; Jovic, JJ; Ristic, DII; Corac, AM; Stoimenov, LV; Peric, ZH</t>
  </si>
  <si>
    <t>research focusses on the potential application of artificial intelligence (AI) techniques in the analysis of behavioural addictions, specifically addressing problematic Internet use among adolescents. Using tabular data from a representative sample from Serbian high schools, the authors investigated the feasibility of employing eXplainable AI (XAI) techniques, placing special emphasis on feature selection and feature importance methods. The results indicate a successful application to tabular data, with global interpretations that effectively describe predictive models. These findings align with previous research, which confirms both relevance and accuracy. Interpretations of individual predictions reveal the impact of features, especially in cases of misclassified instances, underscoring the significance of XAI techniques in error analysis and resolution. Although AI's influence on the medical domain is substantial, the current state of XAI techniques, a crucial role in problem identification and the validation of AI models.</t>
  </si>
  <si>
    <t>Stanimirovic, Aleksandar S.; Nikolic, Mina S.; Jovic, Jelena J.; Ristic, Dragana I. Ignjatovic; Corac, Aleksandar M.; Stoimenov, Leonid V.; Peric, Zoran H.</t>
  </si>
  <si>
    <t>Stanimirovic, AS (corresponding author), Univ Nis, Fac Elect Engn, Aleksandra Medvedeva 14, Nish 18000, Serbia.</t>
  </si>
  <si>
    <t>aleksandar.stanimirovic@elfak.ni.ac.rs; jelena.jovic@med.pr.ac.rs; mina.nikolic@elfak.ni.ac.rs; zoran.peric@elfak.ni.ac.rs; aleksandar.corac@med.pr.ac.rs; draganaristic4@medf.kg.ac.rs; leonid.stoimenov@elfak.ni.ac.rs</t>
  </si>
  <si>
    <t>[Stanimirovic, Aleksandar S.; Nikolic, Mina S.; Stoimenov, Leonid V.; Peric, Zoran H.] Univ Nis, Fac Elect Engn, Aleksandra Medvedeva 14, Nish 18000, Serbia; [Jovic, Jelena J.; Corac, Aleksandar M.] Univ Pristina Kosovska Mitrov, Fac Med, Kosovska Mitrovica, Serbia; [Ristic, Dragana I. Ignjatovic] Univ Kragujevac, Fac Med Sci, Kragujevac, Serbia; [Ristic, Dragana I. Ignjatovic] Clin Ctr Kragujevac, Psychiat Clin, Kragujevac, Serbia</t>
  </si>
  <si>
    <t>University of Nis; Universiteti i Prishtines; University of Kragujevac; University of Kragujevac</t>
  </si>
  <si>
    <t>Applying eXplainable AI Techniques to Interpret Machine Learning Predictive Models for the Analysis of Problematic Internet Use among Adolescents</t>
  </si>
  <si>
    <t>ELEKTRONIKA IR ELEKTROTECHNIKA</t>
  </si>
  <si>
    <t>Artificial intelligence; Machine learning; Medical services; Addiction</t>
  </si>
  <si>
    <t>TEMPS-A; TEMPERAMENT</t>
  </si>
  <si>
    <t>Stanimirović, Aleksandar/AIB-9324-2022; Nikolic, Mina/LFL-3694-2024; Stoimenov, Leonid/A-6389-2010</t>
  </si>
  <si>
    <t>Ignjatovic Ristic, agana/0000-0002-2814-3105; Stanimirović, Aleksandar/0000-0001-8772-4930; Nikolic, Mina/0009-0009-9356-5935; Peric, Zoran/0000-0002-8267-9541; Corac, Aleksandar/0000-0002-1689-8076</t>
  </si>
  <si>
    <t>1392-1215</t>
  </si>
  <si>
    <t>ELEKTRON ELEKTROTECH</t>
  </si>
  <si>
    <t>Elektron. Elektrotech.</t>
  </si>
  <si>
    <t>10.5755/j02.eie.36316</t>
  </si>
  <si>
    <t>http://dx.doi.org/10.5755/j02.eie.36316</t>
  </si>
  <si>
    <t>C0O0O</t>
  </si>
  <si>
    <t>WOS:001286429100007</t>
  </si>
  <si>
    <t>Kelly, A</t>
  </si>
  <si>
    <t>Artificial intelligence (AI) promises efficiency and equity in health care. However, adoption remains fragmented due to weak foundations of trust. This Viewpoint highlights the gap between intrinsic trust, based on interpretability, and extrinsic trust, based on functional validation. We propose a contractual framework between AI systems and users defined by 3 promises: reliability, scope and equity, and shift and uncertainty. Illustrated through a vignette, we show how health systems can operationalize these promises through structured evidence and governance, translating trustworthy AI into accountable clinical deployment.</t>
  </si>
  <si>
    <t>Kelly, Anthony</t>
  </si>
  <si>
    <t>Kelly, A (corresponding author), Univ Limerick, Dept Elect &amp; Comp Engn, Limerick V94T9PX, Ireland.</t>
  </si>
  <si>
    <t>anthony.kelly@ul.ie</t>
  </si>
  <si>
    <t>[Kelly, Anthony] Univ Limerick, Dept Elect &amp; Comp Engn, Limerick V94T9PX, Ireland; [Kelly, Anthony] Univ Limerick, Hlth Res Inst, Limerick, Ireland</t>
  </si>
  <si>
    <t>University of Limerick; University of Limerick</t>
  </si>
  <si>
    <t>Extrinsic Trust as a Contractual Framework for Accountable AI in Health Care: Viewpoint</t>
  </si>
  <si>
    <t>artificial intelligence; AI; explainable artificial intelligence; explainable AI; XAI; trust; machine learning; ML; mental health; decision support system; intrinsic trust</t>
  </si>
  <si>
    <t>e83903</t>
  </si>
  <si>
    <t>10.2196/83903</t>
  </si>
  <si>
    <t>http://dx.doi.org/10.2196/83903</t>
  </si>
  <si>
    <t>EY3RD</t>
  </si>
  <si>
    <t>41813238</t>
  </si>
  <si>
    <t>WOS:001712668000003</t>
  </si>
  <si>
    <t>Kilintzis, V; Kalokyri, V; Kondylakis, H; Joshi, S; Nikiforaki, K; Díaz, O; Lekadir, K; Tsiknakis, M; Marias, K</t>
  </si>
  <si>
    <t>Background Developing trustworthy artificial intelligence (AI) models for clinical applications requires access to clinical and imaging data cohorts. Reusing of publicly available datasets has the potential to fill this gap. Specifically in the domain of breast cancer, a large archive of publicly accessible medical images along with the corresponding clinical data is available at The Cancer Imaging Archive (TCIA). However, existing datasets cannot be directly used as they are heterogeneous and cannot be effectively filtered for selecting specific image types required to develop AI models. This work focuses on the development of a homogenized dataset in the domain of breast cancer including clinical and imaging data.Methods Five datasets were acquired from the TCIA and were harmonized. For the clinical data harmonization, a common data model was developed and a repeatable, documented "extract-transform-load" process was defined and executed for their homogenization. Further, Digital Imaging and COmmunications in Medicine (DICOM) information was extracted from magnetic resonance imaging (MRI) data and made accessible and searchable.Results The resulting harmonized dataset includes information about 2,035 subjects with breast cancer. Further, a platform named RV-Cherry-Picker enables search over both the clinical and diagnostic imaging datasets, providing unified access, facilitating the downloading of all study imaging that correspond to specific series' characteristics (e.g., dynamic contrast-enhanced series), and reducing the burden of acquiring the appropriate set of images for the respective AI model scenario.Conclusions RV-Cherry-Picker provides access to the largest, publicly available, homogenized, imaging/clinical dataset for breast cancer to develop AI models on top.Relevance statement We present a solution for creating merged public datasets supporting AI model development, using as an example the breast cancer domain and magnetic resonance imaging images.Key points center dot The proposed platform allows unified access to the largest, homogenized public imaging dataset for breast cancer. center dot A methodology for the semantically enriched homogenization of public clinical data is presented. center dot The platform is able to make a detailed selection of breast MRI data for the development of AI models.Key points center dot The proposed platform allows unified access to the largest, homogenized public imaging dataset for breast cancer. center dot A methodology for the semantically enriched homogenization of public clinical data is presented. center dot The platform is able to make a detailed selection of breast MRI data for the development of AI models.Key points center dot The proposed platform allows unified access to the largest, homogenized public imaging dataset for breast cancer. center dot A methodology for the semantically enriched homogenization of public clinical data is presented. center dot The platform is able to make a detailed selection of breast MRI data for the development of AI models.</t>
  </si>
  <si>
    <t>Kilintzis, Vassilis; Kalokyri, Varvara; Kondylakis, Haridimos; Joshi, Smriti; Nikiforaki, Katerina; Diaz, Oliver; Lekadir, Karim; Tsiknakis, Manolis; Marias, Kostas</t>
  </si>
  <si>
    <t>Kilintzis, V (corresponding author), Fdn Res &amp; Technol Hellas FORTH, Inst Comp Sci ICS, Iraklion, Crete, Greece.</t>
  </si>
  <si>
    <t>billyk@ics.forth.gr</t>
  </si>
  <si>
    <t>HORIZON EUROPE Framework Programme</t>
  </si>
  <si>
    <t>[Kilintzis, Vassilis; Kalokyri, Varvara; Kondylakis, Haridimos; Nikiforaki, Katerina; Tsiknakis, Manolis; Marias, Kostas] Fdn Res &amp; Technol Hellas FORTH, Inst Comp Sci ICS, Iraklion, Crete, Greece; [Joshi, Smriti; Diaz, Oliver; Lekadir, Karim] Univ Barcelona, Barcelona Artificial Intelligence Med Lab, Fac Matemat &amp; Informat, Barcelona, Spain</t>
  </si>
  <si>
    <t>University of Barcelona</t>
  </si>
  <si>
    <t>Public data homogenization for AI model development in breast cancer</t>
  </si>
  <si>
    <t>EUROPEAN RADIOLOGY EXPERIMENTAL</t>
  </si>
  <si>
    <t>Artificial intelligence, Breast neoplasms, Magnetic resonance imaging, Public datasets, Software</t>
  </si>
  <si>
    <t>COMMON DATA MODEL</t>
  </si>
  <si>
    <t>Tsiknakis, Manolis/Z-2114-2019; Marias, Kostas/AAM-2330-2021; Kondylakis, Haridimos/AFL-2798-2022</t>
  </si>
  <si>
    <t>Kilintzis, Vassilis/0000-0002-9783-6757; Rao, Arjun/0009-0005-8378-3876; Tsiknakis, Manolis/0000-0001-8454-1450; Kondylakis, Haridimos/0000-0002-9917-4486</t>
  </si>
  <si>
    <t>SPRINGER WIEN</t>
  </si>
  <si>
    <t>Vienna</t>
  </si>
  <si>
    <t>Prinz-Eugen-Strasse 8-10, A-1040 Vienna, AUSTRIA</t>
  </si>
  <si>
    <t>2509-9280</t>
  </si>
  <si>
    <t>EUR RADIOL EXP</t>
  </si>
  <si>
    <t>Eur. Radiol. Exp.</t>
  </si>
  <si>
    <t>APR 9 2024</t>
  </si>
  <si>
    <t>10.1186/s41747-024-00442-4</t>
  </si>
  <si>
    <t>http://dx.doi.org/10.1186/s41747-024-00442-4</t>
  </si>
  <si>
    <t>ND9P5</t>
  </si>
  <si>
    <t>38589742</t>
  </si>
  <si>
    <t>WOS:001198636600001</t>
  </si>
  <si>
    <t>Church, KW; Yue, R</t>
  </si>
  <si>
    <t>Large language models (LLMs) have achieved amazing successes. They have done well on standardized tests in medicine and the law. That said, the bar has been raised so high that it could take decades to make good on expectations. To buy time for this long-term research program, the field needs to identify some good short-term applications for smooth-talking machines that are more fluent than trustworthy.</t>
  </si>
  <si>
    <t>Church, Kenneth Ward; Yue, Richard</t>
  </si>
  <si>
    <t>Science Citation Index Expanded (SCI-EXPANDED); Social Science Citation Index (SSCI); Arts &amp; Humanities Citation Index (A&amp;HCI)</t>
  </si>
  <si>
    <t>Church, KW (corresponding author), Northeastern Univ, Inst Experiential AI, San Jose, CA 95113 USA.</t>
  </si>
  <si>
    <t>k.church@northeastern.edu</t>
  </si>
  <si>
    <t>[Church, Kenneth Ward; Yue, Richard] Northeastern Univ, Inst Experiential AI, San Jose, CA 95113 USA</t>
  </si>
  <si>
    <t>Emerging trends: Smooth-talking machines</t>
  </si>
  <si>
    <t>NATURAL LANGUAGE ENGINEERING</t>
  </si>
  <si>
    <t>Large language models; Hallucinations; ChatGPT; Responsible AI</t>
  </si>
  <si>
    <t>COMPUTER</t>
  </si>
  <si>
    <t>Church, Kenneth/GYR-1624-2022</t>
  </si>
  <si>
    <t>Church, Kenneth/0000-0001-8378-6069; Yue, Richard/0009-0009-4135-5629</t>
  </si>
  <si>
    <t>CAMBRIDGE UNIV PRESS</t>
  </si>
  <si>
    <t>EDINBURGH BLDG, SHAFTESBURY RD, CB2 8RU CAMBRIDGE, ENGLAND</t>
  </si>
  <si>
    <t>1351-3249</t>
  </si>
  <si>
    <t>1469-8110</t>
  </si>
  <si>
    <t>NAT LANG ENG</t>
  </si>
  <si>
    <t>Nat. Lang. Eng.</t>
  </si>
  <si>
    <t>1402</t>
  </si>
  <si>
    <t>1410</t>
  </si>
  <si>
    <t>10.1017/S1351324923000463</t>
  </si>
  <si>
    <t>http://dx.doi.org/10.1017/S1351324923000463</t>
  </si>
  <si>
    <t>Computer Science, Artificial Intelligence; Linguistics; Language &amp; Linguistics</t>
  </si>
  <si>
    <t>Computer Science; Linguistics</t>
  </si>
  <si>
    <t>R2BC5</t>
  </si>
  <si>
    <t>WOS:001062434100008</t>
  </si>
  <si>
    <t>Pinar, A; Arslan, AK; Çolak, C</t>
  </si>
  <si>
    <t>Background/Objectives: Aspirin-based colorectal cancer (CRC) chemoprevention remains a promising yet individually variable strategy. As a proof-of-concept toward future personalized chemoprevention frameworks, we aimed to develop and validate machine learning (ML) models capable of distinguishing aspirin-exposed from placebo-exposed participants based on their plasma metabolomic signatures, thereby characterizing the metabolomic footprint of aspirin administration rather than directly predicting clinical chemoprevention benefit. Methods: Training was performed on the Aspirin/Folate Polyp Prevention Study (AFPPS) dataset ST001422 (n = 300) and external validation on ST001423 (n = 223). After multi-method consensus feature selection, reducing 19,433 features to 300, sixteen ML and deep learning (DL) architectures were benchmarked under nested cross-validation. Model interpretability was assessed using SHapley Additive exPlanations (SHAP) and Local Interpretable Model-agnostic Explanations (LIME) analyses. Results: GBM_sklearn achieved the highest cross-validation Precision-Recall AUC (PR-AUC) of 0.945, while ensemble stacking (Stack_LGB) offered superior calibration (Brier = 0.117). DL models consistently underperformed traditional ML (PR-AUC: 0.673-0.843 vs. 0.881-0.945), attributable to limited sample size. SHAP and LIME analyses independently identified m/z 196.0604 (C18, RT 89.4 s) as the top metabolic biomarker, consistent with aspirin-induced glycerophospholipid pathway alterations. External validation performance degraded substantially (PR-AUC: 0.945 -&gt; 0.711), attributable to inter-study analytical batch effects. Conclusions: This framework demonstrates the feasibility of metabolomics-driven personalized chemoprevention. Although the high feature-to-sample ratio (300:300) and the substantial drop between internal and external performance indicate that the cross-validation estimates likely include dataset-specific noise in addition to the true biological signal. While highlighting batch harmonization and aggressive feature reduction (e.g., LASSO/RFE-based selection of 10-20 high-impact metabolites) as a prerequisite for clinical translation.</t>
  </si>
  <si>
    <t>Pinar, Abdulvahap; Arslan, Ahmet Kadir; Colak, Cemil</t>
  </si>
  <si>
    <t>Arslan, AK; Çolak, C (corresponding author), Inonu Univ, Fac Med, Dept Biostat &amp; Med Informat, TR-44280 Malatya, Turkiye.</t>
  </si>
  <si>
    <t>cemil.colak@inonu.edu.tr; apinar@adiyaman.edu.tr; arslan.ahmet@inonu.edu.tr</t>
  </si>
  <si>
    <t>Idot;nn University [4931]</t>
  </si>
  <si>
    <t>Idot;nn University</t>
  </si>
  <si>
    <t>This study was supported by the Scientific Research Projects Coordination Unit (BAP) at &amp; Idot;nonu University under Project No. 4931.</t>
  </si>
  <si>
    <t>[Pinar, Abdulvahap; Arslan, Ahmet Kadir; Colak, Cemil] Inonu Univ, Fac Med, Dept Biostat &amp; Med Informat, TR-44280 Malatya, Turkiye; [Pinar, Abdulvahap] Adiyaman Univ, Rectorate Unit, TR-02040 Adiyaman, Turkiye</t>
  </si>
  <si>
    <t>Inonu University; Adiyaman University</t>
  </si>
  <si>
    <t>ML-BUSMetab: Machine Learning-Based Metabolomic Profiling for Predicting Aspirin Response in Colorectal Cancer Chemoprevention: A Multi-Model Explainable Artificial Intelligence Approach with External Validation</t>
  </si>
  <si>
    <t>metabolomics; colorectal cancer chemoprevention; explainable artificial intelligence; gradient boosting; batch effect correction</t>
  </si>
  <si>
    <t>ÇOLAK, CEMİL/ABI-3261-2020; ARSLAN, Ahmet/AAA-2409-2020; PINAR, Abdulvahap/IYT-1191-2023</t>
  </si>
  <si>
    <t>Pınar, Abdulvahap/0000-0002-3662-2579</t>
  </si>
  <si>
    <t>JUN 1 2026</t>
  </si>
  <si>
    <t>4287</t>
  </si>
  <si>
    <t>10.3390/jcm15114287</t>
  </si>
  <si>
    <t>http://dx.doi.org/10.3390/jcm15114287</t>
  </si>
  <si>
    <t>JI3YI</t>
  </si>
  <si>
    <t>42279148</t>
  </si>
  <si>
    <t>WOS:001790056200001</t>
  </si>
  <si>
    <t>Badhon, SMSI; Khushbu, SA; Shaqib, SM; Ali, MA; Anik, AH; Hossain, KSMT</t>
  </si>
  <si>
    <t>Objective This research evaluates the feasibility of addressing computer vision problems with limited resources, particularly in the context of medical data, where patient privacy concerns restrict data availability. The study focuses on diagnosing skin diseases using five distinct transfer learning models based on convolutional neural networks.Methods Two versions of the dataset were created, one imbalanced (4092 samples) and the other balanced (5182 samples), using simple data augmentation techniques. Preprocessing techniques were employed to enhance the quality and utility of the data, including image resizing, noise removal, and blur techniques. The performance of each model was assessed using fresh data after preprocessing. We have utilized VGG19, VGG16, GoogleNet, XceptionNet, and Inception for comparing data training performance, which indicates that our preprocessing refined the image quality and texture. Therefore, the accuracy increased after augmentation, and low output reflects that the data quality before augmentation was poor.Results According to the research findings, the VGG-19 model achieved an accuracy of 95.00% on the imbalanced dataset. After applying augmentation on the balanced data, the best-performing model was VGG-16-Aug with an accuracy of 97.07%. These results suggest that low-resource approaches, coupled with preprocessing techniques, can effectively identify skin diseases, particularly when utilizing the VGG-16-Aug model with a balanced dataset.Conclusion The study addresses a range of skin disorders, including acne, vitiligo, hyperpigmentation, nail psoriasis, and SJS-TEN, focusing on aspects that remain underexplored in previous research. The findings highlight the potential of simple data augmentation techniques; moreover, explainable AI: Grad-CAM interpreted the model outcome by showing image contours visually and identifying uncommon skin conditions and overcoming the data scarcity challenge. The implications of these research findings are significant for the development of machine learning-based diagnostic systems in the medical field. Further investigation is necessary to explore the generalizability of these findings to other medical datasets.</t>
  </si>
  <si>
    <t>Badhon, S. M. Saiful Islam; Khushbu, Sharun Akter; Shaqib, S. M.; Ali, Md Aiyub; Anik, Asif Hossain; Hossain, K. S. M. Tozammel</t>
  </si>
  <si>
    <t>Shaqib, SM (corresponding author), Daffodil Int Univ, Dept Comp Sci &amp; Engn, Dhaka, Bangladesh.</t>
  </si>
  <si>
    <t>shaqib15-4614@diu.edu.bd</t>
  </si>
  <si>
    <t>Daffodil International University; University of North Texas</t>
  </si>
  <si>
    <t>The authors disclosed receipt of the following financial support for the research, authorship, and/or publication of this article: This research was made possible through the generous funding support from Daffodil International University and University of North Texas.</t>
  </si>
  <si>
    <t>[Badhon, S. M. Saiful Islam; Hossain, K. S. M. Tozammel] Univ North Texas, Dept Data Sci, Denton, TX USA; [Khushbu, Sharun Akter; Shaqib, S. M.; Ali, Md Aiyub] Daffodil Int Univ, Dept Comp Sci &amp; Engn, Dhaka, Bangladesh; [Anik, Asif Hossain] Jagannath Univ, Dept Pharm, Dhaka, Bangladesh</t>
  </si>
  <si>
    <t>University of North Texas System; University of North Texas Denton; Daffodil International University</t>
  </si>
  <si>
    <t>Explainable AI for skin disease classification using gradient-weighted class activation mapping and transfer learning in digital health to identify contours</t>
  </si>
  <si>
    <t>DIGITAL HEALTH</t>
  </si>
  <si>
    <t>Skin disease; transfer learning; VGG-16; CNN; explainable AI; Grad-CAM</t>
  </si>
  <si>
    <t>IMAGES; LESIONS</t>
  </si>
  <si>
    <t>Hossain, K S M Tozammel/E-7259-2016; ANIK, ASIF HOSSAIN/CAF-7389-2022; Khushbu, Sharun Akter/KIE-1861-2024</t>
  </si>
  <si>
    <t>Hossain, K S M Tozammel/0000-0003-0136-2145; ANIK, ASIF HOSSAIN/0000-0002-7003-4738; Shaqib, S. M/0009-0005-0840-5891; Khushbu, Sharun Akter/0000-0002-8900-8580</t>
  </si>
  <si>
    <t>SAGE PUBLICATIONS LTD</t>
  </si>
  <si>
    <t>1 OLIVERS YARD, 55 CITY ROAD, LONDON EC1Y 1SP, ENGLAND</t>
  </si>
  <si>
    <t>2055-2076</t>
  </si>
  <si>
    <t>DIGIT HEALTH</t>
  </si>
  <si>
    <t>Digit. Health</t>
  </si>
  <si>
    <t>20552076251404523</t>
  </si>
  <si>
    <t>10.1177/20552076251404523</t>
  </si>
  <si>
    <t>http://dx.doi.org/10.1177/20552076251404523</t>
  </si>
  <si>
    <t>Health Care Sciences &amp; Services; Health Policy &amp; Services; Public, Environmental &amp; Occupational Health; Medical Informatics</t>
  </si>
  <si>
    <t>Health Care Sciences &amp; Services; Public, Environmental &amp; Occupational Health; Medical Informatics</t>
  </si>
  <si>
    <t>Q6785</t>
  </si>
  <si>
    <t>41393849</t>
  </si>
  <si>
    <t>WOS:001634829400001</t>
  </si>
  <si>
    <t>Adler, DA; Stamatis, CA; Meyerhoff, J; Mohr, DC; Wang, F; Aranovich, GJ; Sen, S; Choudhury, T</t>
  </si>
  <si>
    <t>AI tools intend to transform mental healthcare by providing remote estimates of depression risk using behavioral data collected by sensors embedded in smartphones. While these tools accurately predict elevated depression symptoms in small, homogenous populations, recent studies show that these tools are less accurate in larger, more diverse populations. In this work, we show that accuracy is reduced because sensed-behaviors are unreliable predictors of depression across individuals: sensed-behaviors that predict depression risk are inconsistent across demographic and socioeconomic subgroups. We first identified subgroups where a developed AI tool underperformed by measuring algorithmic bias, where subgroups with depression were incorrectly predicted to be at lower risk than healthier subgroups. We then found inconsistencies between sensed-behaviors predictive of depression across these subgroups. Our findings suggest that researchers developing AI tools predicting mental health from sensed-behaviors should think critically about the generalizability of these tools, and consider tailored solutions for targeted populations.</t>
  </si>
  <si>
    <t>Adler, Daniel A.; Stamatis, Caitlin A.; Meyerhoff, Jonah; Mohr, David C.; Wang, Fei; Aranovich, Gabriel J.; Sen, Srijan; Choudhury, Tanzeem</t>
  </si>
  <si>
    <t>Adler, DA (corresponding author), Cornell Tech, Informat Sci, 2 W Loop Rd, New York, NY 10044 USA.</t>
  </si>
  <si>
    <t>daa243@cornell.edu</t>
  </si>
  <si>
    <t>National Science Foundation [DGE-2139899]; National Science Foundation Graduate Research Fellowship; Digital Life Initiative Doctoral Fellowship [R01MH111610, K08MH128640, T32MH115882]; NIMH; Microsoft Azure Cloud Computing Grant through the Cornell Center for Data Science for Enterprise and Society; Cornell Academic Integration program</t>
  </si>
  <si>
    <t>National Science Foundation (National Science Foundation (NSF)); National Science Foundation Graduate Research Fellowship (National Science Foundation (NSF)); Digital Life Initiative Doctoral Fellowship; NIMH (United States Department of Health &amp; Human Services, National Institutes of Health (NIH) - USA, NIH National Institute of Mental Health (NIMH)); Microsoft Azure Cloud Computing Grant through the Cornell Center for Data Science for Enterprise and Society; Cornell Academic Integration program</t>
  </si>
  <si>
    <t>D.A. is supported by the National Science Foundation Graduate Research Fellowship under Grant No. DGE-2139899, and a Digital Life Initiative Doctoral Fellowship. Any opinions, findings, and conclusions or recommendations expressed in this material are those of the authors and do not necessarily reflect the views of the funders. Data collection was supported by NIMH Grant No. R01MH111610 to D.C.M. J.M. is supported by K08MH128640. C.A.S. is supported by T32MH115882. Computing costs were funded by a Microsoft Azure Cloud Computing Grant through the Cornell Center for Data Science for Enterprise and Society, awarded to T.C. T.C. and F.W. were also supported by a multi-investigator seed grant awarded from the Cornell Academic Integration program.</t>
  </si>
  <si>
    <t>[Adler, Daniel A.; Aranovich, Gabriel J.; Choudhury, Tanzeem] Cornell Tech, Informat Sci, 2 W Loop Rd, New York, NY 10044 USA; [Stamatis, Caitlin A.; Meyerhoff, Jonah; Mohr, David C.] Northwestern Univ, Ctr Behav Intervent Technol, Feinberg Sch Med, Chicago, IL 60611 USA; [Wang, Fei] Weill Cornell Med, Populat Hlth Sci, New York, NY 10065 USA; [Sen, Srijan] Michigan Med, Dept Psychiat, Ann Arbor, MI 48109 USA</t>
  </si>
  <si>
    <t>Northwestern University; Feinberg School of Medicine; Cornell University; Weill Cornell Medicine</t>
  </si>
  <si>
    <t>Measuring algorithmic bias to analyze the reliability of AI tools that predict depression risk using smartphone sensed-behavioral data</t>
  </si>
  <si>
    <t>NPJ MENTAL HEALTH RESEARCH</t>
  </si>
  <si>
    <t>SOCIOECONOMIC-STATUS; HEALTH; EQUATIONS</t>
  </si>
  <si>
    <t>/HSD-9707-2023; Wang, Fei/HRA-7319-2023; Adler, Dan/ABA-6839-2020</t>
  </si>
  <si>
    <t>Adler, Dan/0000-0003-3328-0312</t>
  </si>
  <si>
    <t>2731-4251</t>
  </si>
  <si>
    <t>NPJ MENT HEALTH RES</t>
  </si>
  <si>
    <t>npj Ment. Health Res.</t>
  </si>
  <si>
    <t>APR 22 2024</t>
  </si>
  <si>
    <t>10.1038/s44184-024-00057-y</t>
  </si>
  <si>
    <t>http://dx.doi.org/10.1038/s44184-024-00057-y</t>
  </si>
  <si>
    <t>8NC3F</t>
  </si>
  <si>
    <t>38649446</t>
  </si>
  <si>
    <t>WOS:001592603500001</t>
  </si>
  <si>
    <t>Mohana, M; Subashini, P; Ghinea, G</t>
  </si>
  <si>
    <t>Facial expression recognition (FER) continues to be a vibrant research field, driven by the increasing need for its practical applications in areas such as e-learning, healthcare, candidate interview analysis, and more. Most deep learning approaches in supervised FER systems heavily rely on large, labeled datasets. Implementing FER in Convolutional Neural Networks (CNNs) often requires many layers, leading to extended training times and difficulties in finding optimal parameters. This can result in challenges in creating distinct facial expression patterns for classification, leading to poor real-time emotion classification In this paper, we propose a novel approach known as the Deep Semi-supervised Convolutional Sparse Autoencoder to address the aforementioned issues and enhance FER performance and prediction accuracy. This approach comprises two parts: (i) Initially, a deep convolutional sparse autoencoder is trained with unlabeled samples of facial expressions. Here, sparsity is introduced in the convolutional block to enforce penalties, focusing on more relevant features for feature representation in the latent space. (ii) A trained encoder with a feature map is connected to a fully connected layer with softmax for final fine-tuning with learned weights and labeled facial expression samples in a semi-supervised approach for emotion classification. This approach was experimented with two benchmark datasets, namely CK + and JAFFE, and achieved significant results of 98.98% and 93.10% accuracy, respectively. The results were analyzed using established state-of-the-art techniques. Additionally, eXplainable AI (XAI) methods like Grad-CAM and image-LIME were employed to interpret the performance and prediction outcomes of the DSCSA model.</t>
  </si>
  <si>
    <t>Mohana, M.; Subashini, P.; Ghinea, George</t>
  </si>
  <si>
    <t>Mohana, M (corresponding author), Avinashilingam Inst, Ctr Machine Learning &amp; Intelligence, Dept Comp Sci, Coimbatore, India.</t>
  </si>
  <si>
    <t>george.ghinea@brunel.ac.uk; subashini_cs@avinuty.ac.in; mohana_cs@avinuty.ac.in</t>
  </si>
  <si>
    <t>Department of Science and Technology (DST-CURIE), India [ISO/IEC 20000-1:2018]</t>
  </si>
  <si>
    <t>Department of Science and Technology (DST-CURIE), India (Department of Science &amp; Technology (India), Department of Science &amp; Technology (DOST), Philippines)</t>
  </si>
  <si>
    <t>The authors sincerely thank the ISO Certified (ISO/IEC 20000-1:2018) Centre for Machine Learning and Intelligence (CMLI), funded by the Department of Science and Technology (DST-CURIE), India, for providing the facility to carry out this research study.</t>
  </si>
  <si>
    <t>[Mohana, M.; Subashini, P.] Avinashilingam Inst, Ctr Machine Learning &amp; Intelligence, Dept Comp Sci, Coimbatore, India; [Ghinea, George] Brunel Univ, Dept Comp Sci, London, England</t>
  </si>
  <si>
    <t>Brunel University</t>
  </si>
  <si>
    <t>XAI-DSCSA: explainable-AI-based deep semi-supervised convolutional sparse autoencoder for facial expression recognition</t>
  </si>
  <si>
    <t>Autoencoder; Convolutional sparse autoencoder; Facial expression recognition; Feature representation; Unsupervised learning; Semi-supervised learning</t>
  </si>
  <si>
    <t>EMOTION; NETWORK</t>
  </si>
  <si>
    <t>P, Subashini/G-2858-2010; M, Mohana/KIH-1548-2024; Ghinea, Gheorghita/AAG-6770-2020</t>
  </si>
  <si>
    <t>P, Subashini/0000-0002-5786-4497; M, Mohana/0000-0002-3566-0995; Ghinea, Gheorghita/0000-0003-2578-5580</t>
  </si>
  <si>
    <t>MAR 10 2025</t>
  </si>
  <si>
    <t>10.1007/s11760-025-03984-1</t>
  </si>
  <si>
    <t>http://dx.doi.org/10.1007/s11760-025-03984-1</t>
  </si>
  <si>
    <t>Z8J6B</t>
  </si>
  <si>
    <t>WOS:001441305500001</t>
  </si>
  <si>
    <t>Stember, JN; Dishner, K; Jenabi, M; Pasquini, L; Peck, KK; Saha, A; Shah, AK; O'Malley, B; Ilica, AT; Kelly, L; Arevalo-Perez, J; Hatzoglou, V; Holodny, A; Shalu, H</t>
  </si>
  <si>
    <t>Reliable and trustworthy artificial intelligence (AI), particularly in high-stake medical diagnoses, necessitates effective uncertainty quantification (UQ). Existing UQ methods using model ensembles often introduce invalid variability or computational complexity, rendering them impractical and ineffective in clinical workflow. We propose a UQ approach based on deep neuroevolution (DNE), a data-efficient optimization strategy. Our goal is to replicate trends observed in expert-based UQ. We focused on language lateralization maps from resting-state functional MRI (rs-fMRI). Fifty rs-fMRI maps were divided into training/testing (30:20) sets, representing two labels: "left-dominant" and "co-dominant." DNE facilitated acquiring an ensemble of 100 models with high training and testing set accuracy. Model uncertainty was derived from distribution entropies over the 100 model predictions. Expert reviewers provided user-based uncertainties for comparison. Model (epistemic) and user-based (aleatoric) uncertainties were consistent in the independently and identically distributed (IID) testing set, mainly indicating low uncertainty. In a mostly out-of-distribution (OOD) holdout set, both model and user-based entropies correlated but displayed a bimodal distribution, with one peak representing low and another high uncertainty. We also found a statistically significant positive correlation between epistemic and aleatoric uncertainties. DNE-based UQ effectively mirrored user-based uncertainties, particularly highlighting increased uncertainty in OOD images. We conclude that DNE-based UQ correlates with expert assessments, making it reliable for our use case and potentially for other radiology applications.</t>
  </si>
  <si>
    <t>Stember, Joseph N.; Dishner, Katharine; Jenabi, Mehrnaz; Pasquini, Luca; Peck, Kyung K.; Saha, Atin; Shah, Akash; O'Malley, Bernard; Ilica, Ahmet Turan; Kelly, Lori; Arevalo-Perez, Julio; Hatzoglou, Vaios; Holodny, Andrei; Shalu, Hrithwik</t>
  </si>
  <si>
    <t>Stember, JN (corresponding author), Mem Sloan Kettering Canc Ctr, Dept Radiol, New York, NY 10021 USA.</t>
  </si>
  <si>
    <t>joestember@gmail.com</t>
  </si>
  <si>
    <t>NIH [5R25CA020449]; The 2022 MSK internal grant in advance imaging techniques; The 2021 ASNR AI Grant; MSK Core Grant [P30 CA008748]</t>
  </si>
  <si>
    <t>NIH (United States Department of Health &amp; Human Services, National Institutes of Health (NIH) - USA); The 2022 MSK internal grant in advance imaging techniques; The 2021 ASNR AI Grant; MSK Core Grant</t>
  </si>
  <si>
    <t>This work was supported by several grants: NIH Grant 5R25CA020449, 2022 MSK internal grant in advance imaging techniques, 2021 ASNR AI Grant, MSK Core Grant P30 CA008748.</t>
  </si>
  <si>
    <t>[Stember, Joseph N.; Dishner, Katharine; Jenabi, Mehrnaz; Pasquini, Luca; Peck, Kyung K.; Saha, Atin; Shah, Akash; O'Malley, Bernard; Ilica, Ahmet Turan; Kelly, Lori; Arevalo-Perez, Julio; Hatzoglou, Vaios; Holodny, Andrei] Mem Sloan Kettering Canc Ctr, Dept Radiol, New York, NY 10021 USA; [Shalu, Hrithwik] Indian Inst Technol Madras, Dept Aerosp Engn, Chennai 600036, Tamil Nadu, India</t>
  </si>
  <si>
    <t>Memorial Sloan Kettering Cancer Center; Indian Institute of Technology System (IIT System); Indian Institute of Technology (IIT) - Madras</t>
  </si>
  <si>
    <t>Evolutionary Strategies Enable Systematic and Reliable Uncertainty Quantification: A Proof-of-Concept Pilot Study on Resting-State Functional MRI Language Lateralization</t>
  </si>
  <si>
    <t>Uncertainty quantification; Artificial intelligence; Deep neuroevolution; Image classification</t>
  </si>
  <si>
    <t>FMRI; CHILDREN</t>
  </si>
  <si>
    <t>pasquini, luca/JFJ-2079-2023; Holodny, Andrei/ABD-8335-2020; Stember, Joseph/AAK-9356-2020</t>
  </si>
  <si>
    <t>pasquini, luca/0000-0003-1679-6958; Dishner, Katharine/0009-0004-2764-1411; Shah, Akash/0000-0001-9211-8628; Holodny, Andrei/0000-0002-1159-2705</t>
  </si>
  <si>
    <t>576</t>
  </si>
  <si>
    <t>586</t>
  </si>
  <si>
    <t>10.1007/s10278-024-01188-6</t>
  </si>
  <si>
    <t>http://dx.doi.org/10.1007/s10278-024-01188-6</t>
  </si>
  <si>
    <t>W3K1W</t>
  </si>
  <si>
    <t>38980624</t>
  </si>
  <si>
    <t>WOS:001268929600002</t>
  </si>
  <si>
    <t>Shaikh, M; Ebrahimi, A; Wiil, UK</t>
  </si>
  <si>
    <t>The health informatics field's pursuit of personalized healthcare continuously faces constraints from patients, clinicians, and resource limitations. Recent advances in artificial intelligence (AI) and machine learning (ML) models have led to their widespread adoption in personalized genomic research for their outstanding predictive capabilities for drug responses to assist in personalized healthcare for tailored therapies and many other applications. Despite their growing use, such models often operate as black boxes, tempering, lacking sources to verify whether a prediction was generated honestly by a model's input or manipulated post hoc. Over these challenges, this study presents a decentralized model that integrates AI predictive modeling with blockchain-based verification to ensure the integrity, traceability, trust, and reproducibility of AI-generated outputs, leading to provable machine learning and trustworthy AI. Our developed scheme computes AI predictions, cryptographic hashes of model inputs, and data hashes to immutably store them on a blockchain via smart contract (SC) using our novel input-output cryptographic hashing technique. This introduces a deterministic tokenization and canonical hashing pipeline that binds each GDSC2 drug-cell line input and its AI prediction output into a salted, on-chain verifiable commit. Later, a verification process has been committed by blockchain's immutability and cross-checking via audit logs, which allows any stakeholder to independently confirm that a specific prediction originated from a known model and reliable source of data without exposing sensitive genomic content, ensuring both the verifiability and honesty of audits to serve the purpose for addressing AI post hoc tampering issue. The experimental results using genomic data inputs derived from the GDSCv2 dataset demonstrate the proposed model's capability to train a Random Forest Regressor (RFR) for accurate AI-driven drug sensitivity prediction, achieving an R &amp; sup2; of 0.979. Furthermore, 5-Fold Cross-Validation yielded a consistent mean R &amp; sup2; of 0.977 +/- 0.001, highlighting the model's strong reliability, robustness, and generalization performance across multiple data partitions. Later, the model can store these predictions on-chain with due patient consent to verify or audit, detect tampering, ensure transparency, and verifiability up to 70% through an audit trial integrity test conducted for 10 samples from the dataset. The findings support the model's applicability in high-stakes personalized medicine and biomedical environments where verifiable AI predictions are paramount.</t>
  </si>
  <si>
    <t>Shaikh, Mutiullah; Ebrahimi, Ali; Wiil, Uffe Kock</t>
  </si>
  <si>
    <t>Shaikh, M (corresponding author), Univ Southern Denmark, Maersk Mc Kinney Moller Inst, SDU Hlth Informat &amp; Technol, Odense, Denmark.</t>
  </si>
  <si>
    <t>mutsh@mmmi.sdu.dk</t>
  </si>
  <si>
    <t>[Shaikh, Mutiullah; Ebrahimi, Ali; Wiil, Uffe Kock] Univ Southern Denmark, Maersk Mc Kinney Moller Inst, SDU Hlth Informat &amp; Technol, Odense, Denmark</t>
  </si>
  <si>
    <t>Towards convergence of AI and blockchain for personalized medicine in pharmacogenomics</t>
  </si>
  <si>
    <t>Pharmacogenomics; Drug response prediction; Precision cancer; Blockchain; Machine learning; Artificial intelligence</t>
  </si>
  <si>
    <t>DRUG; SENSITIVITY; RESOURCE</t>
  </si>
  <si>
    <t>MAY 28 2026</t>
  </si>
  <si>
    <t>24464</t>
  </si>
  <si>
    <t>10.1038/s41598-026-53058-6</t>
  </si>
  <si>
    <t>http://dx.doi.org/10.1038/s41598-026-53058-6</t>
  </si>
  <si>
    <t>MJ6FV</t>
  </si>
  <si>
    <t>42209603</t>
  </si>
  <si>
    <t>WOS:001843802500017</t>
  </si>
  <si>
    <t>Annuzzi, G; Apicella, A; Arpaia, P; Bozzetto, L; Criscuolo, S; De Benedetto, E; Pesola, M; Prevete, R</t>
  </si>
  <si>
    <t>Type 1 diabetes mellitus (T1DM) is characterized by insulin deficiency and blood sugar control issues. The state-of-the-art solution is the artificial pancreas (AP), which integrates basal insulin delivery and glucose monitoring. However, APs are unable to manage postprandial glucose response (PGR) due to limited knowledge of its determinants, requiring additional information for accurate bolus delivery, such as estimated carbohydrate intake. This study aims to quantify the influence of various meal-related factors on predicting postprandial blood glucose levels (BGLs) at different time intervals (15 min, 60 min, and 120 min) after meals by using deep neural network (DNN) models. The prediction models incorporate preprandial blood glucose values, insulin dosage, and various meal-related nutritional factors such as intake of energy, carbohydrates, proteins, lipids, fatty acids, fibers, glycemic index, and glycemic load as input variables. The impact of input features was assessed by exploiting eXplainable Artificial Intelligence (XAI) methodologies, specifically SHapley Additive exPlanations (SHAP), which provide insights into each feature's contribution to the model predictions. By leveraging XAI methodologies, this study aims to enhance the interpretability and transparency of BGL prediction models and validate clinical literature hypotheses. The findings can aid in the development of decision-support tools for individuals with T1DM, facilitating PGR management and reducing the risks of adverse events. The improved understanding of PGR determinants may lead to advancements in AP technology and improve the overall quality of life for T1DM patients.</t>
  </si>
  <si>
    <t>Annuzzi, Giovanni; Apicella, Andrea; Arpaia, Pasquale; Bozzetto, Lutgarda; Criscuolo, Sabatina; De Benedetto, Egidio; Pesola, Marisa; Prevete, Roberto</t>
  </si>
  <si>
    <t>De Benedetto, E (corresponding author), Univ Naples Federico II, Dept Elect Engn &amp; Informat Technol DIETI, I-80138 Naples, Italy.</t>
  </si>
  <si>
    <t>pasquale.arpaia@unina.it; lutgarda.bozzetto@unina.it; egidio.debenedetto@unina.it; and.api.univ@gmail.com; rprevete@unina.it; annuzzi@unina.it; sabatina.criscuolo@unina.it; marisa.pesola@unina.it</t>
  </si>
  <si>
    <t>University of Naples Federico II</t>
  </si>
  <si>
    <t>[Annuzzi, Giovanni; Bozzetto, Lutgarda] Univ Naples Federico II, Dept Clin Med &amp; Surg, I-80138 Naples, Italy; [Apicella, Andrea; Arpaia, Pasquale; Criscuolo, Sabatina; De Benedetto, Egidio; Pesola, Marisa; Prevete, Roberto] Univ Naples Federico II, Dept Elect Engn &amp; Informat Technol DIETI, I-80138 Naples, Italy</t>
  </si>
  <si>
    <t>University of Naples Federico II; University of Naples Federico II</t>
  </si>
  <si>
    <t>Exploring Nutritional Influence on Blood Glucose Forecasting for Type 1 Diabetes Using Explainable AI</t>
  </si>
  <si>
    <t>Insulin; Predictive models; Glucose; Diabetes; Blood; Data models; Bioinformatics; postprandial blood glucose response; machine learning; explainable artificial intelligence; interpretability; meal-related features</t>
  </si>
  <si>
    <t>ARTIFICIAL NEURAL-NETWORK; GLYCEMIC INDEX; LEARNING APPROACH; INSULIN; PREDICTION; MANAGEMENT</t>
  </si>
  <si>
    <t>Bozzetto, Lutgarda/E-6271-2012; Criscuolo, Sabatina/JED-3758-2023; Arpaia, Pasquale/R-4342-2019; Apicella, Andrea/AAA-7990-2022</t>
  </si>
  <si>
    <t>Annuzzi, Giovanni/0000-0002-9324-6047; Criscuolo, Sabatina/0000-0001-7189-1339; Arpaia, Pasquale/0000-0002-5192-5922; Prevete, Roberto/0000-0002-3804-1719; Apicella, Andrea/0000-0002-5391-168X; Pesola, Marisa/0000-0002-5671-6433</t>
  </si>
  <si>
    <t>3123</t>
  </si>
  <si>
    <t>3133</t>
  </si>
  <si>
    <t>10.1109/JBHI.2023.3348334</t>
  </si>
  <si>
    <t>http://dx.doi.org/10.1109/JBHI.2023.3348334</t>
  </si>
  <si>
    <t>QN4V6</t>
  </si>
  <si>
    <t>38157465</t>
  </si>
  <si>
    <t>WOS:001221547700007</t>
  </si>
  <si>
    <t>Gongane, VU; Munot, MV; Anuse, AD</t>
  </si>
  <si>
    <t>Artificial intelligence (AI) is a computing field that has played a pivotal role in delivering technological revolutions in various sectors like business, healthcare, finance, social networking, entertainment, and news. With an inimitable ability of AI to process and analyze any form of data (image, text, audio, and video) with the help of high-power computing machines, it is considered as an integral part of Industry 4.0. Social media and internet are another form of technology advancement in digital communication that has created a tremendous impact in the society. Social networking sites like Facebook, Twitter, YouTube, and Instagram provide a platform for people to freely express their thoughts and views. The past decade is witnessing an awful side of social media through the dissemination of online fake news and hate speech content. Social networking sites make use of AI tools to tackle with the increasing hate speech and fake news content. Natural language processing (NLP), a field of AI, include techniques that process vast amount of online content accompanied with machine learning (ML) and deep learning (DL) algorithms that learn the representations of data for detection, classification, and prediction tasks. AI algorithms are considered as "black box" where the decisions made by the algorithms are sometimes biased and lack in transparency. Many state-of-art AI algorithms show low recall and low F1-score metric for diverse forms of hate speech and fake news. The inadequacy of explanations about the decisions made by AI for classification and prediction task is a crucial challenge that needs to be considered. Explainable AI (XAI) is an upcoming research field that has added a new dimension to AI which is "Explainability". XAI shows a unique ability of interpreting and explaining the decisions made by ML models. This feature of XAI is deployed in various applications like autonomous vehicles and medical diagnostics. In context of social media content, XAI plays an important role in interpreting the diverse forms of hate speech and fake news. Literature studies have reported various XAI models like SHAP (SHapley Additive exPlanations) and Local Interpretable Model-agnostic Explanations (LIME) for detection of hate speech and fake news content. The paper aims to explore XAI models for detection and classification of hate speech and fake news on social media platforms as reported in the research literature. This paper provides a review of evaluation metrics that quantify the XAI technique used in hate speech and fake news detection. The paper leaps into the technical and ethical challenges involved when using XAI models to handle the nuance of online text published on social media platforms.</t>
  </si>
  <si>
    <t>Gongane, Vaishali U.; Munot, Mousami V.; Anuse, Alwin D.</t>
  </si>
  <si>
    <t>Gongane, VU (corresponding author), SPPU, SCTRs Pune Inst Comp Technol, E&amp;TC Dept, Pune 411043, India.; Gongane, VU (corresponding author), Pune Vidyarthi Grihas Coll Engn &amp; Technol, E&amp;TC Dept, Pune 411009, India.; Gongane, VU (corresponding author), SPPU, G K Pate Wani Inst Management, Pune 411009, India.</t>
  </si>
  <si>
    <t>vug_entc@pvgcoet.ac.in; mvmunot@pict.edu; alwin.anuse@mitwpu.edu.in</t>
  </si>
  <si>
    <t>[Gongane, Vaishali U.; Munot, Mousami V.] SPPU, SCTRs Pune Inst Comp Technol, E&amp;TC Dept, Pune 411043, India; [Gongane, Vaishali U.] Pune Vidyarthi Grihas Coll Engn &amp; Technol, E&amp;TC Dept, Pune 411009, India; [Gongane, Vaishali U.] SPPU, G K Pate Wani Inst Management, Pune 411009, India; [Anuse, Alwin D.] Dr Vishwanath Karad MIT WPU, Dept Elect &amp; Elect Engn, Pune 411038, India</t>
  </si>
  <si>
    <t>Savitribai Phule Pune University; Savitribai Phule Pune University; Dr. Vishwanath Karad MIT World Peace University</t>
  </si>
  <si>
    <t>A survey of explainable AI techniques for detection of fake news and hate speech on social media platforms</t>
  </si>
  <si>
    <t>JOURNAL OF COMPUTATIONAL SOCIAL SCIENCE</t>
  </si>
  <si>
    <t>Explainable AI; LIME; SHAP; Hate speech; Fake news</t>
  </si>
  <si>
    <t>ARTIFICIAL-INTELLIGENCE; EXPLANATIONS</t>
  </si>
  <si>
    <t>Anuse, Alwin/AAR-9481-2020; Munot, Mousami/MSZ-1043-2025</t>
  </si>
  <si>
    <t>Munot, Mousami Vaibhav/0000-0002-3144-8487</t>
  </si>
  <si>
    <t>2432-2717</t>
  </si>
  <si>
    <t>2432-2725</t>
  </si>
  <si>
    <t>J COMPUT SOC SCI</t>
  </si>
  <si>
    <t>J. Comput. Soc. Sci.</t>
  </si>
  <si>
    <t>623</t>
  </si>
  <si>
    <t>10.1007/s42001-024-00248-9</t>
  </si>
  <si>
    <t>http://dx.doi.org/10.1007/s42001-024-00248-9</t>
  </si>
  <si>
    <t>Social Sciences, Mathematical Methods</t>
  </si>
  <si>
    <t>Mathematical Methods In Social Sciences</t>
  </si>
  <si>
    <t>YI4U2</t>
  </si>
  <si>
    <t>WOS:001184062000001</t>
  </si>
  <si>
    <t>Ganji, Z; Nikparast, F; Shoeibi, N; Shoeibi, A; Zare, H</t>
  </si>
  <si>
    <t>Background: Parkinson's disease (PD) diagnosis remains challenging due to subjective clinical assessments and late-stage symptom manifestation. Retinal optical coherence tomography (OCT) biomarkers, reflecting neurodegenerative changes, offer a non-invasive diagnostic avenue. This study integrates retinal OCT with explainable artificial intelligence (XAI) to address PD diagnostic uncertainties. Methods: Leveraging data from the Persian Cohort Study (202 PD patients, 972 controls), we developed a 6-layer deep neural network (DNN) combining OCT biomarkers (foveal thickness and volume) and clinical variables (motor scores, olfactory dysfunction). Synthetic Minority Oversampling (SMOTE) mitigated class imbalance (PD: Healthy approximate to 1:5). Model interpretability was ensured via SHAP (global feature importance) and LIME (local explanations). Results: This study developed an explainable AI framework integrating retinal OCT biomarkers and clinical data to diagnose Parkinson's disease (PD) with 95.3 % accuracy and 0.98 AUC-ROC. Using data from the Persian Cohort (1176 participants), the model identified SUPERIOR4 thickness (&lt;120 &lt;mu&gt;m) and foveal volume expansion (&gt;0.15 mm3) as key biomarkers, alongside motor and olfactory deficits. SHAP/LIME provided interpretable thresholds (e.g., SUPERIOR4 &lt;120 &lt;mu&gt;m = high risk), while SMOTE mitigated class imbalance, reducing false negatives by 12 % without compromising specificity (94.8 %). Conclusion: This study pioneers a transparent, OCT-based AI framework for PD diagnosis, emphasizing early detection through retinal neurodegeneration patterns. The integration of multimodal data, explainability, and imbalance robustness positions it as a scalable tool for resource-limited settings. Future work should validate biomarkers across diverse populations and standardize OCT protocols.</t>
  </si>
  <si>
    <t>Ganji, Zohreh; Nikparast, Farzaneh; Shoeibi, Naser; Shoeibi, Ali; Zare, Hoda</t>
  </si>
  <si>
    <t>Zare, H (corresponding author), Mashhad Univ Med Sci, Fac Med, Dept Med Phys, Mashhad, Iran.; Shoeibi, N (corresponding author), Mashhad Univ Med Sci, Eye Res Ctr, Mashhad, Iran.; Zare, H (corresponding author), Mashhad Univ Med Sci, Med Phys Res Ctr, Mashhad, Iran.</t>
  </si>
  <si>
    <t>Zareh@mums.ac.ir; shoeibin@mums.ac.ir</t>
  </si>
  <si>
    <t>Vice-Chancellor for Research Department at Mashhad University of Medical Sciences [4030777]</t>
  </si>
  <si>
    <t>Vice-Chancellor for Research Department at Mashhad University of Medical Sciences</t>
  </si>
  <si>
    <t>This research was supported by the Vice-Chancellor for Research Department at Mashhad University of Medical Sciences (Grant No. 4030777) .</t>
  </si>
  <si>
    <t>[Ganji, Zohreh; Nikparast, Farzaneh; Zare, Hoda] Mashhad Univ Med Sci, Fac Med, Dept Med Phys, Mashhad, Iran; [Ganji, Zohreh; Nikparast, Farzaneh] Mashhad Univ Med Sci, Student Res Comm, Mashhad, Iran; [Shoeibi, Naser] Mashhad Univ Med Sci, Eye Res Ctr, Mashhad, Iran; [Shoeibi, Ali] Mashhad Univ Med Sci, Sch Med, Dept Neurol, Mashhad, Iran; [Zare, Hoda] Mashhad Univ Med Sci, Med Phys Res Ctr, Mashhad, Iran</t>
  </si>
  <si>
    <t>Mashhad University of Medical Sciences; Mashhad University of Medical Sciences; Mashhad University of Medical Sciences; Mashhad University of Medical Sciences; Mashhad University of Medical Sciences</t>
  </si>
  <si>
    <t>Decoding Parkinson's diagnosis: An OCT-based explainable AI with SHAP/ LIME transparency from the Persian Cohort Study</t>
  </si>
  <si>
    <t>PHOTODIAGNOSIS AND PHOTODYNAMIC THERAPY</t>
  </si>
  <si>
    <t>Parkinson's disease; Retinal biomarkers; OCT; Deep learning; Explainable AI</t>
  </si>
  <si>
    <t>OPTICAL COHERENCE TOMOGRAPHY; DISEASE; RETINA; LAYER</t>
  </si>
  <si>
    <t>zare, hoda/ABB-1816-2020; Shoeibi, Nasser/AFA-0403-2022</t>
  </si>
  <si>
    <t>Ganji, Zohreh/0000-0002-9927-9843; Nikparast, Farzaneh/0000-0003-3119-1180</t>
  </si>
  <si>
    <t>1572-1000</t>
  </si>
  <si>
    <t>1873-1597</t>
  </si>
  <si>
    <t>PHOTODIAGN PHOTODYN</t>
  </si>
  <si>
    <t>Photodiagnosis Photodyn. Ther.</t>
  </si>
  <si>
    <t>104668</t>
  </si>
  <si>
    <t>10.1016/j.pdpdt.2025.104668</t>
  </si>
  <si>
    <t>http://dx.doi.org/10.1016/j.pdpdt.2025.104668</t>
  </si>
  <si>
    <t>4MK8F</t>
  </si>
  <si>
    <t>40523575</t>
  </si>
  <si>
    <t>WOS:001521491300007</t>
  </si>
  <si>
    <t>Cazares, M; Miño-Ayala, J; Ortiz, I; Andrade, R</t>
  </si>
  <si>
    <t>Post-Traumatic Stress Disorder (PTSD) poses complex clinical challenges due to its emotional volatility, contextual sensitivity, and need for personalized care. Conventional AI systems often fall short in therapeutic contexts due to lack of explainability, ethical safeguards, and narrative understanding. We propose a hybrid neuro-symbolic architecture that combines Large Language Models (LLMs), Retrieval-Augmented Generation (RAG), symbolic controllers, and ensemble classifiers to support clinicians in PTSD follow-up. The proposal integrates real-time anonymization, session memory through patient-specific RAG, and a Human-in-the-Loop (HITL) interface. It ensures clinical safety via symbolic logic rules derived from trauma-informed protocols. The proposed architecture enables safe, personalized AI-driven responses by combining statistical language modeling with explicit therapeutic constraints. Through modular integration, it supports affective signal adaptation, longitudinal memory, and ethical traceability. A comparative evaluation against state-of-the-art approaches highlights improvements in contextual alignment, privacy protection, and clinician supervision.</t>
  </si>
  <si>
    <t>Cazares, Maria; Mino-Ayala, Jorge; Ortiz, Ivan; Andrade, Roberto</t>
  </si>
  <si>
    <t>Ortiz, I (corresponding author), Univ Las Americas, Escuela Ingn Cibersegur, Fac Ingn &amp; Ciencias Aplicadas, Quito 170125, Ecuador.</t>
  </si>
  <si>
    <t>ivan.ortiz@udla.edu.ec; a22411590@alunos.ulht.pt; jorge.mino@epn.edu.ec; randradep@usfq.edu.ec</t>
  </si>
  <si>
    <t>[Cazares, Maria] Univ Lusofona Human &amp; Tecnol, Escola Psicol &amp; Ciencias Vida, P-1749024 Campo Grande, Lisbon, Portugal; [Mino-Ayala, Jorge] Escuela Politec Nacl, Fac Ingn Sistemas, Quito 170525, Ecuador; [Ortiz, Ivan] Univ Las Americas, Escuela Ingn Cibersegur, Fac Ingn &amp; Ciencias Aplicadas, Quito 170125, Ecuador; [Andrade, Roberto] Univ San Francisco Quito USFQ, Colegio Ciencias &amp; Ingn, Quito 170901, Ecuador</t>
  </si>
  <si>
    <t>Lusofona University; Escuela Politecnica Nacional Ecuador; Universidad de Las Americas - Ecuador; Universidad San Francisco de Quito</t>
  </si>
  <si>
    <t>Designing Trustworthy AI Systems for PTSD Follow-Up</t>
  </si>
  <si>
    <t>TECHNOLOGIES</t>
  </si>
  <si>
    <t>Post-Traumatic Stress Disorder (PTSD); Large Language Models (LLMs); explainable clinical AI</t>
  </si>
  <si>
    <t>Mino, Jorge/PQW-2599-2026; Andrade, Roberto/AAI-1954-2019</t>
  </si>
  <si>
    <t>Cazares, Maria/0000-0003-3407-9442; Miño Ayala, Jorge Fernando/0009-0002-2191-9588; Andrade, Roberto/0000-0002-7120-281X</t>
  </si>
  <si>
    <t>2227-7080</t>
  </si>
  <si>
    <t>Technologies</t>
  </si>
  <si>
    <t>AUG 15 2025</t>
  </si>
  <si>
    <t>10.3390/technologies13080361</t>
  </si>
  <si>
    <t>http://dx.doi.org/10.3390/technologies13080361</t>
  </si>
  <si>
    <t>6NF8Z</t>
  </si>
  <si>
    <t>WOS:001557388600001</t>
  </si>
  <si>
    <t>Maimaitijiang, E; Aihaiti, M; Mamatjan, Y</t>
  </si>
  <si>
    <t>Background and Objective: Diabetes is a prevalent chronic disease that presents considerable health risks, making prompt diagnosis and treatment essential to avert complications. Traditional Artificial Intelligence (AI) models for diabetes prediction often operate as black boxes. A major issue caused by this is that black boxes lack interpretability, which impacts their effectiveness in clinical use cases. We introduce a novel online recommendation framework using explainable AI (XAI) to predict type II diabetes risk and provide clear, actionable analyses with a personalized chatbot assistant. Methods: To make the model, we chose the CatBoost classifier and SHapley Additive exPlanations (SHAP) due to their ability to provide accurate predictions. Using those tools, we analyzed 16 individual risk factors from a dataset of 520 patients. We applied the Synthetic Minority Over-sampling Technique (SMOTE) to reduce the effect of data imbalance. We also developed an interactive interface that allows users to input data, visualize personalized risk profiles, and understand the driving factors behind predictions. Finally, large language models (LLMs) were integrated into the interface for patient-specific recommendations for improving health and lifestyle through a personalized chatbot assistant. Results: The model demonstrated great predictive performance, with an Area Under the ROC Curve (AUC) of 0.99, a Cohen Kappa score of 0.978, and an F1 score of 0.99. For the minority class, SMOTE application improved performance metrics, resulting in an AUC of 0.98 and an F1 score of 0.91 for female patients. Conclusions: This study proposes an explainable AI framework for predicting diabetes risk online and providing patient-specific advice through a personalized chatbot assistant. This will help to facilitate better decision-making and improved management of diabetes risk.</t>
  </si>
  <si>
    <t>Maimaitijiang, Ehesan; Aihaiti, Muyesaier; Mamatjan, Yasin</t>
  </si>
  <si>
    <t>Mamatjan, Y (corresponding author), Thompson Rivers Univ, Fac Sci, Dept Engn, Kamloops, BC V2C 0C8, Canada.</t>
  </si>
  <si>
    <t>ymamatjan@tru.ca</t>
  </si>
  <si>
    <t>[Maimaitijiang, Ehesan; Mamatjan, Yasin] Thompson Rivers Univ, Fac Sci, Dept Engn, Kamloops, BC V2C 0C8, Canada; [Aihaiti, Muyesaier] Thompson Rivers Univ, Fac Sci, Mamatjanlab, Kamloops, BC V2C 0C8, Canada</t>
  </si>
  <si>
    <t>Thompson Rivers University; Thompson Rivers University</t>
  </si>
  <si>
    <t>An Explainable AI Framework for Online Diabetes Risk Prediction with a Personalized Chatbot Assistant</t>
  </si>
  <si>
    <t>explainable AI (XAI); large language model (LLM); chatbot; recommender system; diabetes risk prediction</t>
  </si>
  <si>
    <t>Mamatjan, Yasin/0000-0002-8807-2927</t>
  </si>
  <si>
    <t>SEP 22 2025</t>
  </si>
  <si>
    <t>3738</t>
  </si>
  <si>
    <t>10.3390/electronics14183738</t>
  </si>
  <si>
    <t>http://dx.doi.org/10.3390/electronics14183738</t>
  </si>
  <si>
    <t>7UF6S</t>
  </si>
  <si>
    <t>WOS:001579783100001</t>
  </si>
  <si>
    <t>Ali, MD; Iqbal, MA; Lee, S; Duan, X; Kim, SK</t>
  </si>
  <si>
    <t>Despite the widespread success of convolutional deep learning frameworks in computer vision, significant limitations persist in medical image analysis. These include low image quality caused by noise and artifacts, limited data availability compromising robustness on unseen data, class imbalance leading to biased predictions, and insufficient feature representation, as conventional CNNs often fail to capture subtle patterns and complex dependencies. To address these challenges, we propose DAME (Diffusion-Augmented Meta-Learning Ensemble), a unified architecture that integrates hybrid modeling with generative learning using the Denoising Diffusion Probabilistic Model (DDPM). The DDPM component improves resolution, augments scarce data, and mitigates class imbalance. A hybrid backbone combining CNN, Vision Transformer (ViT), and CBAM captures both local dependencies and long-range spatial relationships, while CBAM further enhances feature representation by adaptively emphasizing informative regions. Predictions from multiple hybrids are aggregated, and a logistic regression meta classifier learns from these outputs to produce robust decisions. The framework is evaluated on the HAM10000 dataset, a benchmark for multi-class skin cancer classification. Explainable AI is incorporated through Grad CAM, providing visual insights into the decision-making process. This synergy mitigates CNN limitations and demonstrates superior generalizability, achieving 98.6% accuracy, 0.986 precision, 0.986 recall, and a 0.986 F1-score, significantly outperforming existing approaches. Overall, the proposed framework enables accurate, interpretable, and reliable medical image diagnosis through the joint optimization of contextual modeling, feature discrimination, and data generation.</t>
  </si>
  <si>
    <t>Ali, Muhammad Danish; Iqbal, Muhammad Ali; Lee, Sejong; Duan, Xiaoyun; Kim, Soo Kyun</t>
  </si>
  <si>
    <t>Kim, SK (corresponding author), Jeju Natl Univ, Dept Comp Engn, Jeju 63243, South Korea.</t>
  </si>
  <si>
    <t>kingsaejong@yu.ac.kr; kimsk@jejunu.ac.kr; danishscholar786@gmail.com; xiaoyun750@126.com; aliiqbal073@gmail.com</t>
  </si>
  <si>
    <t>Regional Innovation System and Education (RISE) program; Ministry of Education (MOE) and the Jeju Special Self-Governing Province, Republic of Korea [2025-RISE-17-001]</t>
  </si>
  <si>
    <t>Regional Innovation System and Education (RISE) program; Ministry of Education (MOE) and the Jeju Special Self-Governing Province, Republic of Korea</t>
  </si>
  <si>
    <t>This research was supported by the Regional Innovation System and Education (RISE) program through the Jeju RISE center, funded by the Ministry of Education (MOE) and the Jeju Special Self-Governing Province, Republic of Korea (2025-RISE-17-001).</t>
  </si>
  <si>
    <t>[Ali, Muhammad Danish] Jeju Natl Univ, Dept Elect Engn, Jeju 63243, South Korea; [Iqbal, Muhammad Ali; Kim, Soo Kyun] Jeju Natl Univ, Dept Comp Engn, Jeju 63243, South Korea; [Lee, Sejong] Yeungnam Univ, Sch Comp Sci &amp; Engn, 280 Daehak-ro, Gyongsan 38541, South Korea; [Duan, Xiaoyun] Anyang Normal Univ, Sch Software, Anyang 455002, Peoples R China</t>
  </si>
  <si>
    <t>Jeju National University; Jeju National University; Yeungnam University; Anyang Normal University</t>
  </si>
  <si>
    <t>Explainable AI Based Multi Class Skin Cancer Detection Enhanced by Meta Learning with Generative DDPM Data Augmentation</t>
  </si>
  <si>
    <t>skin cancer; convolutional neural networks (CNN); deep learning; meta learning; Convolutional Block Attention Module (CBAM); Data Augmentation with Diffusion Models (DDPMs)</t>
  </si>
  <si>
    <t>lee, sejong/POU-6793-2026; Iqbal, Muhammad Ali/KWT-9041-2024</t>
  </si>
  <si>
    <t>Iqbal, Muhammad Ali/0009-0001-5152-0255; Kim, Soo Kyun/0000-0001-6071-8231</t>
  </si>
  <si>
    <t>11689</t>
  </si>
  <si>
    <t>10.3390/app152111689</t>
  </si>
  <si>
    <t>http://dx.doi.org/10.3390/app152111689</t>
  </si>
  <si>
    <t>9QI0L</t>
  </si>
  <si>
    <t>WOS:001612492500001</t>
  </si>
  <si>
    <t>Efecan, V; Arican, OH</t>
  </si>
  <si>
    <t>Background The rapid digitalisation in the maritime sector has introduced new psychological risks; however, the non-linear pathways of digital burnout remain under-researched.Objective This study aims to investigate the multifaceted nature of digital burnout among seafarers by identifying key demographic drivers and latent risk profiles.Methods A hybrid analytical framework was employed, integrating traditional ANOVA with K-Means clustering and explainable artificial intelligence (XAI) tools, specifically SHAP and Decision Tree classifiers, to analyse survey data from Turkish seafarers.Results While ANOVA identifies age, income, and experience as significant drivers, machine learning reveals complex risk pathways. K-Means clustering identified three distinct profiles, with the high-risk group (Cluster 0) exhibiting critical Digital Ageing (45.12) and Emotional Exhaustion (21.90) scores. Decision Tree analysis indicates medium income as the primary root node for burnout stratification. SHAP analysis pinpoints mid-to-late career experience (16-20 years) and being a Deck Officer as the strongest catalysts for exhaustion, whereas younger age (21-25) and lower experience (6-10 years) act as protective buffers.Conclusions Digital burnout in the maritime sector is a spectrum condition driven by professional hierarchy and career midpoint pressures, rather than mere technology use. Findings underscore the necessity for human-centred digital policies and targeted resilience initiatives to safeguard the global maritime workforce's mental well-being.</t>
  </si>
  <si>
    <t>Efecan, Volkan; Arican, Ozan Hikmet</t>
  </si>
  <si>
    <t>Arican, OH (corresponding author), Kocaeli Univ, Maritime Fac, Maritime Business Management Dept, Kocaeli, Turkiye.</t>
  </si>
  <si>
    <t>ozanhikmet.arican@kocaeli.edu.tr</t>
  </si>
  <si>
    <t>[Efecan, Volkan] Mersin Univ, Fac Maritime, Dept Maritime Transportat &amp; Management Engn, Mersin, Turkiye; [Arican, Ozan Hikmet] Kocaeli Univ, Maritime Fac, Maritime Business Management Dept, Kocaeli, Turkiye</t>
  </si>
  <si>
    <t>Mersin University; Kocaeli University</t>
  </si>
  <si>
    <t>Decoding digital burnout in the maritime workforce: An explainable ai approach to digital ageing and deprivation</t>
  </si>
  <si>
    <t>WORK-A JOURNAL OF PREVENTION ASSESSMENT &amp; REHABILITATION</t>
  </si>
  <si>
    <t>burnout; healthcare; occupational health; transportation; mental health; artificial intelligence</t>
  </si>
  <si>
    <t>INTERNET; HEALTH; BRAIN</t>
  </si>
  <si>
    <t>Efecan, Volkan/ADG-5562-2022; Arican, Ozan/F-5681-2018</t>
  </si>
  <si>
    <t>1051-9815</t>
  </si>
  <si>
    <t>1875-9270</t>
  </si>
  <si>
    <t>WORK</t>
  </si>
  <si>
    <t>Work</t>
  </si>
  <si>
    <t>10.1177/10519815261456685</t>
  </si>
  <si>
    <t>http://dx.doi.org/10.1177/10519815261456685</t>
  </si>
  <si>
    <t>JE6LL</t>
  </si>
  <si>
    <t>42261065</t>
  </si>
  <si>
    <t>WOS:001787510300001</t>
  </si>
  <si>
    <t>Duhaim, AM; Al-Bakry, AM</t>
  </si>
  <si>
    <t>Automated ocular disease diagnosis from fundus imaging is frequently hindered by inter-class visual similarity, class imbalance, and a profound lack of clinical explainability, limiting trust in purely connectionist models. To address these challenges, we propose OntoEye-Net: a novel neuro-symbolic hybrid deep learning framework for multi-class diagnosis of cataract, diabetic retinopathy (DR), glaucoma, and normal fundus conditions. The architecture features a dual-backbone design, leveraging Swin Transformer V2 for hierarchical global context and EfficientNetV2 for fine-grained local feature extraction, integrated via a penalized cross-attention mechanism that dynamically suppresses non-informative regions. A principal contribution is the Ontology-Driven Focal Loss (ODFL). By leveraging a custom-built ophthalmic ontology-encoding 100 clinical findings, 53 anatomical structures, and over 300 relational triples-ODFL computes a disease-specific penalty matrix using Jaccard similarity, amplifying loss gradients for clinically dangerous misclassifications. At inference, a Neuro-Symbolic Override (NSO) engine validates predictions against ontological consistency rules, while an attention-guided Grad-CAM++ module provides interpretable biomarker attribution. Evaluated on an internal dataset of 10,514 images, the ensemble model achieved 97.21 % accuracy and a 97.54 % macro F1-score, reducing critical disease-to-normal errors by 34.5 %. External validation on an independent dataset (n = 601) under domain shift demonstrated robustness, achieving an 88.67 % macro F1-score after calibration. These results highlight improved diagnostic accuracy, interpretability, and clinical reliability in real-world applications.</t>
  </si>
  <si>
    <t>Duhaim, Ali M.; Al-Bakry, Abbas M.</t>
  </si>
  <si>
    <t>Duhaim, AM (corresponding author), Univ Informat Technol &amp; Commun UoITC, Informat Inst Postgrad Studies, Baghdad, Iraq.</t>
  </si>
  <si>
    <t>abbasm.albakry@uoitc.edu.iq; alialloshy@gmail.com</t>
  </si>
  <si>
    <t>[Duhaim, Ali M.] Univ Informat Technol &amp; Commun UoITC, Informat Inst Postgrad Studies, Baghdad, Iraq; [Al-Bakry, Abbas M.] Univ Informat Technol &amp; Commun UOITC, Baghdad, Iraq</t>
  </si>
  <si>
    <t>University of Information Technology &amp; Communication</t>
  </si>
  <si>
    <t>Towards trustworthy and explainable AI for ocular disease diagnosis using an ontology-guided neuro-symbolic framework</t>
  </si>
  <si>
    <t>Neuro-symbolic AI; Explainable AI (XAI); Ophthalmic Ontology; Fundus image classification; Domain generalization</t>
  </si>
  <si>
    <t>DIABETIC-RETINOPATHY; DEEP; VALIDATION; IMAGES</t>
  </si>
  <si>
    <t>NOV 1 2026</t>
  </si>
  <si>
    <t>111198</t>
  </si>
  <si>
    <t>10.1016/j.bspc.2026.111198</t>
  </si>
  <si>
    <t>http://dx.doi.org/10.1016/j.bspc.2026.111198</t>
  </si>
  <si>
    <t>MF4BJ</t>
  </si>
  <si>
    <t>WOS:001840937400001</t>
  </si>
  <si>
    <t>Alahakoon, AMHH; Walgampaya, CK; Walgampaya, S; Ekanayake, IU; Alawatugoda, J</t>
  </si>
  <si>
    <t>Glioblastoma multiforme (GBM) is a WHO grade IV tumor and its heterogeneity pushes oncologists to focus on more personalized treatments for individual patients. This challenge is aided by radiomics, which involves the extraction of valuable features from Magnetic Resonance images, the most common non invasive method to identify Glioblastoma multiforme. Analyzing radiomic features through machine learning has been a robust way to predict overall survival (OS) days of GBM patients which significantly affects the personalized treatments and wellbeing.Despite the promise of machine learning for predicting GBM patient overall survival (OS), the limited interpretability of complex models hinders their clinical adoption and the translation of valuable insights gained from radiomic features into actionable treatment plans. Therefore, this study is focused on designing a highly accurate Random Forest (RF) model to predict the OS days of GBM patients from radiomic features and utilize SHapely Additive exPlanation (SHAP) values to provide a comprehensive interpritable analysis of the model, enabling clinicians to understand the role of radiomic features in patient survival prediction. The designed RF model achieved a validation accuracy of 62.5% surpassing previous work done on similar studies. The interpritable analysis revealed critical insights for personalized treatment, including the identification of outlier patients with unique radiomic features, risk inflection points for key features that may guide treatment decisions and pairwise interactions of radiomic features that may be novel biomarkers that affect the OS of GBM patients. This study's findings pave the way for the development of more clinically-usable machine learning models for personalized GBM treatment planning, ultimately improving patient outcomes.</t>
  </si>
  <si>
    <t>Alahakoon, A. M. H. H.; Walgampaya, C. K.; Walgampaya, Shyama; Ekanayake, I. U.; Alawatugoda, Janaka</t>
  </si>
  <si>
    <t>Alawatugoda, J (corresponding author), Rabdan Acad, Res &amp; Innovat Ctr Div, Abu Dhabi, U Arab Emirates.; Alawatugoda, J (corresponding author), Griffith Univ, Inst Integrated &amp; Intelligent Syst, Nathan, Qld 4111, Australia.</t>
  </si>
  <si>
    <t>jalawatugoda@ra.ac.ae</t>
  </si>
  <si>
    <t>[Alahakoon, A. M. H. H.] Univ Peradeniya, Dept Comp Engn, Peradeniya 20400, Sri Lanka; [Alahakoon, A. M. H. H.; Ekanayake, I. U.] Ceylon Inst Artificial Intelligence &amp; Res, Colombo 00100, Sri Lanka; [Walgampaya, C. K.] Univ Peradeniya, Dept Engn Math, Peradeniya 20400, Sri Lanka; [Walgampaya, Shyama] Base Hosp Teaching, Radiol Unit, Gampola 20500, Sri Lanka; [Ekanayake, I. U.] RMIT Univ, Dept Comp Sci, Melbourne, Vic 3000, Australia; [Alawatugoda, Janaka] Rabdan Acad, Res &amp; Innovat Ctr Div, Abu Dhabi, U Arab Emirates; [Alawatugoda, Janaka] Griffith Univ, Inst Integrated &amp; Intelligent Syst, Nathan, Qld 4111, Australia</t>
  </si>
  <si>
    <t>University of Peradeniya; University of Peradeniya; Royal Melbourne Institute of Technology (RMIT); Rabdan Academy; Griffith University</t>
  </si>
  <si>
    <t>Overall Survival Predictions of GBM Patients Using Radiomics: An Explainable AI Approach Using SHAP</t>
  </si>
  <si>
    <t>Radiomics; Feature extraction; Tumors; Magnetic resonance imaging; Predictive models; Brain modeling; Imaging; Machine learning; Cancer; Random forests; Glioblastoma multiforme (GBM); explainable AI; SHAP; radiomic features; MRI</t>
  </si>
  <si>
    <t>GLIOBLASTOMA; FEATURES; BRIDGE</t>
  </si>
  <si>
    <t>Alawatugoda, Janaka/R-4456-2019</t>
  </si>
  <si>
    <t>Alawatugoda, Janaka/0000-0001-9431-5836</t>
  </si>
  <si>
    <t>145234</t>
  </si>
  <si>
    <t>145253</t>
  </si>
  <si>
    <t>10.1109/ACCESS.2024.3471832</t>
  </si>
  <si>
    <t>http://dx.doi.org/10.1109/ACCESS.2024.3471832</t>
  </si>
  <si>
    <t>J3I7N</t>
  </si>
  <si>
    <t>WOS:001336039700001</t>
  </si>
  <si>
    <t>Shang, JQ; Xu, ZY; Wang, DD</t>
  </si>
  <si>
    <t>Super-resolution technology significantly enhances the visual quality of low-resolution medical images, resulting in ultra-high-resolution clear images. Super-resolution technology based on artificial intelligence has achieved great success in reconstruction quality. However, like the image restoration task, super-resolution is also an ill-posed problem, and current work lacks consideration of trustworthiness. Medical image super-resolution needs to ensure clarity and, more importantly, to ensure that the output image is reliable and does not produce false details and mislead the diagnosis. To address the trustworthy issue of medical image super-resolution, we design a novel hybrid loss that combines a hinge-based adversarial term with a PSNR-based regularization. In the designed loss function, the adversarial term makes the reconstructed result close to the distribution of the true high-resolution image, thus generating more refined high-frequency textures, while the PSNR-based regularization term explicitly reduces the deviation from the ground truth. We apply this loss in the global-token U-Net backbone network and add a lightweight VGG as the discriminator for adversarial terms. We empirically verify that integrating the proposed methods can enhance the trustworthiness of medical image super-resolution technology while maintaining high reconstruction quality.</t>
  </si>
  <si>
    <t>Shang, Jiaqi; Xu, Zhiyuan; Wang, Dongdong</t>
  </si>
  <si>
    <t>Wang, DD (corresponding author), Nanjing Univ Sci &amp; Technol, Sch Mech Engn, Nanjing 210094, Peoples R China.</t>
  </si>
  <si>
    <t>ddong.wang.njust.cn@gmail.com</t>
  </si>
  <si>
    <t>[Shang, Jiaqi; Xu, Zhiyuan] Hohai Univ, Dept Engn Mech, Nanjing 211100, Peoples R China; [Wang, Dongdong] Nanjing Univ Sci &amp; Technol, Sch Mech Engn, Nanjing 210094, Peoples R China</t>
  </si>
  <si>
    <t>Hohai University; Nanjing University of Science &amp; Technology</t>
  </si>
  <si>
    <t>Global-Token U-Net with Hybrid Loss for Trustworthy Medical Image Super-Resolution</t>
  </si>
  <si>
    <t>medical image processing; super-resolution; trustworthy AI; hybrid loss function</t>
  </si>
  <si>
    <t>FEB 26 2026</t>
  </si>
  <si>
    <t>1454</t>
  </si>
  <si>
    <t>10.3390/s26051454</t>
  </si>
  <si>
    <t>http://dx.doi.org/10.3390/s26051454</t>
  </si>
  <si>
    <t>FA1NT</t>
  </si>
  <si>
    <t>41829416</t>
  </si>
  <si>
    <t>WOS:001713880000001</t>
  </si>
  <si>
    <t>Huang, ZQ; Wang, JJ; Chen, MW; Chu, X; Li, JY; Sun, XY; Yang, LZ; Wong, ST; Chen, YC; Wang, TF; Li, H</t>
  </si>
  <si>
    <t>The objective was to develop and validate an explainable artificial intelligence (AI)-based multimodal approach for preoperative risk stratification of central lymph node metastasis (CLNM) in papillary thyroid carcinoma (PTC) and to evaluate its role in supporting radiologist decision-making. This multicenter retrospective study enrolled patients with pathologically confirmed PTC from four hospitals. Preoperative two-dimensional ultrasound, strain elastography, shear-wave elastography, and clinical variables were integrated to develop a multimodal predictive model. Model interpretability was achieved using SHapley Additive exPlanations (SHAP) to provide feature-level explanations supporting clinical interpretation. To assess clinical usability, a controlled reader study was conducted in which six radiologists with varying experience independently evaluated cases under three conditions: without AI assistance, with basic AI assistance (probability output only), and with explainable AI assistance (visualized feature-level contributions). Model performance was evaluated using the area under the receiver operating characteristic curve (AUC), and reader performance was assessed using paired statistical comparisons and interreader agreement analysis. A total of 428 patients (mean age, 44 years +/- 12; 369 women) with 508 PTC nodules were included, of whom 225 (44.3%) had CLNM. The multimodal model achieved AUCs of 0.975, 0.917, and 0.844 in the training, validation, and external test cohorts, respectively, outperforming single-modality and simplified fusion approaches (p &lt; 0.05). SHAP identified age, texture-derived radiomic features, and elastography-derived stiffness-related features as key contributors. In the reader study, explainable AI assistance significantly improved diagnostic accuracy across all experience levels, increased diagnostic confidence, and raised human-AI agreement to substantial or almost-perfect levels. An explainable AI-based multimodal approach enables accurate preoperative risk stratification of CLNM in PTC and improves radiologist diagnostic performance, with potential to support clinical decision-making within radiology workflows.</t>
  </si>
  <si>
    <t>Huang, Zhengqin; Wang, Junjie; Chen, Meiwen; Chu, Xuan; Li, Jingyu; Sun, Xiyan; Yang, Lizhuang; Wong, Stephen T. C.; Chen, Yongchao; Wang, Tengfei; Li, Hai</t>
  </si>
  <si>
    <t>Wang, TF; Li, H (corresponding author), Chinese Acad Sci, Hefei Canc Hosp, Inst Hlth &amp; Med Technol, Hefei Inst Phys Sci, Hefei 230031, Peoples R China.; Chen, YC (corresponding author), Anhui Med Univ, Affiliated Hosp 1, Dept Ultrasound, Hefei 230022, Peoples R China.</t>
  </si>
  <si>
    <t>chenyongchaosnn@163.com; wangtf@cmpt.ac.cn; hli@cmpt.ac.cn</t>
  </si>
  <si>
    <t>Anhui Provincial Key Research and Development Plan [2023s07020001]; National Natural Science Foundation of China [82371931]</t>
  </si>
  <si>
    <t>Anhui Provincial Key Research and Development Plan; National Natural Science Foundation of China (National Natural Science Foundation of China (NSFC))</t>
  </si>
  <si>
    <t>This study has received funding by the National Natural Science Foundation of China (82371931) and the Anhui Provincial Key Research and Development Project (2023s07020001).</t>
  </si>
  <si>
    <t>[Huang, Zhengqin] Anhui Univ, Inst Phys Sci &amp; Informat Technol, Hefei 230601, Peoples R China; [Chen, Meiwen] Anhui Univ, Informat Mat &amp; Intelligent Sensing Lab Anhui Prov, Hefei 230601, Peoples R China; [Huang, Zhengqin; Wang, Junjie; Chu, Xuan; Li, Jingyu; Sun, Xiyan; Yang, Lizhuang; Wang, Tengfei; Li, Hai] Chinese Acad Sci, Hefei Canc Hosp, Inst Hlth &amp; Med Technol, Hefei Inst Phys Sci, Hefei 230031, Peoples R China; [Chen, Yongchao] Anhui Med Univ, Affiliated Hosp 1, Dept Ultrasound, Hefei 230022, Peoples R China; [Wong, Stephen T. C.] Houston Methodist Hosp, Houston Methodist Neal Canc Ctr, Dept Syst Med &amp; Bioengn, Houston, TX 77030 USA; [Wong, Stephen T. C.] Weill Cornell Med Coll, Dept Radiol, New York, NY 10065 USA</t>
  </si>
  <si>
    <t>Anhui University; Anhui University; Chinese Academy of Sciences; Hefei Institutes of Physical Science, CAS; Anhui Medical University; Houston Methodist</t>
  </si>
  <si>
    <t>Explainable AI-Assisted Multimodal Ultrasound Radiomics for Preoperative Risk Stratification of Central Lymph Node Metastasis in Papillary Thyroid Carcinoma</t>
  </si>
  <si>
    <t>Papillary thyroid carcinoma; Central lymph node metastasis; Multimodal ultrasound; Explainable artificial intelligence; Diagnostic consistency</t>
  </si>
  <si>
    <t>GUIDELINES; CANCER</t>
  </si>
  <si>
    <t>Yang, Li-Zhuang/F-3648-2016</t>
  </si>
  <si>
    <t>10.1007/s10278-026-02141-5</t>
  </si>
  <si>
    <t>http://dx.doi.org/10.1007/s10278-026-02141-5</t>
  </si>
  <si>
    <t>LY0XX</t>
  </si>
  <si>
    <t>42527780</t>
  </si>
  <si>
    <t>WOS:001835965500001</t>
  </si>
  <si>
    <t>Kubota, K; Nishimura, A; Seto, R; Li, L</t>
  </si>
  <si>
    <t>Generative artificial intelligence (AI) is arriving in high-stakes assessment; however, governance, validity evidence, and faculty readiness remain uneven. From a Taiwan-Japan perspective, we outline a pragmatic, transferable approach to integrating AI into nursing objective structured clinical examinations (OSCEs) using a 5-AI-role model-learning assistant, AI-augmented standardized patient, assessment assistant, case generator, and learning analyst-mapped across pre-OSCE, peri-OSCE, and post-OSCE workflows with human-in-the-loop final judgment. Taiwan contributes agile interdisciplinary development, staged pilots (practice, mock OSCE, and limited high-stakes stations), A/B comparisons, and explainability-by-design logging that links scores to time-stamped evidence. Japan contributes robust policy scaffolding (national AI use guidance in K-12, a revised nursing model core curriculum with outcomes and assessment blueprints, and institutional research cultures that support auditability and quality assurance). We distill 4 cross-cutting governance pillars-human oversight, learning process transparency, ethics and safety, and traceability-into implementabletechniques (machine-readable rubrics, standardized patient persona cards, bias monitoring, and targeted faculty development). Aligning with international principles (International Advisory Committee for AI; Organisation for Economic Co-operation and Development; United Nations Educational, Scientific and Cultural Organization; World Health Organization; European Commission's High Level Expert Group; and National Institute of Standards and Technology), we propose a joint road map and shared registry to benchmark reliability, validity, equity, and workload impact. This viewpoint targets OSCE directors, nursing educators, and institutional leaders and provides a phase-gated governance blueprint rather than reporting original trial outcomes. Taiwan-led agility, complemented by Japan's standards-driven assurance, can form an Asia-Pacific reference model for trustworthy AI-augmented OSCE in nursing education.</t>
  </si>
  <si>
    <t>Kubota, Kazumi; Nishimura, Ayako; Seto, Ryoma; Li, Liu</t>
  </si>
  <si>
    <t>Kubota, K (corresponding author), Shimonoseki City Univ, Res Org, 2-1-1 Daigaku Cho, Shimonoseki, Yamaguchi 7518510, Japan.</t>
  </si>
  <si>
    <t>kkubota@m.u-tokyo.ac.jp</t>
  </si>
  <si>
    <t>[Kubota, Kazumi] Shimonoseki City Univ, Res Org, 2-1-1 Daigaku Cho, Shimonoseki, Yamaguchi 7518510, Japan; [Kubota, Kazumi] Univ Tokyo Hosp, Dept Healthcare Informat Management, Tokyo, Japan; [Nishimura, Ayako] Tokyo Healthcare Univ, Fac Healthcare, Div Nursing, Tokyo, Japan; [Seto, Ryoma] Tokyo Healthcare Univ, Fac Healthcare, Div Healthcare Informat, Tokyo, Japan; [Li, Liu] Show Chwan Hlth Care Syst, Taipei, Taiwan</t>
  </si>
  <si>
    <t>University of Tokyo</t>
  </si>
  <si>
    <t>Trustworthy AI-Augmented Objective Structured Clinical Examinations in Nursing Education: Taiwan-Japan Viewpoint on 5 AI Roles, Governance, and Cross-Border Implementation</t>
  </si>
  <si>
    <t>JMIR FORMATIVE RESEARCH</t>
  </si>
  <si>
    <t>objectivestructuredclinical examination; OSCE; nursing education; generative artificial intelligence; generativeAI; standardized patient; assessment governance; transparency and traceability; Taiwan-Japan collaboration; artificial intelligence; AI</t>
  </si>
  <si>
    <t>2561-326X</t>
  </si>
  <si>
    <t>JMIR FORM RES</t>
  </si>
  <si>
    <t>JMIR Form. Res.</t>
  </si>
  <si>
    <t>e87830</t>
  </si>
  <si>
    <t>10.2196/87830</t>
  </si>
  <si>
    <t>http://dx.doi.org/10.2196/87830</t>
  </si>
  <si>
    <t>FJ9JH</t>
  </si>
  <si>
    <t>41818744</t>
  </si>
  <si>
    <t>WOS:001720528400030</t>
  </si>
  <si>
    <t>Korkmaz, AF; Ekinci, F; Altas, S; Kumru, E; Güzel, MS; Akata, I</t>
  </si>
  <si>
    <t>This study presents a novel approach for classifying Discomycetes species using deep learning and explainable artificial intelligence (XAI) techniques. The EfficientNet-B0 model achieved the highest performance, reaching 97% accuracy, a 97% F1-score, and a 99% AUC, making it the most effective model. MobileNetV3-L followed closely, with 96% accuracy, a 96% F1-score, and a 99% AUC, while ShuffleNet also showed strong results, reaching 95% accuracy and a 95% F1-score. In contrast, the EfficientNet-B4 model exhibited lower performance, achieving 89% accuracy, an 89% F1-score, and a 93% AUC. These results highlight the superior feature extraction and classification capabilities of EfficientNet-B0 and MobileNetV3-L for biological data. Explainable AI (XAI) techniques, including Grad-CAM and Score-CAM, enhanced the interpretability and transparency of model decisions. These methods offered insights into the internal decision-making processes of deep learning models, ensuring reliable classification results. This approach improves traditional taxonomy by advancing data processing and supporting accurate species differentiation. In the future, using larger datasets and more advanced AI models is recommended for biodiversity monitoring, ecosystem modeling, medical imaging, and bioinformatics. Beyond high classification performance, this study offers an ecologically meaningful approach by supporting biodiversity conservation and the accurate identification of fungal species. These findings contribute to developing more precise and reliable biological classification systems, setting new standards for AI-driven research in biological sciences.</t>
  </si>
  <si>
    <t>Korkmaz, Aras Fahrettin; Ekinci, Fatih; Altas, Sehmus; Kumru, Eda; Guzel, Mehmet Serdar; Akata, Ilgaz</t>
  </si>
  <si>
    <t>Akata, I (corresponding author), Ankara Univ, Fac Sci, Dept Biol, TR-06100 Ankara, Turkiye.</t>
  </si>
  <si>
    <t>a.korkmaz@iku.edu.tr; fatihekinci@ankara.edu.tr; 20291316@ogrenci.ankara.edu.tr; akata@science.ankara.edu.tr; ekumru@ankara.edu.tr; mguzel@ankara.edu.tr</t>
  </si>
  <si>
    <t>[Korkmaz, Aras Fahrettin] Istanbul Kultur Univ, Fac Hlth Sci Nutr, Dietet Dept, Sirinevler Campus, TR-34191 Istanbul, Turkiye; [Ekinci, Fatih] Ankara Univ, Inst Artificial Intelligence, TR-06100 Ankara, Turkiye; [Altas, Sehmus; Guzel, Mehmet Serdar] Ankara Univ, Fac Engn, Dept Comp Engn, TR-06830 Ankara, Turkiye; [Kumru, Eda] Ankara Univ, Grad Sch Nat &amp; Appl Sci, TR-06830 Ankara, Turkiye; [Akata, Ilgaz] Ankara Univ, Fac Sci, Dept Biol, TR-06100 Ankara, Turkiye</t>
  </si>
  <si>
    <t>Istanbul Kultur University; Ankara University; Ankara University; Ankara University; Ankara University</t>
  </si>
  <si>
    <t>A Deep Learning and Explainable AI-Based Approach for the Classification of Discomycetes Species</t>
  </si>
  <si>
    <t>Discomycetes classification; deep learning; explainable artificial intelligence (XAI); EfficientNet-B0; fungal taxonomy</t>
  </si>
  <si>
    <t>KORKMAZ, ARAS FAHRETTİN/JOK-5455-2023; Kumru, Eda/GYA-2456-2022; Guzel, Mehmet Serdar/AAI-7466-2020; AKATA, ILGAZ/AAD-2652-2019; ekinci, fatih/NBX-5980-2025</t>
  </si>
  <si>
    <t>KORKMAZ, ARAS FAHRETTİN/0000-0002-3827-3018; Kumru, Eda/0009-0000-7417-6197; Guzel, Mehmet Serdar/0000-0002-3408-0083</t>
  </si>
  <si>
    <t>JUN 18 2025</t>
  </si>
  <si>
    <t>719</t>
  </si>
  <si>
    <t>10.3390/biology14060719</t>
  </si>
  <si>
    <t>http://dx.doi.org/10.3390/biology14060719</t>
  </si>
  <si>
    <t>4EM5H</t>
  </si>
  <si>
    <t>40563969</t>
  </si>
  <si>
    <t>WOS:001516100700001</t>
  </si>
  <si>
    <t>Mostafa, F; Hossain, K; Das, D; Khan, H</t>
  </si>
  <si>
    <t>Early and accurate diagnosis of Alzheimer's disease is critical for effective clinical intervention, particularly in distinguishing it from mild cognitive impairment, a prodromal stage marked by subtle structural changes. In this study, we propose a hybrid deep learning ensemble framework for Alzheimer's disease classification using structural magnetic resonance imaging. Gray and white matter slices are used as inputs to three pretrained convolutional neural networks: ResNet50, NASNet, and MobileNet, each fine-tuned through an end-to-end process. To further enhance performance, we incorporate a stacked ensemble learning strategy with a meta-learner and weighted averaging to optimally combine the base models. Evaluated on the Alzheimer's Disease Neuroimaging Initiative dataset, the proposed method achieves state-of-the-art accuracy of 99.21% for Alzheimer's disease vs. mild cognitive impairment and 91.02% for mild cognitive impairment vs. normal controls, outperforming conventional transfer learning and baseline ensemble methods. To improve interpretability in image-based diagnostics, we integrate Explainable AI techniques by Gradient-weighted Class Activation Mapping, which generates heatmaps and attribution maps that highlight critical regions in gray and white matter slices, revealing structural biomarkers that influence model decisions. These results highlight the framework's potential for robust and scalable clinical decision support in neurodegenerative disease diagnostics.</t>
  </si>
  <si>
    <t>Mostafa, Fahad; Hossain, Kannon; Das, Dip; Khan, Hafiz</t>
  </si>
  <si>
    <t>Mostafa, F (corresponding author), Arizona State Univ, Sch Math &amp; Nat Sci, Phoenix, AZ 85051 USA.</t>
  </si>
  <si>
    <t>dipd@email.sc.edu; hafiz.khan@ttuhsc.edu; khossain@fgcu.edu; fahad.mostafa@asu.edu</t>
  </si>
  <si>
    <t>[Mostafa, Fahad] Arizona State Univ, Sch Math &amp; Nat Sci, Phoenix, AZ 85051 USA; [Hossain, Kannon] Florida Gulf Coast Univ, Dept Math, Ft Myers, FL 33928 USA; [Das, Dip] Univ South Carolina, Dept Stat, Columbia, SC 29225 USA; [Khan, Hafiz] Texas Tech Univ, Hlth Sci Ctr, Julia Jones Matthews Sch Populat &amp; Publ Hlth, Dept Publ Hlth, Lubbock, TX 79430 USA</t>
  </si>
  <si>
    <t>Arizona State University; Arizona State University-Downtown Phoenix; State University System of Florida; Florida Gulf Coast University; University of South Carolina System; University of South Carolina Columbia; Texas Tech University System; Texas Tech University Health Sciences Center</t>
  </si>
  <si>
    <t>Deep Learning Approaches with Explainable AI for Differentiating Alzheimer's Disease and Mild Cognitive Impairment</t>
  </si>
  <si>
    <t>APPLIEDMATH</t>
  </si>
  <si>
    <t>deep learning; Alzheimer's disease; explainable artificial intelligence; Alzheimer's disease neuroimaging initiative</t>
  </si>
  <si>
    <t>EPIDEMIOLOGY; MODELS; STATE</t>
  </si>
  <si>
    <t>Mostafa, Fahad/LFS-6903-2024</t>
  </si>
  <si>
    <t>Hossain, Kannon/0000-0002-0076-0216; Das, Dip/0009-0004-4106-0867; Mostafa, G M Fahad Bin/0000-0003-0672-2955; Khan, Hafiz/0000-0002-4324-7842</t>
  </si>
  <si>
    <t>2673-9909</t>
  </si>
  <si>
    <t>APPLIEDMATH-BASEL</t>
  </si>
  <si>
    <t>AppliedMath</t>
  </si>
  <si>
    <t>DEC 4 2025</t>
  </si>
  <si>
    <t>10.3390/appliedmath5040171</t>
  </si>
  <si>
    <t>http://dx.doi.org/10.3390/appliedmath5040171</t>
  </si>
  <si>
    <t>Mathematics, Applied</t>
  </si>
  <si>
    <t>AE1JL</t>
  </si>
  <si>
    <t>WOS:001645974500001</t>
  </si>
  <si>
    <t>Gudiño-Ochoa, A; García-Rodríguez, JA; Ochoa-Ornelas, R; Ruiz-Velazquez, E; Uribe-Toscano, S; Cuevas-Chávez, JI; Sánchez-Arias, DA</t>
  </si>
  <si>
    <t>Background/Objectives: The increasing prevalence of diabetes underscores the urgent need for non-invasive, rapid, and cost-effective diagnostic alternatives. This study presents a breath-based multiclass diabetes classification system leveraging only three gas sensors (CO, alcohol, and acetone) to analyze exhaled breath composition. Methods: Breath samples were collected from 58 participants (22 healthy, 7 prediabetic, and 29 diabetic), with blood glucose levels serving as the reference metric. To enhance classification performance, we introduced a novel biomarker, the alcohol-to-acetone ratio, through a feature engineering approach. Class imbalance was addressed using the Synthetic Minority Over-Sampling Technique (SMOTE), ensuring a balanced dataset for model training. A nested cross-validation framework with 3 outer and 3 inner folds was implemented. Multiple machine learning classifiers were evaluated, with Random Forest and Gradient Boosting emerging as the top-performing models. Results: An ensemble combining both yielded the highest overall performance, achieving an average accuracy of 98.86%, precision of 99.07%, recall of 98.81% and F1 score of 98.87%. These findings highlight the potential of gas sensor-based breath analysis as a highly accurate, scalable, and non-invasive method for diabetes screening. Conclusions: The proposed system offers a promising alternative to blood-based diagnostic approaches, paving the way for real-world applications in point-of-care diagnostics and continuous health monitoring.</t>
  </si>
  <si>
    <t>Gudino-Ochoa, Alberto; Garcia-Rodriguez, Julio Alberto; Ochoa-Ornelas, Raquel; Ruiz-Velazquez, Eduardo; Uribe-Toscano, Sofia; Cuevas-Chavez, Jorge Ivan; Sanchez-Arias, Daniel Alejandro</t>
  </si>
  <si>
    <t>García-Rodríguez, JA (corresponding author), Tecnol Nacl Mexico, Inst Tecnol Ciudad Guzman, Elect Dept, Ciudad Guzman 49100, Jalisco, Mexico.; García-Rodríguez, JA (corresponding author), Univ Guadalajara, Ctr Univ CUSUR, Dept Ciencias Computac Innovac Tecnol, Ciudad Guzman 49000, Jalisco, Mexico.</t>
  </si>
  <si>
    <t>jorge.cuevas9196@alumnos.udg.mx; eduardo.ruiz@cucei.udg.mx; sofia.uribe9866@alumnos.udg.mx; gudino.ochoa.alberto@gmail.com; raquel.oo@cdguzman.tecnm.mx; daniel.sanchez9197@alumnos.udg.mx; julio.garciar@cusur.udg.mx</t>
  </si>
  <si>
    <t>Instituto Tecnologico de Ciudad Guzman</t>
  </si>
  <si>
    <t>This manuscript was prepared with resources from the PROSNII-2025 program and the Department of Computer Science and Technological Innovation at Centro Universitario delSur, University of Guadalajara. The authors express their gratitude to Instituto Tecnologico de Ciudad Guzman for the support provided.</t>
  </si>
  <si>
    <t>[Gudino-Ochoa, Alberto; Garcia-Rodriguez, Julio Alberto] Tecnol Nacl Mexico, Inst Tecnol Ciudad Guzman, Elect Dept, Ciudad Guzman 49100, Jalisco, Mexico; [Gudino-Ochoa, Alberto; Ruiz-Velazquez, Eduardo; Cuevas-Chavez, Jorge Ivan; Sanchez-Arias, Daniel Alejandro] Univ Guadalajara, Ctr Univ Ciencias Exactas Ingn CUCEI, Elect &amp; Comp Div, Guadalajara 44430, Jalisco, Mexico; [Garcia-Rodriguez, Julio Alberto] Univ Guadalajara, Ctr Univ CUSUR, Dept Ciencias Computac Innovac Tecnol, Ciudad Guzman 49000, Jalisco, Mexico; [Ochoa-Ornelas, Raquel] Tecnol Nacl Mexico, Inst Tecnol Ciudad Guzman, Syst &amp; Computat Dept, Ciudad Guzman 49100, Jalisco, Mexico; [Uribe-Toscano, Sofia] Univ Guadalajara, Ctr Univ CUSUR, Dept Ciencias Clin, Div Ciencias Salud, Av Enrique Arreola Silva 883, Ciudad Guzman 49000, Jalisco, Mexico</t>
  </si>
  <si>
    <t>Universidad de Guadalajara; Universidad de Guadalajara; Universidad de Guadalajara</t>
  </si>
  <si>
    <t>Non-Invasive Multiclass Diabetes Classification Using Breath Biomarkers and Machine Learning with Explainable AI</t>
  </si>
  <si>
    <t>DIABETOLOGY</t>
  </si>
  <si>
    <t>breath acetone; diabetes classification; machine learning; breath biomarkers; medical expert systems; exhaled breath analysis</t>
  </si>
  <si>
    <t>Ruiz-Velázquez, Eduardo/AAJ-6228-2020; Gudiño Ochoa, Alberto/HDN-0235-2022; García-Rodríguez, Julio Alberto/LBI-3198-2024; Ochoa Ornelas, Raquel/S-4687-2018</t>
  </si>
  <si>
    <t>Ruiz-Velázquez, Eduardo/0000-0003-0478-305X; Uribe Toscano, Sofia/0009-0009-8325-8237; Gudiño Ochoa, Alberto/0000-0002-2366-7452; García-Rodríguez, Julio Alberto/0000-0003-0339-0545; Ochoa Ornelas, Raquel/0000-0003-1824-5789; Daniel Alejano, Sanchez Arias/0000-0002-5644-7421</t>
  </si>
  <si>
    <t>2673-4540</t>
  </si>
  <si>
    <t>Diabetol.</t>
  </si>
  <si>
    <t>JUN 4 2025</t>
  </si>
  <si>
    <t>10.3390/diabetology6060051</t>
  </si>
  <si>
    <t>http://dx.doi.org/10.3390/diabetology6060051</t>
  </si>
  <si>
    <t>4DU7F</t>
  </si>
  <si>
    <t>WOS:001515635300001</t>
  </si>
  <si>
    <t>Louhichi, M; Nesmaoui, R; Lazaar, M</t>
  </si>
  <si>
    <t>The increasing complexity of machine learning models necessitates robust methods for interpretability, particularly in clustering applications, where understanding group characteristics is critical. To this end, this paper introduces novel framework that integrates cooperative game theory and explainable artificial intelligence (XAI) to enhance the interpretability of black-box clustering models. Our framework integrates approximated Shapley values with multi-level clustering to reveal hierarchical feature interactions, enabling both local and global interpretability. The validity of this framework is achieved by conducting extensive empirical evaluations of two datasets, the Portuguese wine quality benchmark and Beijing Multi-Site Air Quality dataset the framework demonstrates improved clustering quality and interpretability, with features such as density and total sulfur dioxide emerging as dominant predictors in the wine analysis, while pollutants like PM2.5 and NO2 significantly influence air quality clustering. Key contributions include a multi-level clustering approach that reveals hierarchical feature attribution, use of interactive visualizations produced by Altair and a single interpretability framework that validate the state-of-art baselines. As a result, the framework forms a strong basis of interpretable clustering in essential fields like healthcare, finance, and environmental surveillance, which reinforces its generalization with respect to each domain. The results underline the need for interpretability in machine learning, providing actionable insights for stakeholders in a variety of fields.</t>
  </si>
  <si>
    <t>Louhichi, Mouad; Nesmaoui, Redwane; Lazaar, Mohamed</t>
  </si>
  <si>
    <t>Louhichi, M (corresponding author), Mohammed V Univ, ENSIAS, Rabat, Morocco.</t>
  </si>
  <si>
    <t>[Louhichi, Mouad; Nesmaoui, Redwane; Lazaar, Mohamed] Mohammed V Univ, ENSIAS, Rabat, Morocco</t>
  </si>
  <si>
    <t>Mohammed V University in Rabat</t>
  </si>
  <si>
    <t>Game Theory Meets Explainable AI: An Enhanced Approach to Understanding Black Box Models Through Shapley Values</t>
  </si>
  <si>
    <t>Cooperative game theory; Explainable Artificial Intelligence (XAI); Shapley values; cluster analysis; interpretability; feature attribution; black-box models</t>
  </si>
  <si>
    <t>LAZAAR, Mohamed/F-9419-2018; Louhichi, Mouad/QDL-5849-2026; Nesmaoui, Redwane/KHD-4433-2024</t>
  </si>
  <si>
    <t>Cleckheaton</t>
  </si>
  <si>
    <t>Summit House, Woodland Park, Bradford Road, Cleckheaton, ENGLAND</t>
  </si>
  <si>
    <t>725</t>
  </si>
  <si>
    <t>8LQ6L</t>
  </si>
  <si>
    <t>WOS:001591617300001</t>
  </si>
  <si>
    <t>Ramnani, S; Roy, K; Sheth, A</t>
  </si>
  <si>
    <t>Escalating prevalence of mental health issues worldwide has created an unprecedented demand for mental healthcare services, yet the shortage of qualified practitioners limits accessibility for countless individuals in need. AI has emerged as a potential solution to support mental health professionals, offering assistance that goes beyond simple diagnostic aid. This research introduces a novel AI-powered real-time diagnostic support system-MATRIX-for mental healthcare diagnostics designed to interact with users using natural language and utilizing the Patient Health Questionnaire-9 (PHQ-9), a standardized clinical tool for assessing depressive symptoms. The system classifies the interaction into a well-defined checklist and generates the most likely diagnosis through a framework termed X-AI Attribution Reasoning, which provides explainable and attributable diagnostic logic for interdisciplinary clarity. Unlike existing diagnostic support systems that primarily rely on static scoring or predefined rule sets, MATRIX integrates explainable AI (XAI) principles to deliver interpretable reasoning pathways that clinicians can trace and validate. The PHQ-9 implementation within MATRIX has been tested in controlled clinical simulations, confirming its usability and alignment with real-world assessment practices. The system not only accelerates the diagnostic process but also provides transparent explanations, detailed reasoning for such diagnoses, and clinically relevant attributions linked to standard SNOMED Concept IDs, which can be directly utilized by clinicians for documentation, referrals, and electronic health record integration while maintaining data privacy. By offering this level of insight, the system fosters a trustworthy AI-human collaboration that aids clinicians in understanding and validating each diagnostic recommendation. Interpretability within MATRIX is achieved through visual attribution maps and narrative output summaries, ensuring that decision processes remain both transparent and clinically meaningful. The integration of these features enables practitioners to focus on patient care with the assurance that AI-assisted diagnostics align with clinical standards, resulting in reduced time spent per patient and enhanced patient throughput. Our preliminary findings indicate that MATRIX achieves over 89% classification accuracy and high clinician satisfaction in pilot evaluations, demonstrating that AI-driven support systems with explainable, reasonable, and attributable real-time diagnostics can significantly enhance the capacity of mental health services and improve access to timely and effective care for those affected by mental health conditions. This study highlights the essential role of AI in enhancing both the efficiency and trustworthiness of mental health diagnostics in clinical settings, making a compelling case for the integration of AI into modern mental healthcare.</t>
  </si>
  <si>
    <t>Ramnani, Sweety; Roy, Kaushik; Sheth, Amit</t>
  </si>
  <si>
    <t>Ramnani, S (corresponding author), Univ South Carolina, Artificial Intelligence Inst, Comp Sci Dept, Columbia, SC 29208 USA.</t>
  </si>
  <si>
    <t>sramnani@email.sc.edu</t>
  </si>
  <si>
    <t>[Ramnani, Sweety; Roy, Kaushik; Sheth, Amit] Univ South Carolina, Artificial Intelligence Inst, Comp Sci Dept, Columbia, SC 29208 USA</t>
  </si>
  <si>
    <t>University of South Carolina System; University of South Carolina Columbia</t>
  </si>
  <si>
    <t>MATRIX: Mental heAlth diagnostics Through Real time Intelligent unified X-AI attribution reasoning</t>
  </si>
  <si>
    <t>mental health; real-time diagnostics; attribution; explainable AI; PHQ-9; SNOMED-CT</t>
  </si>
  <si>
    <t>Ramnani, Sweety/0009-0001-0274-6960</t>
  </si>
  <si>
    <t>FEB 13 2026</t>
  </si>
  <si>
    <t>1621271</t>
  </si>
  <si>
    <t>10.3389/fdgth.2025.1621271</t>
  </si>
  <si>
    <t>http://dx.doi.org/10.3389/fdgth.2025.1621271</t>
  </si>
  <si>
    <t>EI5YE</t>
  </si>
  <si>
    <t>41767342</t>
  </si>
  <si>
    <t>WOS:001701945900001</t>
  </si>
  <si>
    <t>Lu, JH; Yin, C; Ingala, S; Erleben, K; Nielsen, MB; Darkner, S</t>
  </si>
  <si>
    <t>Background and objective: Lung cancer, a leading cause of cancer-related deaths globally, emphasises the importance of early detection for improving patient outcomes. Pulmonary nodules, often early indicators of lung cancer, necessitate accurate and timely diagnosis. Despite advances in Explainable Artificial Intelligence (XAI), many existing systems struggle to provide clear, comprehensive explanations, especially in scenarios with limited labelled data. This study introduces MERA, a Multimodal and Multiscale self-Explanatory model designed for lung nodule diagnosis with considerably Reduced Annotation requirements. Methods: MERA integrates unsupervised and weakly supervised learning strategies, including self-supervised learning techniques and Vision Transformer architecture for unsupervised feature extraction, followed by a hierarchical prediction mechanism that leverages sparse annotations through semi-supervised active learning in the learned latent space. MERA explains its decisions on multiple levels: model-level global explanations through semantic latent space clustering, instance-level case-based explanations providing similar instances, local visual explanations via attention maps, and concept explanations based on critical nodule attributes. Results: Evaluations on the public LIDC dataset underscore MERA's superior diagnostic accuracy and selfexplainability. With only 1% of annotated samples, MERA achieves diagnostic accuracy comparable to or exceeding that of state-of-the-art methods that require full annotation. The model's inherent design delivers comprehensive, robust, multilevel explanations that align closely with clinical practices, thereby enhancing the trustworthiness and transparency of the diagnostic process. Conclusions: MERA addresses critical gaps in XAI and lung nodule diagnosis by providing a self-explanatory framework with multimodal and multiscale explanations and significantly reduced annotation needs. The demonstrated viability of unsupervised and weakly supervised learning in this context lowers the barrier to deploying diagnostic AI systems in broader medical domains. MERA represents a significant step towards more transparent, understandable, and trustworthy AI systems in healthcare. Our complete code is open-source available: https://github.com/diku-dk/credanno.</t>
  </si>
  <si>
    <t>Lu, Jiahao; Yin, Chong; Ingala, Silvia; Erleben, Kenny; Nielsen, Michael Bachmann; Darkner, Sune</t>
  </si>
  <si>
    <t>Lu, JH (corresponding author), Univ pk1, DK-2100 Kobenhavn O, Denmark.</t>
  </si>
  <si>
    <t>lu@di.ku.dk</t>
  </si>
  <si>
    <t>[Lu, Jiahao; Erleben, Kenny; Darkner, Sune] Univ Copenhagen, Dept Comp Sci, Copenhagen, Denmark; [Lu, Jiahao; Ingala, Silvia; Nielsen, Michael Bachmann] Copenhagen Univ Hosp, Dept Diagnost Radiol, Rigshospitalet, Copenhagen, Denmark; [Yin, Chong] Hong Kong Baptist Univ, Dept Comp Sci, Hong Kong, Peoples R China</t>
  </si>
  <si>
    <t>University of Copenhagen; University of Copenhagen; Copenhagen University Hospital; Hong Kong Baptist University</t>
  </si>
  <si>
    <t>MERA: Multimodal and Multiscale self-Explanatory model with considerably reduced annotation for lung nodule diagnosis</t>
  </si>
  <si>
    <t>Explainable artificial intelligence (XAI); Lung nodule diagnosis; Self-explanatory model; Self-supervised learning (SSL); Active learning; Vision Transformer (ViT)</t>
  </si>
  <si>
    <t>Erleben, Kenny/AAZ-6556-2020; Nielsen, Michael Bachmann/U-2749-2018</t>
  </si>
  <si>
    <t>AUG 1 2026</t>
  </si>
  <si>
    <t>110339</t>
  </si>
  <si>
    <t>10.1016/j.bspc.2026.110339</t>
  </si>
  <si>
    <t>http://dx.doi.org/10.1016/j.bspc.2026.110339</t>
  </si>
  <si>
    <t>HJ0MG</t>
  </si>
  <si>
    <t>WOS:001755221400001</t>
  </si>
  <si>
    <t>Xu, N; Wang, QW</t>
  </si>
  <si>
    <t>The rapid growth of Industry 4.0 and the rise of smart cities have generated massive, heterogeneous datasets across transportation, healthcare, energy, and public services. Harnessing these data streams for efficient and sustainable urban management requires artificial intelligence (AI) solutions that are both accurate and transparent. Traditional AI models often function as opaque black boxes, limiting their acceptance in high-stakes urban governance. To address this challenge, we propose an Explainable Artificial Intelligence (XAI) framework that integrates scalable data analytics, interpretable machine learning, and visualization modules for real-time decision support in smart city environments. Built on distributed big data infrastructures, the system processes high-velocity data streams and employs feature attribution, rule-based explanations, and model-agnostic interpretability techniques to generate human-understandable insights. The framework is evaluated using the Smart Cities Index dataset from Kaggle, encompassing multi-domain indicators covering infrastructure, mobility, environmental performance, and governance metrics, with experiments conducted across classification and ranking tasks to assess both predictive performance and explanation fidelity. Case studies in smart energy management, intelligent traffic control, and public safety demonstrate that the framework enhances prediction accuracy while improving interpretability, stakeholder trust, and decision transparency. By bridging the gap between high-performance AI and human interpretability, the proposed approach supports accountable, fair, and sustainable smart city operations aligned with Industry 4.0 principles.</t>
  </si>
  <si>
    <t>Xu, Ning; Wang, Qunwei</t>
  </si>
  <si>
    <t>Wang, QW (corresponding author), Nanjing Univ Aeronaut &amp; Astronaut, Coll Econ &amp; Management, Nanjing 210000, Jiangsu, Peoples R China.</t>
  </si>
  <si>
    <t>qunwei2025@yeah.net; sophyaxu@163.com</t>
  </si>
  <si>
    <t>[Xu, Ning; Wang, Qunwei] Nanjing Univ Aeronaut &amp; Astronaut, Coll Econ &amp; Management, Nanjing 210000, Jiangsu, Peoples R China</t>
  </si>
  <si>
    <t>Nanjing University of Aeronautics &amp; Astronautics</t>
  </si>
  <si>
    <t>Explainable AI Framework for Big Data-Driven Decision-Making in Smart Cities of Industry 4.0</t>
  </si>
  <si>
    <t>INTERNATIONAL JOURNAL ON ARTIFICIAL INTELLIGENCE TOOLS</t>
  </si>
  <si>
    <t>Explainable Artificial Intelligence (XAI); big data analytics; smart cities; industry 4.0; interpretable machine learning</t>
  </si>
  <si>
    <t>Wang, Qunwei/AAO-4443-2020</t>
  </si>
  <si>
    <t>0218-2130</t>
  </si>
  <si>
    <t>1793-6349</t>
  </si>
  <si>
    <t>INT J ARTIF INTELL T</t>
  </si>
  <si>
    <t>Int. J. Artif. Intell. Tools</t>
  </si>
  <si>
    <t>10.1142/S0218213026400087</t>
  </si>
  <si>
    <t>http://dx.doi.org/10.1142/S0218213026400087</t>
  </si>
  <si>
    <t>GR9EG</t>
  </si>
  <si>
    <t>WOS:001743596200001</t>
  </si>
  <si>
    <t>Gupta, S; Gupta, M; Kumar, R; Abraham, A</t>
  </si>
  <si>
    <t>Diagnosing brain tumors from multi-sequence magnetic resonance imaging remains a critical yet challenging task due to data privacy concerns, heterogeneity across institutions, and the limited interpretability of deep learning models. This study proposes a novel federated learning and explainable artificial intelligence (FL-XAI) framework for privacy-preserving brain tumor classification using multi-institutional MRI data. The framework leverages a modified ResNet-18 backbone within a federated averaging setup, enhanced with differential privacy guarantees (epsilon approximate to 3.4, delta = 10(-5)). Experiments were conducted on the Kaggle Brain Tumor MRI dataset, partitioned across five simulated institutions with non-i.i.d. data distributions. The results show that the centralized CNN achieved the highest accuracy (92%, AUC 0.95), while federated models maintained strong performance at 90% without differential privacy and 88% with preservation of privacy, highlighting minimal trade-offs in diagnostic accuracy. A class-wise analysis of the results suggested strong recall scores, with No Tumor (0.92) and Pituitary (0.91), while Meningioma showed slightly lower recall at 0.80. Explainability using Grad-CAM and SHAP showed that the models consistently highlighted clinically relevant tumor boundaries with the greatest contribution of FLAIR, followed by the T1CE modalities. Robustness tests under adversarial client simulation showed that robust aggregation strategies recovered accuracy to similar to 88%, mitigating malicious updates. These findings establish the proposed FL-XAI framework as a scalable, privacy-compliant, and interpretable solution for brain tumor diagnosis, bridging the gap between AI innovation and clinical trust. Additionally, we introduce a Lightweight Federated Explanation Alignment (L-FEA) module that reduces explanation drift across institutions and improves explanation consistency by 15% with negligible overhead.</t>
  </si>
  <si>
    <t>Gupta, Shubham; Gupta, Meenu; Kumar, Rakesh; Abraham, Ajith</t>
  </si>
  <si>
    <t>Gupta, M (corresponding author), Chandigarh Univ, Dept Comp Sci &amp; Engn, Mohali 140413, Punjab, India.; Abraham, A (corresponding author), Sai Univ, Sch Artificial Intelligence, Chennai 603104, Tamil Nadu, India.; Abraham, A (corresponding author), Innopolis Univ, Ctr Artificial Intelligence, Innopolis 420500, Russia.</t>
  </si>
  <si>
    <t>abraham.ajith@gmail.com; gupta.meenu5@gmail.com</t>
  </si>
  <si>
    <t>Ministry of Economic Development of the Russian Federation [139-10-2025-034 dd.19.06.2025, IGK 000000C313925P4D0002]</t>
  </si>
  <si>
    <t>The study was supported by the Ministry of Economic Development of the Russian Federation (agreement No. 139-10-2025-034 dd.19.06.2025, IGK 000000C313925P4D0002).</t>
  </si>
  <si>
    <t>[Gupta, Shubham] Model Inst Engn &amp; Technol, Dept Comp Sci &amp; Engn, Jammu 181122, Jammu And Kashm, India; [Gupta, Meenu; Kumar, Rakesh] Chandigarh Univ, Dept Comp Sci &amp; Engn, Mohali 140413, Punjab, India; [Abraham, Ajith] Sai Univ, Sch Artificial Intelligence, Chennai 603104, Tamil Nadu, India; [Abraham, Ajith] Innopolis Univ, Ctr Artificial Intelligence, Innopolis 420500, Russia</t>
  </si>
  <si>
    <t>Model Institute of Engineering &amp; Technology; Chandigarh University; Innopolis University</t>
  </si>
  <si>
    <t>A Federated Learning and Explainable AI Framework for Privacy-Preserving Brain Tumor Diagnosis Using Multi-Institutional MRI Data</t>
  </si>
  <si>
    <t>Federated learning; Magnetic resonance imaging; Brain tumors; Data models; Training; Predictive models; Brain modeling; Accuracy; Explainable AI; Deep learning; explainable AI; brain tumor diagnosis; differential privacy; medical imaging; multi-institutional MRI; SHAP; grad-CAM</t>
  </si>
  <si>
    <t>Gupta, Meenu/C-7409-2018; kumar, rakesh/AFF-8807-2022</t>
  </si>
  <si>
    <t>Gupta, Meenu/0000-0001-7366-0841; Gupta, Shubham/0000-0001-6439-5353</t>
  </si>
  <si>
    <t>22630</t>
  </si>
  <si>
    <t>22643</t>
  </si>
  <si>
    <t>10.1109/ACCESS.2026.3660305</t>
  </si>
  <si>
    <t>http://dx.doi.org/10.1109/ACCESS.2026.3660305</t>
  </si>
  <si>
    <t>DX6QW</t>
  </si>
  <si>
    <t>WOS:001694521500026</t>
  </si>
  <si>
    <t>Naz, M; Khalid, A; Hameed, A; Taj, R; Mumtaz, W; Alotaibi, FA; Alnfiai, MM</t>
  </si>
  <si>
    <t>Heart disease remains a leading cause of mortality globally, necessitating the development of accurate, interpretable, and reliable predictive models to support early diagnosis and enhance patient care. The work demonstrates a robust machine learning framework for classifying heart disease on three widely used benchmark datasets for heart disease such as Heart_2020_Cleaned, Heart Statlog Cleveland Hungary, and Cardio Train. A comparative analysis was conducted across these datasets to evaluate model performance under varying data characteristics. Similarly, to ensure optimal model performance and generalizability, k-fold cross-validation was employed for hyperparameter tuning, enabling systematic evaluation and fine-tuning of model parameters while reducing the risk of overfitting. The proposed model attained an accuracy of 97.72% with a F1-Score of 97.89% on the Heart_2020_Cleaned dataset comprising 319,795 samples, 95.50% accuracy with 95.24% F1-Score on the Cardio Train dataset containing 70,000 samples, and 98.90% accuracy with 98.86% F1-Score on the Heart Statlog Cleveland Hungary dataset, which includes 1,190 instances. Among the three datasets, the Heart Statlog Cleveland Hungary dataset exhibited the highest performance matrices, indicating the model's enhanced ability to accurately identify positive cases within this dataset. To mitigate class imbalance, the SMOTEENN resampling technique was applied, which improved the model's generalization performance across both majority and minority classes. Additionally, the integration of SHAP-based Explainable AI (XAI) techniques enhanced the interpretability of the model by offering clear and meaningful explanations of how individual features influenced the predictions. These insights contribute to greater transparency and trust in the model's decision-making process. Overall, the results demonstrate the robustness and practical applicability of the proposed framework for early detection and clinical management of heart disease.</t>
  </si>
  <si>
    <t>Naz, Mehwish; Khalid, Aqsa; Hameed, Abdul; Taj, Rabia; Mumtaz, Waleed; Alotaibi, Faiz Abdullah; Alnfiai, Mrim M.</t>
  </si>
  <si>
    <t>Hameed, A (corresponding author), Univ Chenab, Dept Comp Sci, Gujrat 50700, Pakistan.</t>
  </si>
  <si>
    <t>hameed01@gmail.com</t>
  </si>
  <si>
    <t>Taif University, Saudi Arabia [TU-DSPP-2024-41]</t>
  </si>
  <si>
    <t>This work was supported by Taif University, Saudi Arabia, under Project TU-DSPP-2024-41.</t>
  </si>
  <si>
    <t>[Naz, Mehwish; Khalid, Aqsa; Taj, Rabia; Mumtaz, Waleed] IUIC, Dept Software Engn, Islamabad 44000, Pakistan; [Khalid, Aqsa] Natl Univ Sci &amp; Technol, Sch Elect Engn &amp; Comp Sci, Islamabad 44000, Pakistan; [Hameed, Abdul] Univ Chenab, Dept Comp Sci, Gujrat 50700, Pakistan; [Alotaibi, Faiz Abdullah] King Saud Univ, Dept Informat Sci, Coll Humanities &amp; Social Sci, Riyadh 11451, Saudi Arabia; [Alnfiai, Mrim M.] Taif Univ, Coll Comp &amp; Informat Technol, Dept Informat Technol, Taif 21944, Saudi Arabia</t>
  </si>
  <si>
    <t>National University of Sciences &amp; Technology - Pakistan; King Saud University; Taif University</t>
  </si>
  <si>
    <t>Meta-Ensemble Learning for Heart Disease Prediction: A Stacking-Based Approach With Explainable AI</t>
  </si>
  <si>
    <t>Heart; Diseases; Accuracy; Machine learning; Random forests; Support vector machines; Predictive models; Classification tree analysis; Machine learning algorithms; Explainable AI; LightGBM; explainable AI (XAI); RF; XGBoost; meta-ensemble</t>
  </si>
  <si>
    <t>Alnfiai, Mrim/AAC-9706-2020; Hameed, Abdul/OTG-5721-2025; A ALOTAIBI, Faiz/HIU-0052-2022</t>
  </si>
  <si>
    <t>Naz, Mehwish/0009-0006-1755-8651; Alnfiai, Mrim/0000-0003-3837-6313; A ALOTAIBI, Faiz/0009-0007-1908-4928</t>
  </si>
  <si>
    <t>137271</t>
  </si>
  <si>
    <t>137290</t>
  </si>
  <si>
    <t>10.1109/ACCESS.2025.3588683</t>
  </si>
  <si>
    <t>http://dx.doi.org/10.1109/ACCESS.2025.3588683</t>
  </si>
  <si>
    <t>6CC4I</t>
  </si>
  <si>
    <t>WOS:001549816000008</t>
  </si>
  <si>
    <t>Kilicarslan, A; Tastimur, C; Gundogdu, G; Akin, E</t>
  </si>
  <si>
    <t>Papillary thyroid carcinoma (PTC) represents most thyroid cancer cases worldwide, making early and accurate diagnosis crucial for successful treatment. This study introduces an explainable AI framework for the automated analysis of fine-needle aspiration (FNA) cytopathology images. By integrating handcrafted features with deep learning-derived abstract features, the proposed model achieves high classification performance (similar to 92% accuracy and similar to 96% AUC). The proposed architecture, incorporating multi-scale dilated and deformable convolutions, effectively captures irregularities in cell morphology. Visualizations demonstrate alignment with pathologists' diagnostic criteria, enhancing the model's clinical applicability and reliability. The code, dataset, and comprehensive documentation are publicly available via Zenodo (https://zenodo.org/records/18428647), ensuring full reproducibility of the experiments and results presented.</t>
  </si>
  <si>
    <t>Kilicarslan, Ahmet; Tastimur, Canan; Gundogdu, Gokhan; Akin, Erhan</t>
  </si>
  <si>
    <t>Tastimur, C (corresponding author), Erzincan Binali Yildirim Univ, Comp Engn, Erzincan, Turkiye.</t>
  </si>
  <si>
    <t>eakin@firat.edu.tr; ctastimur@erzincan.edu.tr; ahmetkilicarslan@gmail.com; gokhangundogdu23@gmail.com</t>
  </si>
  <si>
    <t>Erzincan Binali Yildirim University</t>
  </si>
  <si>
    <t>Erzincan Binali Yildirim University (Erzincan Binali Yildirim University)</t>
  </si>
  <si>
    <t>Open access funding provided by the Scientific and Technological Research Council of Turkiye (TUB &amp; Idot;TAK).</t>
  </si>
  <si>
    <t>[Kilicarslan, Ahmet; Gundogdu, Gokhan] Fethi Sekin City Hosp, Med Pathol, Elazig, Turkiye; [Tastimur, Canan] Erzincan Binali Yildirim Univ, Comp Engn, Erzincan, Turkiye; [Akin, Erhan] Firat Univ, Comp Engn, Elazig, Turkiye</t>
  </si>
  <si>
    <t>Erzincan Binali Yildirim University; Firat University</t>
  </si>
  <si>
    <t>Explainable AI for accurate diagnosis of papillary thyroid carcinoma via fine-needle aspiration cytopathology</t>
  </si>
  <si>
    <t>VISUAL COMPUTER</t>
  </si>
  <si>
    <t>Deep learning in cytopathology; Digital pathology; Explainable AI; Fine-needle aspiration cytology; Papillary thyroid carcinoma</t>
  </si>
  <si>
    <t>SEGMENTATION</t>
  </si>
  <si>
    <t>Tastimur, Canan/GOH-2891-2022; Kılıçarslan, Ahmet/HSH-9915-2023; gundogdu, gokhan/QQC-0169-2026; AKIN, ERHAN/V-8208-2018</t>
  </si>
  <si>
    <t>0178-2789</t>
  </si>
  <si>
    <t>1432-2315</t>
  </si>
  <si>
    <t>VISUAL COMPUT</t>
  </si>
  <si>
    <t>Visual Comput.</t>
  </si>
  <si>
    <t>JUN 27 2026</t>
  </si>
  <si>
    <t>363</t>
  </si>
  <si>
    <t>10.1007/s00371-026-04558-z</t>
  </si>
  <si>
    <t>http://dx.doi.org/10.1007/s00371-026-04558-z</t>
  </si>
  <si>
    <t>KF6JY</t>
  </si>
  <si>
    <t>WOS:001805813700003</t>
  </si>
  <si>
    <t>Abou Ali, M; Dornaika, F; Charafeddine, J</t>
  </si>
  <si>
    <t>Edge Artificial Intelligence (Edge AI) represents a transformative computing paradigm that processes data locally on devices or nearby servers, enabling real-time analytics, enhanced privacy preservation, and optimized bandwidth utilization. This review examines the evolution of Edge AI from foundational distributed computing technologies to modern implementations including Tiny Machine Learning (TinyML) and Federated Learning. We present a unified multi-dimensional taxonomy integrating deployment architectures, processing capabilities, application domains, and hardware platforms. Our synthesis of 141 studies demonstrates that model quantization reduces energy consumption by 3-5 &amp; times;while edge deployment decreases application latency by over 90% in smart city scenarios and reduces data breach risks by 70% in healthcare applications. The analysis identifies significant challenges in resource constraints, security vulnerabilities, and model management complexities. Emerging research directions encompass next-generation hardware accelerators, edge-cloud collaborative architectures, and trustworthy AI frameworks. This review serves as a definitive resource for researchers and practitioners, highlighting Edge AI's potential to reshape intelligent systems across healthcare monitoring, industrial automation, autonomous vehicles, and smart city infrastructure through enhanced responsiveness, privacy preservation, and operational efficiency.</t>
  </si>
  <si>
    <t>Abou Ali, Mohamad; Dornaika, Fadi; Charafeddine, Jinan</t>
  </si>
  <si>
    <t>Dornaika, F (corresponding author), Univ Basque Country UPV EHU, San Sebastian, Spain.; Dornaika, F (corresponding author), Basque Fdn Sci, Ikerbasque, Bilbao, Spain.</t>
  </si>
  <si>
    <t>fadi.dornaika@ehu.eus; mohamad.abouali01@liu.edu.lb; jinan.charafeddine@devinci.fr</t>
  </si>
  <si>
    <t>[Abou Ali, Mohamad; Dornaika, Fadi] Univ Basque Country UPV EHU, San Sebastian, Spain; [Abou Ali, Mohamad] Lebanese Int Univ LIU, Beirut, Lebanon; [Abou Ali, Mohamad] Beirut Int Univ LIU, Beirut, Lebanon; [Dornaika, Fadi] Basque Fdn Sci, Ikerbasque, Bilbao, Spain; [Charafeddine, Jinan] De Vinci Higher Educ, De Vinci Res Ctr, Paris, France</t>
  </si>
  <si>
    <t>University of Basque Country; Basque Foundation for Science</t>
  </si>
  <si>
    <t>Edge artificial intelligence: Past advances, current paradigms, and emerging horizons</t>
  </si>
  <si>
    <t>Edge Artificial Intelligence; Resource-constrained devices; Internet of Things; Embedded systems; Real-time analytics; Edge Artificial Intelligence applications</t>
  </si>
  <si>
    <t>AI; COMMUNICATION; CHALLENGES</t>
  </si>
  <si>
    <t>Charafeddine, Jinan/GLV-3977-2022</t>
  </si>
  <si>
    <t>181</t>
  </si>
  <si>
    <t>115635</t>
  </si>
  <si>
    <t>10.1016/j.engappai.2026.115635</t>
  </si>
  <si>
    <t>http://dx.doi.org/10.1016/j.engappai.2026.115635</t>
  </si>
  <si>
    <t>LN6GQ</t>
  </si>
  <si>
    <t>WOS:001828864400001</t>
  </si>
  <si>
    <t>Oguz, FE; Alkan, A</t>
  </si>
  <si>
    <t>Gastrointestinal diseases are significant health issues worldwide, requiring early diagnosis due to their serious health implications. Therefore, detecting these diseases using artificial intelligence-based medical decision support systems through colonoscopy images plays a critical role in early diagnosis. In this study, a deep learning-based method is proposed for the classification of gastrointestinal diseases and colon anatomical landmarks using colonoscopy images. For this purpose, five different Convolutional Neural Network (CNN) models, namely Xception, ResNet-101, NASNet-Large, EfficientNet, and NASNet-Mobile, were trained. An ensemble model was created using class-based recall values derived from the validation performances of the top three models (Xception, ResNet-101, NASNet-Large). A user-friendly Graphical User Interface (GUI) was developed, allowing users to perform classification tasks and use Gradient-weighted Class Activation Mapping (Grad-CAM), an explainable AI tool, to visualize the regions from which the model derives information. GradCAM visualizations contribute to a better understanding of the model's decision-making processes and play an important role in the application of explainable AI. In the study, eight labels, including anatomical markers such as z-line, pylorus, and cecum, as well as pathological findings like esophagitis, polyps, and ulcerative colitis, were classified using the KVASIR V2 dataset. The proposed ensemble model achieved a 94.125% accuracy on the KVASIR V2 dataset, demonstrating competitive performance compared to similar studies in the literature. Additionally, the precision and F1 score values of this model are equal to 94.168% and 94.125%, respectively. These results suggest that the proposed method provides an effective solution for the diagnosis of GI diseases and can be beneficial for medical education.</t>
  </si>
  <si>
    <t>Oguz, Faruk Enes; Alkan, Ahmet</t>
  </si>
  <si>
    <t>Oguz, FE (corresponding author), Hatay Mustafa Kemal Univ, Hassa Vocat Sch, Biomed Device Technol, Hatay, Turkiye.; Oguz, FE (corresponding author), Kahramanmaras Sutcu Imam Univ, Dept Elect &amp; Elect Engn, Kahramanmaras, Turkiye.</t>
  </si>
  <si>
    <t>farukenes.oguz@mku.edu.tr; aalkan@ksu.edu.tr</t>
  </si>
  <si>
    <t>[Oguz, Faruk Enes] Hatay Mustafa Kemal Univ, Hassa Vocat Sch, Biomed Device Technol, Hatay, Turkiye; [Oguz, Faruk Enes; Alkan, Ahmet] Kahramanmaras Sutcu Imam Univ, Dept Elect &amp; Elect Engn, Kahramanmaras, Turkiye</t>
  </si>
  <si>
    <t>Hatay Mustafa Kemal University; Kahramanmaras Sutcu Imam University</t>
  </si>
  <si>
    <t>Weighted ensemble deep learning approach for classification of gastrointestinal diseases in colonoscopy images aided by explainable AI</t>
  </si>
  <si>
    <t>DISPLAYS</t>
  </si>
  <si>
    <t>NASNet-Large; ResNet-101; Grad-CAM; Ensemble; Xception</t>
  </si>
  <si>
    <t>OĞUZ, Faruk Enes/IAP-0121-2023; ALKAN, Ahmet/AAD-3054-2019</t>
  </si>
  <si>
    <t>OĞUZ, Faruk Enes/0000-0002-0285-8620</t>
  </si>
  <si>
    <t>0141-9382</t>
  </si>
  <si>
    <t>1872-7387</t>
  </si>
  <si>
    <t>Displays</t>
  </si>
  <si>
    <t>102874</t>
  </si>
  <si>
    <t>10.1016/j.displa.2024.102874</t>
  </si>
  <si>
    <t>http://dx.doi.org/10.1016/j.displa.2024.102874</t>
  </si>
  <si>
    <t>Computer Science, Hardware &amp; Architecture; Engineering, Electrical &amp; Electronic; Instruments &amp; Instrumentation; Optics</t>
  </si>
  <si>
    <t>Computer Science; Engineering; Instruments &amp; Instrumentation; Optics</t>
  </si>
  <si>
    <t>M1W0W</t>
  </si>
  <si>
    <t>WOS:001355500800001</t>
  </si>
  <si>
    <t>Jawad, KMT; Verma, A; Amsaad, F; Ashraf, L</t>
  </si>
  <si>
    <t>Chronic Kidney Disease (CKD) is one of the widespread Chronic diseases with no known ultimo cure and high morbidity. Research demonstrates that progressive CKD is a heterogeneous disorder that significantly impacts kidney structure and functions, eventually leading to kidney failure. The goal of this research is to first develop an accurate ensemble model for prediction of unseen cases of CKD given the biomarkers. Also, we have implemented the Explainable AI (XAI) algorithms to interpret the decision-making process of the ensemble models in terms of dominating features and the feature values. The takeaway from our research is to aid the physicians make an informed decision about the disease and provide a case by case explanation behind their decisions. Also, XAI algorithms would allow the patients or subjects understand the causes behind their disease at early stages so that they can be cautious about the progression of the disease to later stages.</t>
  </si>
  <si>
    <t>Jawad, K. M. Tawsik; Verma, Anusha; Amsaad, Fathi; Ashraf, Lamia</t>
  </si>
  <si>
    <t>Jawad, KMT (corresponding author), Univ Cincinnati, Dept Comp Sci, Cincinnati, OH 45220 USA.</t>
  </si>
  <si>
    <t>jawadkk@mail.uc.edu</t>
  </si>
  <si>
    <t>[Jawad, K. M. Tawsik] Univ Cincinnati, Dept Comp Sci, Cincinnati, OH 45220 USA; [Verma, Anusha; Amsaad, Fathi] Wright State Univ, Dept Comp Sci, Dayton, OH 45435 USA; [Ashraf, Lamia] Tangail Med Coll &amp; Hosp, Tangail 1900, Bangladesh</t>
  </si>
  <si>
    <t>University System of Ohio; University of Cincinnati; University System of Ohio; Wright State University Dayton</t>
  </si>
  <si>
    <t>A Study on the Application of Explainable AI on Ensemble Models for Predictive Analysis of Chronic Kidney Disease</t>
  </si>
  <si>
    <t>Chronic kidney disease; Diseases; Medical services; Feature extraction; Imputation; Analytical models; Accuracy; Random forests; Measurement; Indexes; CKD; machine learning ensemble models; explainable AI; interpretability</t>
  </si>
  <si>
    <t>HEALTH-CARE; PROGRESSION; CKD</t>
  </si>
  <si>
    <t>Jawad, K M Tawsik/0009-0008-5308-4881</t>
  </si>
  <si>
    <t>23312</t>
  </si>
  <si>
    <t>23330</t>
  </si>
  <si>
    <t>10.1109/ACCESS.2025.3535692</t>
  </si>
  <si>
    <t>http://dx.doi.org/10.1109/ACCESS.2025.3535692</t>
  </si>
  <si>
    <t>W7J5Y</t>
  </si>
  <si>
    <t>WOS:001420293500037</t>
  </si>
  <si>
    <t>Alfarhood, M; Alotaibi, S; Abuhaimed, A; Alalwan, A</t>
  </si>
  <si>
    <t>Introduction Cancer remains one of the leading causes of mortality worldwide, with 19.3 million new cases and 10 million deaths reported in 2020. According to the World Cancer Research Fund International (WCRF), liver cancer ranks as the fifth most prevalent cancer in men and the ninth in women. Despite available interventions, liver cancer is often diagnosed at advanced stages due to its subtle progression and the complexity of distinguishing hepatic malignancies from surrounding tissues in CT scans. Conventional diagnostic practices, such as biopsy, are invasive, time-consuming, and mentally exhausting for patients, while manual interpretation of CT images is labor-intensive and requires expert radiologists. These challenges highlight the urgent need for automated, accurate, and explainable diagnostic tools.Methods In this work, we propose a comprehensive deep learning framework for non-invasive liver tumor classification with integrated explainability. We evaluated and fine-tuned several state-of-the-art supervised models, including ResNet50-v2, EfficientNetV2, Inception-v3, and Vision Transformer ViT-16, combined with tailored pre-processing and augmentation strategies.Results and discussion The EfficientNetV2 model achieved 96.97% accuracy, demonstrating competitive performance with existing literature. Beyond high accuracy, the framework integrates explainable AI methods to enhance interpretability and clinical trust, bridging a key gap in current AI-driven liver cancer research.</t>
  </si>
  <si>
    <t>Alfarhood, Meshal; Alotaibi, Shatha; Abuhaimed, Aows; Alalwan, Abdalrahman</t>
  </si>
  <si>
    <t>Alfarhood, M (corresponding author), King Saud Univ, Coll Comp &amp; Informat Sci, Dept Comp Sci, Riyadh, Saudi Arabia.</t>
  </si>
  <si>
    <t>malf@ksu.edu.sa</t>
  </si>
  <si>
    <t>Ongoing Research Funding Program [ORF-2026-1225]; King Saud University, Riyadh, Saudi Arabia</t>
  </si>
  <si>
    <t>Ongoing Research Funding Program; King Saud University, Riyadh, Saudi Arabia (King Saud University)</t>
  </si>
  <si>
    <t>The author(s) declared that financial support was received for this work and/or its publication. This research is funded by the Ongoing Research Funding Program (ORF-2026-1225), King Saud University, Riyadh, Saudi Arabia.</t>
  </si>
  <si>
    <t>[Alfarhood, Meshal; Alotaibi, Shatha; Abuhaimed, Aows; Alalwan, Abdalrahman] King Saud Univ, Coll Comp &amp; Informat Sci, Dept Comp Sci, Riyadh, Saudi Arabia</t>
  </si>
  <si>
    <t>King Saud University</t>
  </si>
  <si>
    <t>Leveraging deep learning and explainable AI for effective liver tumor classification from CT scan images</t>
  </si>
  <si>
    <t>FRONTIERS IN ONCOLOGY</t>
  </si>
  <si>
    <t>classification; deep learning; explainable artificial intelligence; liver cancer; liver tumors</t>
  </si>
  <si>
    <t>PERFORMANCE; DIAGNOSIS</t>
  </si>
  <si>
    <t>Alfarhood, Meshal/KEZ-9419-2024</t>
  </si>
  <si>
    <t>2234-943X</t>
  </si>
  <si>
    <t>FRONT ONCOL</t>
  </si>
  <si>
    <t>Front. Oncol.</t>
  </si>
  <si>
    <t>JUN 2 2026</t>
  </si>
  <si>
    <t>1836325</t>
  </si>
  <si>
    <t>10.3389/fonc.2026.1836325</t>
  </si>
  <si>
    <t>http://dx.doi.org/10.3389/fonc.2026.1836325</t>
  </si>
  <si>
    <t>JO4XT</t>
  </si>
  <si>
    <t>42311265</t>
  </si>
  <si>
    <t>WOS:001794192300001</t>
  </si>
  <si>
    <t>da Silva, JE; de Aguiar, AWO; Silva, CM; de Albuquerque, DF; Gurgel, ED</t>
  </si>
  <si>
    <t>Artificial intelligence (AI) is rapidly transforming diagnostic imaging, raising important questions about its role as a collaborative tool or a potential replacement for human expertise. This rapid communication reviews current evidence on AI applications in diagnostic imaging, focusing on clinical, ethical, and legal challenges. Although AI models show promise in detecting abnormalities and optimizing workflows, many remain limited by narrow training datasets and lack external validation. Ethical issues such as algorithm transparency, bias, and accountability are discussed, alongside the financial and practical implications of integrating AI tools into clinical practice, highlighting the need for clear guidelines and regulatory oversight. Radiologists continue to play a crucial role in interpreting images and validating AI outputs to avoid diagnostic errors, while the potential risks of overreliance on AI, including erosion of diagnostic skills among clinicians, are also emphasized. This communication advocates for responsible AI implementation that supports, rather than replaces, the expertise and judgment of healthcare professionals.</t>
  </si>
  <si>
    <t>da Silva-Filho, Jose Evando; de Aguiar, Andre Wescley Oliveira; Silva, Caio Marques; de Albuquerque, Danielle Frota; Gurgel-Filho, Eduardo Diogo</t>
  </si>
  <si>
    <t>da Silva, JE (corresponding author), Univ Fortaleza, Fac Dent, Dept Dent Radiol &amp; Imaging, 587 Dr Valmir Pontes Ave, BR-60812020 Fortaleza, Ceara, Brazil.; da Silva, JE (corresponding author), Univ Fortaleza, Fac Dent, Dept Endodont, 587 Dr Valmir Pontes Ave, BR-60812020 Fortaleza, Ceara, Brazil.</t>
  </si>
  <si>
    <t>andrewescley@unifor.br; gurgeleduardo@unifor.br; silvafilhoje@gmail.com; caiom.1994@gmail.com; daniellealbuquerque@unifor.br</t>
  </si>
  <si>
    <t>[da Silva-Filho, Jose Evando] Univ Fortaleza, Fac Dent, Dept Dent Radiol &amp; Imaging, 587 Dr Valmir Pontes Ave, BR-60812020 Fortaleza, Ceara, Brazil; [da Silva-Filho, Jose Evando; de Albuquerque, Danielle Frota; Gurgel-Filho, Eduardo Diogo] Univ Fortaleza, Fac Dent, Dept Endodont, 587 Dr Valmir Pontes Ave, BR-60812020 Fortaleza, Ceara, Brazil; [de Aguiar, Andre Wescley Oliveira] Univ Fortaleza, Ctr Technol Sci, 1321 Washington Soares Ave,Room J01, BR-60812020 Fortaleza, Ceara, Brazil; [Silva, Caio Marques] Fed Inst Educ Sci &amp; Technol Ceara, Lab Image Proc &amp; Comp Simulat LAPISCO, Res Bldg,2081 Treze Maio Ave,2nd Floor, BR-60040215 Fortaleza, Ceara, Brazil; [de Albuquerque, Danielle Frota] Univ Fortaleza, Fac Dent, Dept Stomatol, 587 Dr Valmir Pontes Ave, BR-60812020 Fortaleza, Ceara, Brazil</t>
  </si>
  <si>
    <t>Universidade Fortaleza; Universidade Fortaleza; Universidade Fortaleza; Instituto Federal do Ceara (IFCE); Universidade Fortaleza</t>
  </si>
  <si>
    <t>Artificial intelligence in diagnostic imaging: collaborative asset or looming replacement?</t>
  </si>
  <si>
    <t>ORAL RADIOLOGY</t>
  </si>
  <si>
    <t>Artificial intelligence; Dental imaging; Dental radiology; Diagnostic imaging; Radiology</t>
  </si>
  <si>
    <t>Wescley Oliveira de Aguiar, André/0000-0001-5437-0945; Gurgel-Filho, Eduardo/0000-0002-5772-446X; da Silva-Filho, José Evando/0000-0002-4146-9134; Silva, Caio Marques/0009-0005-1740-2254</t>
  </si>
  <si>
    <t>0911-6028</t>
  </si>
  <si>
    <t>1613-9674</t>
  </si>
  <si>
    <t>ORAL RADIOL</t>
  </si>
  <si>
    <t>Oral Radiol.</t>
  </si>
  <si>
    <t>473</t>
  </si>
  <si>
    <t>476</t>
  </si>
  <si>
    <t>10.1007/s11282-025-00871-w</t>
  </si>
  <si>
    <t>http://dx.doi.org/10.1007/s11282-025-00871-w</t>
  </si>
  <si>
    <t>FA6US</t>
  </si>
  <si>
    <t>41105279</t>
  </si>
  <si>
    <t>WOS:001595633700001</t>
  </si>
  <si>
    <t>Lazic, I; Agullo, F; Ausso, S; Alves, B; Barelle, C; Berral, JL; Bizopoulos, P; Bunduc, O; Chouvarda, I; Dominguez, D; Filos, D; Gutierrez-Torre, A; Hesso, I; Jakovljevic, N; Kayyali, R; Kogut-Czarkowska, M; Kosvyra, A; Lalas, A; Lavdaniti, M; Loncar-Turukalo, T; Martinez-Alabart, S; Michas, N; Nabhani-Gebara, S; Raptopoulos, A; Roussakis, Y; Stalika, E; Symvoulidis, C; Tsave, O; Votis, K; Charalambous, A</t>
  </si>
  <si>
    <t>Finding new ways to cost-effectively facilitate population screening and improve cancer diagnoses at an early stage supported by data-driven AI models provides unprecedented opportunities to reduce cancer related mortality. This work presents the INCISIVE project initiative towards enhancing AI solutions for health imaging by unifying, harmonizing, and securely sharing scattered cancer-related data to ensure large datasets which are critically needed to develop and evaluate trustworthy AI models. The adopted solutions of the INCISIVE project have been outlined in terms of data collection, harmonization, data sharing, and federated data storage in compliance with legal, ethical, and FAIR principles. Experiences and examples feature breast cancer data integration and mammography collection, indicating the current progress, challenges, and future directions.</t>
  </si>
  <si>
    <t>Lazic, Ivan; Agullo, Ferran; Ausso, Susanna; Alves, Bruno; Barelle, Caroline; Berral, Josep Ll; Bizopoulos, Paschalis; Bunduc, Oana; Chouvarda, Ioanna; Dominguez, Didier; Filos, Dimitrios; Gutierrez-Torre, Alberto; Hesso, Iman; Jakovljevic, Niksa; Kayyali, Reem; Kogut-Czarkowska, Magdalena; Kosvyra, Alexandra; Lalas, Antonios; Lavdaniti, Maria; Loncar-Turukalo, Tatjana; Martinez-Alabart, Sara; Michas, Nassos; Nabhani-Gebara, Shereen; Raptopoulos, Andreas; Roussakis, Yiannis; Stalika, Evangelia; Symvoulidis, Chrysostomos; Tsave, Olga; Votis, Konstantinos; Charalambous, Andreas</t>
  </si>
  <si>
    <t>Bunduc, O (corresponding author), Telesto IoT Solut, London N7 7PX, England.</t>
  </si>
  <si>
    <t>oana@thridium.com</t>
  </si>
  <si>
    <t>European Union [952179]; Ministry of Economy, Industry, and Competitiveness of Spain [PID2019-107255GB, 2017-SGR-1414]</t>
  </si>
  <si>
    <t>European Union (European Union (EU)); Ministry of Economy, Industry, and Competitiveness of Spain (Spanish Government)</t>
  </si>
  <si>
    <t>This research received funding mainly from the European Union's Horizon 2020 research and innovation program under grant agreement no 952179. It was also partially funded by the Ministry of Economy, Industry, and Competitiveness of Spain under contracts PID2019-107255GB and 2017-SGR-1414.</t>
  </si>
  <si>
    <t>[Lazic, Ivan; Jakovljevic, Niksa; Loncar-Turukalo, Tatjana] Univ Novi Sad, Fac Tech Sci, Novi Sad 21000, Serbia; [Agullo, Ferran; Berral, Josep Ll; Gutierrez-Torre, Alberto] Barcelona Supercomp Ctr, Barcelona 08034, Spain; [Ausso, Susanna; Dominguez, Didier; Martinez-Alabart, Sara] Minist Hlth Catalonia, Fundacio TIC Salut Social, Barcelona 08005, Spain; [Alves, Bruno; Barelle, Caroline; Michas, Nassos] European Dynam, L-1466 Luxembourg, Luxembourg; [Bizopoulos, Paschalis; Lalas, Antonios; Votis, Konstantinos] Ctr Res &amp; Technol Hellas, Thessaloniki 57001, Greece; [Bunduc, Oana; Raptopoulos, Andreas; Symvoulidis, Chrysostomos] Telesto IoT Solut, London N7 7PX, England; [Chouvarda, Ioanna; Filos, Dimitrios; Kosvyra, Alexandra; Stalika, Evangelia; Tsave, Olga] Aristotle Univ Thessaloniki, Fac Hlth Sci, Sch Med, Thessaloniki 54124, Greece; [Hesso, Iman; Kayyali, Reem; Nabhani-Gebara, Shereen] Kingston Univ London, Dept Pharm, London KT1 2EE, England; [Kogut-Czarkowska, Magdalena] Timelex BV SRL, B-1000 Brussels, Belgium; [Lavdaniti, Maria] Int Hellen Univ, Nursing Dept, Thessaloniki 57400, Greece; [Lavdaniti, Maria; Stalika, Evangelia] Hellen Canc Soc, Athens 11521, Greece; [Michas, Nassos] European Dynam, Athens 15124, Greece; [Roussakis, Yiannis] German Oncol Ctr, Dept Med Phys, CY-4108 Limassol, Cyprus; [Symvoulidis, Chrysostomos] Univ Piraeus, Dept Digital Syst, Piraeus 18534, Greece; [Charalambous, Andreas] Cyprus Univ Technol, Dept Nursing, CY-3036 Limassol, Cyprus</t>
  </si>
  <si>
    <t>University of Novi Sad; Universitat Politecnica de Catalunya; Barcelona Supercomputer Center (BSC-CNS); Centre for Research &amp; Technology Hellas; Aristotle University of Thessaloniki; Kingston University; International Hellenic University; University of Piraeus; Cyprus University of Technology</t>
  </si>
  <si>
    <t>The Holistic Perspective of the INCISIVE Project-Artificial Intelligence in Screening Mammography</t>
  </si>
  <si>
    <t>medical images; mammography; artificial intelligence; deep learning; health data sharing</t>
  </si>
  <si>
    <t>OPTIMIZATION</t>
  </si>
  <si>
    <t>Charalambous, Andreas/R-5753-2018; Nabhani-Gebara, Shereen/M-7050-2017; Berral-García, Josep Lluís/AAB-8733-2021; Jakovljević, Nikša/F-4727-2010; Chouvarda, Ioanna/N-8925-2015; STALIKA, EVANGELIA/AGE-3367-2022; Loncar-Turukalo, Tatjana/ADU-8958-2022; /AAB-1457-2019; Symvoulidis, Chrysostomos/GWV-2909-2022</t>
  </si>
  <si>
    <t>Kogut - Czarkowska, Magdalena/0000-0003-4014-8328; Bunduc, Oana/0000-0002-2031-4301; Domínguez Herrera, Didier/0000-0002-0258-6194; Nabhani-Gebara, Shereen/0000-0002-5784-4779; Berral-García, Josep Lluís/0000-0003-3037-3580; Raptopoulos, Aneas/0000-0002-4075-2915; Gutierrez-Torre, Alberto/0000-0002-5548-3359; Jakovljević, Nikša/0000-0002-7283-3939; Lazić, Ivan/0000-0001-8613-0049; Chouvarda, Ioanna/0000-0001-8915-6658; STALIKA, EVANGELIA/0000-0001-7856-5480; Loncar-Turukalo, Tatjana/0000-0002-3582-8073; Kosvyra, Alexana/0000-0002-4291-0593; votis, konstantinos/0000-0001-6381-8326; Agulló López, Ferran/0000-0002-7276-2472; Caroline, Barelle/0000-0002-2183-4923; Symvoulidis, Chrysostomos/0000-0001-8077-1961; Roussakis, Yiannis/0000-0002-9367-4906</t>
  </si>
  <si>
    <t>8755</t>
  </si>
  <si>
    <t>10.3390/app12178755</t>
  </si>
  <si>
    <t>http://dx.doi.org/10.3390/app12178755</t>
  </si>
  <si>
    <t>4J0UC</t>
  </si>
  <si>
    <t>WOS:000850986400001</t>
  </si>
  <si>
    <t>Svensson, E; Osika, W; Carlbring, P</t>
  </si>
  <si>
    <t>The use of AI in digital mental healthcare promises to make treatments more effective, accessible, and scalable than ever before. At the same time, the use of AI opens a myriad of ethical concerns, including the lack of transparency, the risk of bias leading to increasing social inequalities, and the risk of responsibility gaps. This raises a crucial question: Can we rely on these systems to deliver care that is both ethical and effective? In attempts to regulate and ensure the safe usage of AI-powered tools, calls to trustworthy AI systems have become central. However, the use of terms such as "trust" and "trustworthiness" risks increasing anthropomorphization of AI systems, attaching human moral activities, such as trust, to artificial systems. In this article, we propose that terms such as "trustworthiness" be used with caution regarding AI and that when used, they should reflect an AI system's ability to consistently demonstrate measurable adherence to ethical principles, such as respect for human autonomy, nonmaleficence, fairness, and transparency. On this approach, trustworthy and ethical AI has the possibility of becoming a tangible goal rather than wishful thinking.</t>
  </si>
  <si>
    <t>Svensson, Ellen; Osika, Walter; Carlbring, Per</t>
  </si>
  <si>
    <t>Svensson, E (corresponding author), Stockholm Univ, Dept Philosophy, Stockholm, Sweden.</t>
  </si>
  <si>
    <t>ellen.svensson@philosophy.su.se</t>
  </si>
  <si>
    <t>[Svensson, Ellen] Stockholm Univ, Dept Philosophy, Stockholm, Sweden; [Svensson, Ellen; Osika, Walter; Carlbring, Per] Karolinska Inst, Ctr Social Sustainabil, Dept Neurobiol Care Sci &amp; Soc, TEA Lab, Stockholm, Sweden; [Osika, Walter] Reg Stockholm, Stockholm Hlth Care Serv, Southern Stockholm Psychiat Dist, Stockholm, Sweden; [Carlbring, Per] Stockholm Univ, Dept Psychol, Stockholm, Sweden; [Carlbring, Per] Korea Univ, Sch Psychol, Seoul, South Korea</t>
  </si>
  <si>
    <t>Stockholm University; Karolinska Institutet; Stockholm University; Korea University</t>
  </si>
  <si>
    <t>Commentary: Trustworthy and ethical AI in digital mental healthcare-wishful thinking or tangible goal?</t>
  </si>
  <si>
    <t>INTERNET INTERVENTIONS-THE APPLICATION OF INFORMATION TECHNOLOGY IN MENTAL AND BEHAVIOURAL HEALTH</t>
  </si>
  <si>
    <t>Carlbring, Per/D-3628-2009; Osika, Walter/AAH-7966-2020</t>
  </si>
  <si>
    <t>2214-7829</t>
  </si>
  <si>
    <t>INTERNET INTERV</t>
  </si>
  <si>
    <t>Internet Interv.</t>
  </si>
  <si>
    <t>100844</t>
  </si>
  <si>
    <t>10.1016/j.invent.2025.100844</t>
  </si>
  <si>
    <t>http://dx.doi.org/10.1016/j.invent.2025.100844</t>
  </si>
  <si>
    <t>Psychology, Clinical; Health Care Sciences &amp; Services; Medical Informatics; Psychiatry</t>
  </si>
  <si>
    <t>Psychology; Health Care Sciences &amp; Services; Medical Informatics; Psychiatry</t>
  </si>
  <si>
    <t>3VS2F</t>
  </si>
  <si>
    <t>40574943</t>
  </si>
  <si>
    <t>WOS:001510137900001</t>
  </si>
  <si>
    <t>Heinrichs, H; Kies, A; Nagel, SK; Kiessling, F</t>
  </si>
  <si>
    <t>Background: Artificial intelligence (AI) has the potential to transform clinical practice and diagnostics. Amid workforce shortages, AI-based applications assist in decision-making, patient monitoring, and administrative tasks. However, despite enthusiasm, integration into clinical practice remains limited because of concerns about usability, ethical implications, and physicians' acceptance. Understanding physicians' attitudes and engaging them in AI development may foster acceptance and adoption.&lt;br /&gt; Objective: This study aimed to comprehensively assess physicians' attitudes toward AI in medicine.&lt;br /&gt; Methods: We conducted a mixed methods study combining a web-based survey and qualitative interviews. The survey explored physicians' perspectives on the advantages and disadvantages of AI, its role in decision-making, and impact on physician-patient communication. Attitudes were measured using a 5-point Likert scale, covering cognitive and affective dimensions. An exploratory factor analysis (EFA) identified underlying attitudinal factors, while the Mann-Whitney U and the Kruskal-Wallis tests examined differences in attitudes based on physicians' age, discipline, AI familiarity, and other variables. Overall, 13 physicians, independent of the survey sample, participated in semistructured interviews, which were analyzed using inductive coding and thematic analysis.&lt;br /&gt; Results: The survey yielded 498 responses. EFA revealed two factors: (1) AI enthusiasm and acceptance (Cronbach alpha=0.83) and lower skepticism (median 3.62, IQR 3.20-4.20; reverse coded, with higher scores indicating reduced skepticism). Greater AI familiarity, use in daily life or professionally, and involvement in research were strongly associated with greater enthusiasm and research=111.52; no AI research=54.32; P&lt;.001) and lower skepticism (mean rank: AI research=108.27; no AI research=70.45; P=.01). Those using AI professionally or intending to do so similarly expressed high enthusiasm (mean rank: professional use=253.88; no use=196.17; P=.001) and lower skepticism (mean rank: plan to use=275.93; no use=218.86; P=.001). Greater familiarity with AI tools was also strongly associated with higher enthusiasm (mean rank: very familiar=323.55; not familiar=169.86; P&lt;.001) and lower skepticism (mean rank: very familiar=296.90; not familiar=186.23; P=.008). Chief physicians (mean rank 277.32) were significantly less skeptical than residents (mean rank 210.60; P=.01); however, age and discipline did not influenceattitudes. The qualitative analysis identified six themes shaping physicians'attitudes: (1) status quo, (2) AI dependency andnegligence, (3) role changes and needs, (4) AI transparency and decision-making, (5) the physician-patient relationship, and (6)a framework for responsible AI integration. These findings led to several key propositions considered critical for AI adoption&lt;br /&gt; Conclusions: AI in medicine is viewed positively, with attitudes shaped more by experience and engagement than by demographic factors. While concerns persist, they diminish with increased familiarity and professional use. These findings highlight the need for targeted education, hands-on training, and standardized implementation strategies to enhance AI engagement and facilitate adoption.</t>
  </si>
  <si>
    <t>Heinrichs, Helen; Kies, Alexander; Nagel, Saskia K.; Kiessling, Fabian</t>
  </si>
  <si>
    <t>Kiessling, F (corresponding author), Rheinisch Westfalische TH Aachen RWTH Aachen Univ, Inst Expt Mol Imaging, Forckenpeckstr 55, D-52074 Aachen, Germany.</t>
  </si>
  <si>
    <t>fkiessling@ukaachen.de</t>
  </si>
  <si>
    <t>German Society of Radiation Oncology (DEGRO) - project Artificial Intelligence in Diagnostics: Ethical, Professional and Social Aspects (ELSA-AID) of the German Federal Ministry of Education and Research (BMBF) [01GP1910A]</t>
  </si>
  <si>
    <t>German Society of Radiation Oncology (DEGRO) - project Artificial Intelligence in Diagnostics: Ethical, Professional and Social Aspects (ELSA-AID) of the German Federal Ministry of Education and Research (BMBF) (Federal Ministry of Education &amp; Research (BMBF))</t>
  </si>
  <si>
    <t>The authors thank Horst Hahn, Bianca Hoffmann, Hendrik Kempt, Jochen Hirsch, and Christian Kuehne for their valuable discussions throughout the study. The authors acknowledge the support of the German Radiological Society (DRG) , the Center for Integrated Oncology (CIO ABCD) , and the German Society of Radiation Oncology (DEGRO) in distributing the survey. The authors also extend their gratitude to the volunteers who pretested the survey and all those who participated in the surveys and interviews. Furthermore, the authors thank the University Hospital RWTH Aachen for providing the university license for SoSci Survey. This work was funded by the project Artificial Intelligence in Diagnostics: Ethical, Professional and Social Aspects (ELSA-AID) of the German Federal Ministry of Education and Research (BMBF; grant 01GP1910A) .r for Integrated Oncology (CIO ABCD) , and the German Society of Radiation Oncology (DEGRO) in distributing the survey. The authors also extend their gratitude to the volunteers who pretested the survey and all those who participated in the surveys and interviews. Furthermore, the authors thank the University Hospital RWTH Aachen for providing the university license for SoSci Survey. This work was funded by the project Artificial Intelligence in Diagnostics: Ethical, Professional and Social Aspects (ELSA-AID) of the German Federal Ministry of Education and Research (BMBF; grant 01GP1910A) .</t>
  </si>
  <si>
    <t>[Heinrichs, Helen; Kiessling, Fabian] Rheinisch Westfalische TH Aachen RWTH Aachen Univ, Inst Expt Mol Imaging, Forckenpeckstr 55, D-52074 Aachen, Germany; [Kies, Alexander] Rheinisch Westfalische TH Aachen RWTH Aachen Univ, Serv &amp; Technol Mkt, Aachen, Germany; [Nagel, Saskia K.] Rheinisch Westfalische TH Aachen RWTH Aachen Univ, Appl Eth, Aachen, Germany; [Kiessling, Fabian] Fraunhofer Inst Digital Med MEVIS, Bremen, Germany</t>
  </si>
  <si>
    <t>Physicians' Attitudes Toward Artificial Intelligence in Medicine: Mixed Methods Survey and Interview Study</t>
  </si>
  <si>
    <t>artificial intelligence; AI; attitudes; health care; medical diagnostics; AI adoption; medical AI; medical ethics; mixed methods; survey; qualitative interview</t>
  </si>
  <si>
    <t>PUBLIC HOSPITALS; PRIVATE; HEALTH; AI</t>
  </si>
  <si>
    <t>Kiessling, Fabian/ITT-1316-2023</t>
  </si>
  <si>
    <t>Heinrichs, Helen/0000-0002-9727-1979; Kiessling, Fabian/0000-0002-7341-0399; Kies, Alexander/0000-0002-0300-8142</t>
  </si>
  <si>
    <t>AUG 26 2025</t>
  </si>
  <si>
    <t>e74187</t>
  </si>
  <si>
    <t>10.2196/74187</t>
  </si>
  <si>
    <t>http://dx.doi.org/10.2196/74187</t>
  </si>
  <si>
    <t>6WV4M</t>
  </si>
  <si>
    <t>40857713</t>
  </si>
  <si>
    <t>WOS:001563910000001</t>
  </si>
  <si>
    <t>Wei, MQ; Meng, DY; Guo, HZ; He, SC; Tian, ZB; Wang, ZY; Yang, G; Wang, ZH</t>
  </si>
  <si>
    <t>Background: Sarcopenia is a geriatric syndrome characterized by decreased skeletal muscle mass and function with age. It is well-established that resistance exercise and Yi Jin Jing improve the skeletal muscle mass of older adults with sarcopenia. Accordingly, we designed an exercise program incorporating resistance exercise and Yi Jin Jing to increase skeletal muscle mass and reverse sarcopenia in older adults. Additionally, machine learning simulations were used to predict the sarcopenia status after the intervention. Method: This randomized controlled trial assessed the effects of sarcopenia in older adults. For 24 weeks, 90 older adults with sarcopenia were divided into intervention groups, including the Yi Jin Jing and resistance training group (YR, n = 30), the resistance training group (RT, n = 30), and the control group (CG, n = 30). Computed tomography (CT) scans of the abdomen were used to quantify the skeletal muscle cross-sectional area at the third lumbar vertebra (L3 SMA). Participants' age, body mass, stature, and BMI characteristics were analyzed by one-way ANOVA and the chi-squared test for categorical data. This study explored the improvement effect of three interventions on participants' L3 SMA, skeletal muscle density at the third lumbar vertebra (L3 SMD), skeletal muscle interstitial fat area at the third lumbar vertebra region of interest (L3 SMFA), skeletal muscle interstitial fat density at the third lumbar vertebra (L3 SMFD), relative skeletal muscle mass index (RSMI), muscle fat infiltration (MFI), and handgrip strength. Experimental data were analyzed using two-way repeated-measures ANOVA. Eleven machine learning models were trained and tested 100 times to assess the model's performance in predicting whether sarcopenia could be reversed following the intervention. Results: There was a significant interaction in L3 SMA (p &lt; 0.05), RSMI (p &lt; 0.05), MFI (p &lt; 0.05), and handgrip strength (p &lt; 0.05). After the intervention, participants in the YR and RT groups showed significant improvements in L3 SMA, RSMI, and handgrip strength. Post hoc tests showed that the YR group (p &lt; 0.05) yielded significantly better L3 SMA and RSMI than the RT group (p &lt; 0.05) and CG group (p &lt; 0.05) after the intervention. Compared with other models, the stacking model exhibits the best performance in terms of accuracy (85.7%) and F1 (75.3%). Conclusion: One hybrid exercise program with Yi Jin Jing and resistance exercise training can improve skeletal muscle area among older adults with sarcopenia. Accordingly, it is possible to predict whether sarcopenia can be reversed in older adults based on our stacking model.</t>
  </si>
  <si>
    <t>Wei, Meiqi; Meng, Deyu; Guo, Hongzhi; He, Shichun; Tian, Zhibo; Wang, Ziyi; Yang, Guang; Wang, Ziheng</t>
  </si>
  <si>
    <t>Yang, G; Wang, ZH (corresponding author), Northeast Normal Univ, Chinese Ctr Exercise Epidemiol, Changchun 130024, Peoples R China.; Wang, ZH (corresponding author), Intelligent Lancet LLC, A1 Grp, Sacramento, CA 95816 USA.; Wang, ZH (corresponding author), Waseda Univ, Adv Res Ctr Human Sci, Tokorozawa, Saitama 1698050, Japan.</t>
  </si>
  <si>
    <t>wangzh654@nenu.edu.cn; yangg100@nenu.edu.cn</t>
  </si>
  <si>
    <t>The Fundamental Research Funds for the Central Universities (Number: 135222026).</t>
  </si>
  <si>
    <t>[Wei, Meiqi; Meng, Deyu; He, Shichun; Wang, Ziyi; Yang, Guang; Wang, Ziheng] Northeast Normal Univ, Chinese Ctr Exercise Epidemiol, Changchun 130024, Peoples R China; [Guo, Hongzhi] Waseda Univ, Grad Sch Human Sci, Tokorozawa, Saitama 1698050, Japan; [Guo, Hongzhi; Wang, Ziheng] Intelligent Lancet LLC, A1 Grp, Sacramento, CA 95816 USA; [Tian, Zhibo] Guangxi Normal Univ, Coll Phys Educ &amp; Hlth, Guilin 541006, Peoples R China; [Wang, Ziheng] Waseda Univ, Adv Res Ctr Human Sci, Tokorozawa, Saitama 1698050, Japan</t>
  </si>
  <si>
    <t>Northeast Normal University - China; Waseda University; Guangxi Normal University; Waseda University</t>
  </si>
  <si>
    <t>Hybrid Exercise Program for Sarcopenia in Older Adults: The Effectiveness of Explainable Artificial Intelligence-Based Clinical Assistance in Assessing Skeletal Muscle Area</t>
  </si>
  <si>
    <t>sarcopenia; older adults; exercise program; explainable artificial intelligence</t>
  </si>
  <si>
    <t>TRANSFORMING QIGONG EXERCISES; LEAN BODY-MASS; PROGNOSTIC VALUE; SOLID TUMORS; COLON-CANCER; GAIT SPEED; SURVIVAL; TOXICITY; STRENGTH; AGE</t>
  </si>
  <si>
    <t>Hongzhi, GUO/IAQ-3863-2023; Yang, Guang/PBU-9325-2025; Wang, Ziheng/JWP-3488-2024</t>
  </si>
  <si>
    <t>Yang, Guang/0000-0001-7236-7483; Wei, Meiqi/0009-0003-8299-6242; wang, ziyi/0009-0006-8253-8614; deyu, Meng/0000-0002-3270-9829; Wang, Ziheng/0000-0002-3953-0493</t>
  </si>
  <si>
    <t>9952</t>
  </si>
  <si>
    <t>10.3390/ijerph19169952</t>
  </si>
  <si>
    <t>http://dx.doi.org/10.3390/ijerph19169952</t>
  </si>
  <si>
    <t>4C6XA</t>
  </si>
  <si>
    <t>36011588</t>
  </si>
  <si>
    <t>WOS:000846592300001</t>
  </si>
  <si>
    <t>Li, ZY; Wang, LW</t>
  </si>
  <si>
    <t>This study presents a novel clinical decision support platform for orthodontic-orthognathic treatment that integrates multi-task reinforcement learning with explainable artificial intelligence. The platform addresses the challenges of personalized treatment planning in complex dentofacial deformities by formulating treatment as a sequential decision-making process optimizing multiple clinical objectives simultaneously. We developed a comprehensive framework comprising: (1) a multi-task reinforcement learning core with specialized state-action representations for craniofacial structures; (2) complementary explainable AI components that render complex model decisions interpretable within clinical contexts; and (3) an interactive interface facilitating collaborative human-AI decision-making. Experimental validation with 347 retrospectively analyzed cases demonstrated significant improvements in treatment plan quality (19.9%), decision efficiency (73.9% time reduction), and prediction accuracy (92.7%) compared to conventional methods. Clinical evaluation by multidisciplinary specialists confirmed the system's practical utility, with particularly strong performance in complex cases featuring multiple dentofacial abnormalities. The proposed platform represents a significant advancement toward evidence-driven, personalized treatment planning in orthodontic-orthognathic therapy while maintaining clinical interpretability and expert oversight.</t>
  </si>
  <si>
    <t>Li, Zhiyuan; Wang, Liwei</t>
  </si>
  <si>
    <t>Wang, LW (corresponding author), Gen Hosp Northern Theater Command, Dept Stomatol, Shenyang 110002, Liaoning, Peoples R China.</t>
  </si>
  <si>
    <t>15840554105@163.com</t>
  </si>
  <si>
    <t>[Li, Zhiyuan; Wang, Liwei] Gen Hosp Northern Theater Command, Dept Stomatol, Shenyang 110002, Liaoning, Peoples R China</t>
  </si>
  <si>
    <t>Multi-task reinforcement learning and explainable AI-Driven platform for personalized planning and clinical decision support in orthodontic-orthognathic treatment</t>
  </si>
  <si>
    <t>Multi-task reinforcement learning; Explainable artificial intelligence; Orthodontic-orthognathic treatment; Clinical decision support; Personalized medicine; Biomechanical simulation</t>
  </si>
  <si>
    <t>SURGERY</t>
  </si>
  <si>
    <t>24502</t>
  </si>
  <si>
    <t>10.1038/s41598-025-09236-z</t>
  </si>
  <si>
    <t>http://dx.doi.org/10.1038/s41598-025-09236-z</t>
  </si>
  <si>
    <t>4RN3Q</t>
  </si>
  <si>
    <t>40628824</t>
  </si>
  <si>
    <t>WOS:001524953600009</t>
  </si>
  <si>
    <t>Galatzan, BJ; Johnson, EA; Turchioe, MR; Baker, C; Wieben, A</t>
  </si>
  <si>
    <t>Background: Artificial intelligence (AI) is rapidly transforming clinical decision-making and healthcare delivery, yet state-level legislation addressing AI integration in patient care often lacks alignment with nursing-specific regulatory frameworks. Purpose: This policy analysis examines enacted and proposed AI-related legislation across the United States, with specific attention on implications for nursing practice, licensure, and professional accountability. Methods/Results: Using a structured review and thematic categorization of state legislation, eight major policy domains were identified, such as "AI in Clinical Decision-Making," "Nursing Scope-of-Practice or Autonomy Protections," and "AI Governance via Task Forces or Commissions." While development of state-level AI policy is gaining momentum, few legislative efforts explicitly define nursing roles, responsibilities, or protections within AI-integrated environments. Furthermore, the majority of proposals addressing nursing autonomy are pending rather than enacted. Conclusion: These findings highlight a growing regulatory gap that may expose nurses to increased liability, ambiguous role expectations, and reduced clinical authority in AI-augmented care settings. Key AI policy and regulatory priorities for the nursing profession focus on competencies in nursing education, updated licensure frameworks, and structured approaches for boards of nursing to assess disciplinary concerns arising from AI use. Foundational insights for nursing organizations seeking to proactively engage with AI policy development and ensure safe, ethical nursing practice in the digital era are provided.</t>
  </si>
  <si>
    <t>Galatzan, Benjamin J.; Johnson, Elizabeth A.; Turchioe, Meghan Reading; Baker, Christina; Wieben, Ann</t>
  </si>
  <si>
    <t>Galatzan, BJ (corresponding author), Univ Alabama Birmingham, Sch Nursing, Birmingham, AL 35294 USA.</t>
  </si>
  <si>
    <t>galatzan@uab.edu</t>
  </si>
  <si>
    <t>[Galatzan, Benjamin J.] Univ Alabama Birmingham, Sch Nursing, Birmingham, AL 35294 USA; [Johnson, Elizabeth A.] Montana State Univ, Mark &amp; Robyn Jones Coll Nursing, Bozeman, MT USA; [Turchioe, Meghan Reading] Columbia Univ, Sch Nursing, New York, NY USA; [Baker, Christina] Univ Colorado, Anschutz Med Campus, Aurora, CO USA; [Wieben, Ann] Univ Wisconsin, Madison, WI USA</t>
  </si>
  <si>
    <t>University of Alabama System; University of Alabama Birmingham; Montana State University System; Montana State University Bozeman; Columbia University; University of Colorado System; University of Colorado Anschutz; University of Wisconsin System; University of Wisconsin Madison</t>
  </si>
  <si>
    <t>Regulating at the AI frontier: The collision of policy, regulation, and nursing practice</t>
  </si>
  <si>
    <t>JOURNAL OF NURSING REGULATION</t>
  </si>
  <si>
    <t>Artificial intelligence; Licensure; Nursing; Nursing practice; Health policy; Legislation as topic</t>
  </si>
  <si>
    <t>Turchioe, Meghan/AAR-2353-2020; Baker, Christina/AGP-4604-2022; Johnson, Elizabeth/MCX-9553-2025; Wieben, Ann/LQJ-9656-2024</t>
  </si>
  <si>
    <t>Galatzan, Benjamin/0000-0002-0220-8388; Baker, Christina/0000-0002-6391-0314</t>
  </si>
  <si>
    <t>77</t>
  </si>
  <si>
    <t>2155-8256</t>
  </si>
  <si>
    <t>2155-8264</t>
  </si>
  <si>
    <t>J NURS REGUL</t>
  </si>
  <si>
    <t>J. Nurs. Regul.</t>
  </si>
  <si>
    <t>207</t>
  </si>
  <si>
    <t>10.1016/j.jnr.2025.08.012</t>
  </si>
  <si>
    <t>http://dx.doi.org/10.1016/j.jnr.2025.08.012</t>
  </si>
  <si>
    <t>8VG9T</t>
  </si>
  <si>
    <t>WOS:001598173900009</t>
  </si>
  <si>
    <t>Zimmerman, RM; Hernandez, EJ; Watkins, WS; Blue, N; Tristani-Firouzi, M; Yandell, M; Steinberg, BA</t>
  </si>
  <si>
    <t>Zimmerman, Raquel M.; Hernandez, Edgar J.; Watkins, W. Scott; Blue, Nathan; Tristani-Firouzi, Martin; Yandell, Mark; Steinberg, Benjamin A.</t>
  </si>
  <si>
    <t>Steinberg, BA (corresponding author), Univ Utah, Dept Med, Div Cardiol, Salt Lake City, UT 84108 USA.</t>
  </si>
  <si>
    <t>benjamin.steinberg@hsc.utah.edu</t>
  </si>
  <si>
    <t>NCATS NIH HHS [UM1 TR004409] Funding Source: Medline; NHLBI NIH HHS [K23 HL143156, R56 HL128674] Funding Source: Medline; National Heart Lung and Blood Institute [K23HL143156] Funding Source: NIH RePORTER</t>
  </si>
  <si>
    <t>NCATS NIH HHS (United States Department of Health &amp; Human Services, National Institutes of Health (NIH) - USA, NIH National Center for Advancing Translational Sciences (NCATS)); NHLBI NIH HHS (United States Department of Health &amp; Human Services, National Institutes of Health (NIH) - USA, NIH National Heart Lung &amp; Blood Institute (NHLBI)); National Heart Lung and Blood Institute (United States Department of Health &amp; Human Services, National Institutes of Health (NIH) - USA, NIH National Heart Lung &amp; Blood Institute (NHLBI))</t>
  </si>
  <si>
    <t>[Zimmerman, Raquel M.] Univ Utah, Dept Biomed Informat, Salt Lake City, UT USA; [Hernandez, Edgar J.; Watkins, W. Scott; Yandell, Mark] Univ Utah, Utah Ctr Genet Discovery, Dept Human Genet, Salt Lake City, UT USA; [Blue, Nathan] Univ Utah, Dept Obstet &amp; Gynecol, Salt Lake City, UT USA; [Tristani-Firouzi, Martin] Univ Utah, Dept Pediat, Salt Lake City, UT USA; [Steinberg, Benjamin A.] Univ Utah, Dept Med, Div Cardiol, Salt Lake City, UT 84108 USA</t>
  </si>
  <si>
    <t>Utah System of Higher Education; University of Utah; Utah System of Higher Education; University of Utah; Utah System of Higher Education; University of Utah; Utah System of Higher Education; University of Utah; Utah System of Higher Education; University of Utah</t>
  </si>
  <si>
    <t>An Explainable Artificial Intelligence Approach for Discovering Social Determinants of Health and Risk Interactions for Stroke in Patients With Atrial Fibrillation</t>
  </si>
  <si>
    <t>AMERICAN JOURNAL OF CARDIOLOGY</t>
  </si>
  <si>
    <t>Blue, Nathan/T-1684-2019; Steinberg, Benjamin/AHA-0481-2022; Hernandez, Edgar/NJR-3216-2025</t>
  </si>
  <si>
    <t>Watkins, W Scott/0000-0001-9105-1193; Hernandez, Edgar/0000-0003-1455-8251</t>
  </si>
  <si>
    <t>EXCERPTA MEDICA INC-ELSEVIER SCIENCE INC</t>
  </si>
  <si>
    <t>BRIDGEWATER</t>
  </si>
  <si>
    <t>685 ROUTE 202-206 STE 3, BRIDGEWATER, NJ 08807 USA</t>
  </si>
  <si>
    <t>0002-9149</t>
  </si>
  <si>
    <t>1879-1913</t>
  </si>
  <si>
    <t>AM J CARDIOL</t>
  </si>
  <si>
    <t>Am. J. Cardiol.</t>
  </si>
  <si>
    <t>JUN 27 2023</t>
  </si>
  <si>
    <t>224</t>
  </si>
  <si>
    <t>10.1016/j.amjcard.2023.05.064</t>
  </si>
  <si>
    <t>http://dx.doi.org/10.1016/j.amjcard.2023.05.064</t>
  </si>
  <si>
    <t>M4KL3</t>
  </si>
  <si>
    <t>37385178</t>
  </si>
  <si>
    <t>WOS:001029909000001</t>
  </si>
  <si>
    <t>Gundogan, E</t>
  </si>
  <si>
    <t>The life span and quality of a patient are greatly diminished by a brain tumor, a type of cancer. For patients, early diagnosis and effective treatment are very significant in this respect. To assist medical professionals in this difficult and error-prone process and improve both the accuracy and interpretability of the model, this study proposes a new hybrid deep learning model enhanced with explainable artificial intelligence for brain tumor multi-classification from MRI images. It integrates a customized CNN model for feature extraction from images and the optimized XGBoost method with high classification success. It also incorporates Grad-CAM, which makes the black-box structure of the model transparent and the decision-making process more understandable. The proposed model classified four different brain tumors, namely glioma, meningioma, notumor and pituitary, with 99.77% accuracy and demonstrated superior performance when compared with existing methods. The results show that a robust, interpretable and high-performance hybrid classification model has been developed for brain tumor detection.</t>
  </si>
  <si>
    <t>Gundogan, Esra</t>
  </si>
  <si>
    <t>Gundogan, E (corresponding author), Firat Univ, Software Engn Dept, TR-23190 Elazig, Turkiye.</t>
  </si>
  <si>
    <t>egundogan@firat.edu.tr</t>
  </si>
  <si>
    <t>Scientific Research Projects Coordination Unit of Firat University</t>
  </si>
  <si>
    <t>Scientific Research Projects Coordination Unit of Firat University (Firat University)</t>
  </si>
  <si>
    <t>This work was supported by the Scientific Research Projects Coordination Unit of Firat University under Grant No: MF.24.119.</t>
  </si>
  <si>
    <t>[Gundogan, Esra] Firat Univ, Software Engn Dept, TR-23190 Elazig, Turkiye</t>
  </si>
  <si>
    <t>Firat University</t>
  </si>
  <si>
    <t>A Novel Hybrid Deep Learning Model Enhanced with Explainable AI for Brain Tumor Multi-Classification from MRI Images</t>
  </si>
  <si>
    <t>brain tumor classification; deep learning; Grad-CAM; XAI; XGBoost</t>
  </si>
  <si>
    <t>GÜNDOĞAN, ESRA/W-5137-2018</t>
  </si>
  <si>
    <t>GÜNDOĞAN, ESRA/0000-0001-7331-3348</t>
  </si>
  <si>
    <t>MAY 12 2025</t>
  </si>
  <si>
    <t>5412</t>
  </si>
  <si>
    <t>10.3390/app15105412</t>
  </si>
  <si>
    <t>http://dx.doi.org/10.3390/app15105412</t>
  </si>
  <si>
    <t>3BQ9Z</t>
  </si>
  <si>
    <t>WOS:001496493400001</t>
  </si>
  <si>
    <t>Takefuji, Y</t>
  </si>
  <si>
    <t>Kilic et al. reviewed machine learning (ML) and deep learning (DL) for sleep apnea detection, emphasizing explainable AI (XAI) while noting challenges like Apnea-Hypopnea Index (AHI) discrepancies. This paper extends their critique, arguing that XAI tools like SHAP inherit model biases, and high prediction accuracy does not guarantee reliable feature importances, which inherently lack ground truth validation. To overcome these limitations and build clinical trust, we advocate for a comprehensive approach combining unsupervised ML (e.g., feature agglomeration, highly variable gene selection) with nonlinear nonparametric statistical methods (e.g., Spearman's correlation). This strategy robustly evaluates variable relationships and p-values, particularly for monotonic associations, mitigating misapplications stemming from assumption violations and inadequate interpretation of model ground truth, thus fostering real-world applicability.</t>
  </si>
  <si>
    <t>Takefuji, Yoshiyasu</t>
  </si>
  <si>
    <t>Takefuji, Y (corresponding author), Musashino Univ, Fac Data Sci, 3-3-3 Ariake Koto Ku, Tokyo 1358181, Japan.</t>
  </si>
  <si>
    <t>takefuji@keio.jp</t>
  </si>
  <si>
    <t>[Takefuji, Yoshiyasu] Musashino Univ, Fac Data Sci, 3-3-3 Ariake Koto Ku, Tokyo 1358181, Japan</t>
  </si>
  <si>
    <t>Musashino University</t>
  </si>
  <si>
    <t>Beyond explainable AI: Enhancing trust and robustness in machine learning for sleep apnea diagnosis</t>
  </si>
  <si>
    <t>SLEEP MEDICINE REVIEWS</t>
  </si>
  <si>
    <t>Sleep apnea diagnosis; Explainable AI limitations; Feature importance reliability; Unsupervised machine learning; Nonparametric statistics</t>
  </si>
  <si>
    <t>Takefuji, Yoshiyasu/R-3142-2019</t>
  </si>
  <si>
    <t>Takefuji, Yoshiyasu/0000-0002-1826-742X</t>
  </si>
  <si>
    <t>1087-0792</t>
  </si>
  <si>
    <t>1532-2955</t>
  </si>
  <si>
    <t>SLEEP MED REV</t>
  </si>
  <si>
    <t>Sleep Med. Rev.</t>
  </si>
  <si>
    <t>102152</t>
  </si>
  <si>
    <t>10.1016/j.smrv.2025.102152</t>
  </si>
  <si>
    <t>http://dx.doi.org/10.1016/j.smrv.2025.102152</t>
  </si>
  <si>
    <t>7XM8S</t>
  </si>
  <si>
    <t>40819476</t>
  </si>
  <si>
    <t>WOS:001581998400001</t>
  </si>
  <si>
    <t>Zucchini, N; Capozzella, E; Giuffrè, M; Mastronardi, M; Casagranda, B; Crocè, SL; de Manzini, N; Palmisano, S</t>
  </si>
  <si>
    <t>Purpose Metabolic bariatric surgery (MBS) became integral to managing severe obesity. Understanding surgical risks associated with MBS is crucial. Different scores, such as the Metabolic and Bariatric Surgery Accreditation and Quality Improvement Program (MBSAQIP), aid in patient selection and outcome prediction. This study aims to evaluate machine learning (ML) models performance in predicting 30-day post-operative complications and compare them with the MBSAQIP risk score. Materials and Methods We retrospectively evaluated 424 consecutive patients (2006-2020) who underwent MBS, analyzing 30-day surgical complications according to Clavien-Dindo Classification. ML models, including logistic regression, support vector machine, random forest, k-nearest neighbors, multi-layer perceptron, and extreme gradient boosting, were analyzed and compared to MBSAQIP risk score. Performance was measured by area under receiver operating characteristic curve (AUROC) analysis. Results Random forest showed the highest AUROC in the training (AUROC = 0.94) and the validation set (AUROC = 0.88). ML algorithms, particularly random forest, outperformed MBSAQIP in predicting negative 30-day outcomes in both the training and validation sets (AUROC = 0.64, DeLong's Test p &lt; 0.001). The five features that were more relevant for the prediction of the random forest model were serum alkaline phosphatase, platelet count, triglycerides, glycated hemoglobin, and albumin. Conclusion We developed several ML model that identifies patients at risk for 30-day complications after MBS. Among these, random forest is the most performing one and outperforms the already established MBSAQIP score. This model could increase the identification of high-risk patients before MBS.</t>
  </si>
  <si>
    <t>Zucchini, Nicolas; Capozzella, Eugenia; Giuffre, Mauro; Mastronardi, Manuela; Casagranda, Biagio; Croce, Saveria Lory; de Manzini, Nicolo; Palmisano, Silvia</t>
  </si>
  <si>
    <t>Mastronardi, M (corresponding author), Univ Trieste, Dept Med Surg &amp; Hlth Sci, Str Di Fiume 447, I-34149 Trieste, Italy.</t>
  </si>
  <si>
    <t>manuela.mastronardi@gmail.com</t>
  </si>
  <si>
    <t>[Zucchini, Nicolas; Capozzella, Eugenia; Mastronardi, Manuela; Croce, Saveria Lory; de Manzini, Nicolo; Palmisano, Silvia] Univ Trieste, Dept Med Surg &amp; Hlth Sci, Str Di Fiume 447, I-34149 Trieste, Italy; [Giuffre, Mauro] Yale Univ, Yale Sch Med, Dept Internal Med Digest Dis, New Haven, CT USA; [Casagranda, Biagio; de Manzini, Nicolo; Palmisano, Silvia] ASUGI, Cattinara Hosp, Surg Clin Div, Div Clin Surg, I-34149 Trieste, Italy</t>
  </si>
  <si>
    <t>University of Trieste; Yale University</t>
  </si>
  <si>
    <t>Advanced Non-linear Modeling and Explainable Artificial Intelligence Techniques for Predicting 30-Day Complications in Bariatric Surgery: A Single-Center Study</t>
  </si>
  <si>
    <t>OBESITY SURGERY</t>
  </si>
  <si>
    <t>Metabolic surgery; Risk scores; Artificial intelligence; Explainable artificial intelligence</t>
  </si>
  <si>
    <t>SURGICAL RISK CALCULATOR; READMISSION</t>
  </si>
  <si>
    <t>Zucchini, Nicolas/PGT-6200-2026; Giuffrè, Mauro/HLP-7614-2023; croce', lory saveria/E-2565-2011; Casagranda, Biagio/KMY-7726-2024; Palmisano, Silvia/JEF-0520-2023; Mastronardi, Manuela/ABO-6699-2022</t>
  </si>
  <si>
    <t>Mastronardi, Manuela/0000-0003-3525-3692; Zucchini, Nicolas/0000-0002-2636-4094</t>
  </si>
  <si>
    <t>0960-8923</t>
  </si>
  <si>
    <t>1708-0428</t>
  </si>
  <si>
    <t>OBES SURG</t>
  </si>
  <si>
    <t>Obes. Surg.</t>
  </si>
  <si>
    <t>3627</t>
  </si>
  <si>
    <t>3638</t>
  </si>
  <si>
    <t>10.1007/s11695-024-07501-0</t>
  </si>
  <si>
    <t>http://dx.doi.org/10.1007/s11695-024-07501-0</t>
  </si>
  <si>
    <t>I3P1X</t>
  </si>
  <si>
    <t>39271585</t>
  </si>
  <si>
    <t>WOS:001313276800001</t>
  </si>
  <si>
    <t>Sharma, K; Saini, N; Hasija, Y</t>
  </si>
  <si>
    <t>Imbalance in glucose metabolism and insulin resistance are two primary features of type 2 diabetes/diabetes mellitus. Its etiology is linked to mitochondrial dysfunction in skeletal muscle tissue. The mitochondria are vital organelles involved in ATP synthesis and metabolism. The underlying biological pathways leading to mitochondrial dysfunction in type 2 diabetes can help us understand the pathophysiology of the disease. In this study, the mitochondrial gene expression dataset were retrieved from the GSE22309, GSE25462, and GSE18732 using Mitocarta 3.0, focusing specifically on genes that are associated with mitochondrial function in type 2 disease. Feature selection on the expression dataset of skeletal muscle tissue from 107 control patients and 70 type 2 diabetes patients using the XGBoost algorithm having the highest accuracy. For interpretation and analysis of results linked to the disease by examining the feature importance deduced from the model was done using SHAP (SHapley Additive exPlanations). Next, to comprehend the biological connections, study of proteinprotien and mRNA-miRNA networks was conducted using String and Mienturnet respectively. The analysis revealed BDH1, YARS2, AKAP10, RARS2, MRPS31, were potential mitochondrial target genes among the other twenty genes. These genes are mainly involved in the transport and organization of mitochondria, regulation of its membrane potential, and intrinsic apoptotic signaling etc. mRNA-miRNA interaction network revealed a significant role of miR-375; miR-30a-5p; miR-16-5p; miR-129-5p; miR-1229-3p; and miR-1224-3p; in the regulation of mitochondrial function exhibited strong associations with type 2 diabetes. These results might aid in the creation of novel targets for therapy and type 2 diabetes biomarkers.</t>
  </si>
  <si>
    <t>Sharma, Kritika; Saini, Neeru; Hasija, Yasha</t>
  </si>
  <si>
    <t>Hasija, Y (corresponding author), Delhi Technol Univ, Dept Biotechnol, Delhi 110042, India.</t>
  </si>
  <si>
    <t>yashahasija@dtu.ac.in</t>
  </si>
  <si>
    <t>CSIR [HCP043]</t>
  </si>
  <si>
    <t>CSIR (Council of Scientific &amp; Industrial Research (CSIR) - India)</t>
  </si>
  <si>
    <t>Kritika Sharma would like to acknowledge the fellowship from CSIR project "HCP043 " .</t>
  </si>
  <si>
    <t>[Sharma, Kritika; Saini, Neeru] CSIR Inst Genom &amp; Integrat Biol, Mall Rd, New Delhi 110007, India; [Sharma, Kritika; Hasija, Yasha] Delhi Technol Univ, Dept Biotechnol, Delhi 110042, India; [Saini, Neeru] Acad Sci &amp; Innovat Res AcSIR, Ghaziabad 201002, India</t>
  </si>
  <si>
    <t>Council of Scientific &amp; Industrial Research (CSIR) - India; CSIR - Institute of Genomics &amp; Integrative Biology (IGIB); Delhi Technological University; Academy of Scientific &amp; Innovative Research (AcSIR)</t>
  </si>
  <si>
    <t>Identifying the mitochondrial metabolism network by integration of machine learning and explainable artificial intelligence in skeletal muscle in type 2 diabetes</t>
  </si>
  <si>
    <t>MITOCHONDRION</t>
  </si>
  <si>
    <t>Explanable Artificial Intelligence; SHAP; XGBoost; Type 2 Diabetes; miRNA</t>
  </si>
  <si>
    <t>INSULIN-RESISTANCE; MIR-375; PATHOGENESIS; APOPTOSIS; PATHWAY; TISSUE; CELLS; MICE; SHOW</t>
  </si>
  <si>
    <t>hasija, yasha/KRQ-5732-2024; Sharma, Kritika/LJL-2123-2024</t>
  </si>
  <si>
    <t>Saini, Neeru/0000-0002-6986-8372; hasija, yasha/0000-0003-0116-0711</t>
  </si>
  <si>
    <t>1567-7249</t>
  </si>
  <si>
    <t>1872-8278</t>
  </si>
  <si>
    <t>Mitochondrion</t>
  </si>
  <si>
    <t>101821</t>
  </si>
  <si>
    <t>10.1016/j.mito.2023.11.004</t>
  </si>
  <si>
    <t>http://dx.doi.org/10.1016/j.mito.2023.11.004</t>
  </si>
  <si>
    <t>Cell Biology; Genetics &amp; Heredity</t>
  </si>
  <si>
    <t>DT1N4</t>
  </si>
  <si>
    <t>38040172</t>
  </si>
  <si>
    <t>WOS:001134234000001</t>
  </si>
  <si>
    <t>Shabestari, PS; Schoisswohl, S; Wellauer, Z; Naas, A; Kleinjung, T; Schecklmann, M; Langguth, B; Neff, P</t>
  </si>
  <si>
    <t>Tinnitus is defined as the perception of sound without an external source. Its perceptual suppression or on/off states remain poorly understood. This study investigates neural traits linked to brief acoustic tinnitus suppression (BATS) using naive resting-state EEG (closed eyes) from 102 individuals. A set of EEG features (band power, entropy, aperiodic slope and offset of the EEG spectrum, and connectivity) and standard classifiers were applied achieving consistent high accuracy across data splits: 98% for sensor and 86% for source models. The Random Forest model outperformed other classifiers by excelling in robustness and reduction of overfitting. It identified several key EEG features, most prominently alpha and gamma frequency band power. Gamma power was stronger in the left auditory network, while alpha power dominated the right hemisphere. Aperiodic features were normalized in individuals with BATS. Additionally, hyperconnected auditory-limbic networks in BATS suggest sensory gating may aid suppression. These findings demonstrate robust classification of BATS status, revealing distinct neural traits between tinnitus subpopulations. Our work emphasizes the role of neural mechanisms in predicting and managing tinnitus suppression. Moreover, it advances the understanding of effective feature selection, model choice, and validation strategies for analyzing clinical neurophysiological data in general.</t>
  </si>
  <si>
    <t>Shabestari, Payam S.; Schoisswohl, Stefan; Wellauer, Zino; Naas, Adrian; Kleinjung, Tobias; Schecklmann, Martin; Langguth, Berthold; Neff, Patrick</t>
  </si>
  <si>
    <t>Neff, P (corresponding author), Univ Zurich, Univ Hosp Zurich, Dept Otorhinolaryngol Head &amp; Neck Surg, Zurich, Switzerland.; Neff, P (corresponding author), Univ Regensburg, Dept Psychiat &amp; Psychotherapy, Regensburg, Germany.</t>
  </si>
  <si>
    <t>patrick.neff@uzh.ch</t>
  </si>
  <si>
    <t>Schweizerischer Nationalfonds zur Frderung der Wissenschaftlichen Forschung</t>
  </si>
  <si>
    <t>We are thankful to Susanne Staudinger, Anita Hafner, Bernhard Unsin, Kira Voigt, Jonathan Kisskalt, Anthony Ngu, Mariana Martins-Lopez, Deniza Avdi, Vithushika Raveenthiran, and Allegra Preisig for their invaluable help in study management and data acquisition. We thank all the participants for their efforts and patience in the partly tedious experimental procedures.</t>
  </si>
  <si>
    <t>[Shabestari, Payam S.; Kleinjung, Tobias; Neff, Patrick] Univ Zurich, Univ Hosp Zurich, Dept Otorhinolaryngol Head &amp; Neck Surg, Zurich, Switzerland; [Schoisswohl, Stefan; Schecklmann, Martin; Langguth, Berthold; Neff, Patrick] Univ Regensburg, Dept Psychiat &amp; Psychotherapy, Regensburg, Germany; [Schoisswohl, Stefan] Univ Bundeswehr Munchen, Dept Psychol, Neubiberg, Germany; [Wellauer, Zino] Univ Zurich, Dept Comparat Language Sci, Zurich, Switzerland; [Naas, Adrian] Bern Univ Appl Sci, Inst New Work, Business Sch, Bern, Switzerland; [Naas, Adrian] Univ Fribourg Freiburg, Dept Psychol, Fribourg Freiburg, Switzerland</t>
  </si>
  <si>
    <t>University of Zurich; University Zurich Hospital; University of Regensburg; Bundeswehr University Munich; University of Zurich</t>
  </si>
  <si>
    <t>Prediction of acoustic tinnitus suppression using resting-state EEG via explainable AI approach</t>
  </si>
  <si>
    <t>HUMAN CEREBRAL-CORTEX; GAMMA-BAND RESPONSES; RESIDUAL INHIBITION; NOISE; POWER; OSCILLATIONS; DISORDERS; SYNCHRONY; SPECTRA; SYSTEM</t>
  </si>
  <si>
    <t>Kleinjung, Tobias/AAJ-3141-2020; Langguth, Berthold/AAP-2638-2021; Neff, Patrick/A-9587-2017</t>
  </si>
  <si>
    <t>Neff, Patrick/0000-0003-3174-4910; Naas, Aian/0000-0002-8662-5794; Wellauer, Zino Hannes/0009-0002-2715-2525</t>
  </si>
  <si>
    <t>MAR 31 2025</t>
  </si>
  <si>
    <t>10968</t>
  </si>
  <si>
    <t>10.1038/s41598-025-95351-w</t>
  </si>
  <si>
    <t>http://dx.doi.org/10.1038/s41598-025-95351-w</t>
  </si>
  <si>
    <t>0VC3K</t>
  </si>
  <si>
    <t>40164712</t>
  </si>
  <si>
    <t>WOS:001456731400012</t>
  </si>
  <si>
    <t>Olivas-Padilla, BE; Manitsaris, S; Glushkova, A</t>
  </si>
  <si>
    <t>Extensive research has been conducted on analyzing human movements, driven by its diverse practical applications such as human-robot interaction, human learning, and clinical diagnosis. However, the current state-of-the-art still encounters scientific challenges when it comes to modeling human movements. There are two key aspects that need to be addressed. Firstly, new models should consider the stochastic nature of human movement and the physical structure of the human body to accurately predict the patterns in full -body motion descriptors over time. Secondly, while deep learning algorithms have been utilized, they lack explainability in terms of predicting body posture sequences, making it essential to improve their comprehensible representation of human movement. This paper aims to tackle these challenges by presenting three innovative methods for creating explainable representations of human movement. The study formulates human body movement as a state -space model based on the Gesture Operational Model (GOM). Model parameters are estimated through either one-shot training employing Kalman Filters or data -intensive training utilizing artificial neural networks. The trained models are utilized for analyzing the dexterity of expert professionals in full -body movements, enabling the identification of dynamic associations between body joints and gesture recognition. Additionally, these models are employed to generate artificial professional movements.</t>
  </si>
  <si>
    <t>Olivas-Padilla, Brenda Elizabeth; Manitsaris, Sotiris; Glushkova, Alina</t>
  </si>
  <si>
    <t>Olivas-Padilla, BE (corresponding author), Univ PSL, Ctr Robot, Mines Paris, F-75006 Paris, France.</t>
  </si>
  <si>
    <t>brenda.olivas@minesparis.psl.eu; sotiris.manitsaris@minesparis.psl.eu; alina.glushkova@minesparis.psl.eu</t>
  </si>
  <si>
    <t>EU [820767, 822336, 101094349]; Horizon Europe - Pillar II [101094349] Funding Source: Horizon Europe - Pillar II</t>
  </si>
  <si>
    <t>EU (European Union (EU)); Horizon Europe - Pillar II</t>
  </si>
  <si>
    <t>The research leading to these results has received funding from the EU Horizon 2020 Research and Innovation Programme under Grant Agreement No. 820767, CoLLaboratE project, Grant No. 822336, Mingei project, and Grant No. 101094349, Craeft project.</t>
  </si>
  <si>
    <t>[Olivas-Padilla, Brenda Elizabeth; Manitsaris, Sotiris; Glushkova, Alina] Univ PSL, Ctr Robot, Mines Paris, F-75006 Paris, France</t>
  </si>
  <si>
    <t>Universite PSL; MINES ParisTech</t>
  </si>
  <si>
    <t>Explainable AI in human motion: A comprehensive approach to analysis, modeling, and generation</t>
  </si>
  <si>
    <t>Human movement analysis; Explainable models; State-space modeling; Wearable sensors; Body dexterity analysis; Human pose generation; Gesture recognition</t>
  </si>
  <si>
    <t>Manitsaris, Sotiris/CAH-0112-2022</t>
  </si>
  <si>
    <t>Alina, Glushkova/0000-0002-6214-2034; Manitsaris, Sotiris/0000-0003-4552-1793; Olivas, Brenda/0000-0002-7436-4822</t>
  </si>
  <si>
    <t>110418</t>
  </si>
  <si>
    <t>10.1016/j.patcog.2024.110418</t>
  </si>
  <si>
    <t>http://dx.doi.org/10.1016/j.patcog.2024.110418</t>
  </si>
  <si>
    <t>QN7Z1</t>
  </si>
  <si>
    <t>WOS:001221629600001</t>
  </si>
  <si>
    <t>Badve, S; Kumar, GL; Lang, T; Peigin, E; Pratt, J; Anders, R; Chatterjee, D; Gonzalez, RS; Graham, RP; Krasinskas, AM; Liu, XL; Quaas, A; Saxena, R; Setia, N; Tang, LR; Wang, HL; Rüschoff, J; Schildhaus, HU; Daifalla, K; Päpper, M; Frey, P; Faber, F; Karasarides, M</t>
  </si>
  <si>
    <t>Diagnostic certainty is the cornerstone of modern medicine and critical for maximal treatment benefit. When evaluating biomarker expression by immunohistochemistry (IHC), however, pathologists are hindered by complex scoring methodologies, unique positivity cut-offs and subjective staining interpretation. Artificial intelligence (AI) can potentially eliminate diagnostic uncertainty, especially when AI "trustworthiness" is proven by expert pathologists in the context of real-world clinical practice. Building on an IHC foundation model, we employed pathologists-in-the-loop finetuning to produce a programmed cell death ligand 1 (PD-L1) CPS AI Model. We devised a multi-head augmented reality microscope (ARM) system overlayed with the PD-L1 CPS AI Model to assess interobserver variability and gauge the pathologists' trust in AI model outputs. Using difficult to interpret regions on gastroesophageal biopsies, we show that AI-assistance improved case agreement between any 2 pathologists by 14% (agreement on 77% vs 91%) and among 11 pathologists by 26% (agreement on 43% vs 69%). At a clinical cutoff of PD-L1 CPS &gt;= 5, the number of cases diagnosed as positive by all 11 pathologists increased by 31%. Our findings underscore the benefits of fully engaging pathologists as active participants in the development and deployment of IHC AI models and frame the roadmap for trustworthy AI as a bridge to increased adoption in routine pathology practice.</t>
  </si>
  <si>
    <t>Badve, Sunil; Kumar, George L.; Lang, Tobias; Peigin, Eli; Pratt, James; Anders, Robert; Chatterjee, Deyali; Gonzalez, Raul S.; Graham, Rondell P.; Krasinskas, Alyssa M.; Liu, Xiuli; Quaas, Alexander; Saxena, Romil; Setia, Namrata; Tang, Laura; Wang, Hanlin L.; Rueschoff, Josef; Schildhaus, Hans-Ulrich; Daifalla, Khalid; Paepper, Marc; Frey, Patrick; Faber, Felix; Karasarides, Maria</t>
  </si>
  <si>
    <t>Badve, S (corresponding author), Emory Univ, Sch Med, Atlanta, GA 30322 USA.; Kumar, GL; Karasarides, M (corresponding author), Bristol Myers Squibb, Princeton, NJ 08543 USA.; Lang, T (corresponding author), Mindpeak, Hamburg, Germany.</t>
  </si>
  <si>
    <t>george.kumar@astrazeneca.com; sbadve@emory.edu; maria@delphina.io; tobias.lang@mindpeak.ai</t>
  </si>
  <si>
    <t>BMS</t>
  </si>
  <si>
    <t>BMS (Bristol-Myers Squibb)</t>
  </si>
  <si>
    <t>We thank members of Mindpeak and Augmentiqs who participated in discussions and especially Gabe Siegel and Dan Regelman for strategic direction and assistance in integrating the ARM hardware. We thank Michelle H. Choi, John Marchlenski, Charles Reichley and the technical experts at Hunt Optics and Imaging for assembling the multi-head microscope. We thank members of the BMS IT department for providing laptop computers. We thank Kald Abdallah for supportive discussions and insights. Funding was provided by BMS. We thank and especially appreciate the patients who provided their tissue for scientific analysis.</t>
  </si>
  <si>
    <t>[Badve, Sunil; Gonzalez, Raul S.; Krasinskas, Alyssa M.; Saxena, Romil] Emory Univ, Sch Med, Atlanta, GA 30322 USA; [Kumar, George L.; Pratt, James; Karasarides, Maria] Bristol Myers Squibb, Princeton, NJ 08543 USA; [Lang, Tobias; Daifalla, Khalid; Paepper, Marc; Frey, Patrick; Faber, Felix] Mindpeak, Hamburg, Germany; [Peigin, Eli] Augmentiqs, DN, Misgav, Israel; [Anders, Robert] Johns Hopkins Univ Baltimore, Baltimore, MD USA; [Chatterjee, Deyali] Univ Texas MD Anderson Canc Ctr, Houston, TX USA; [Graham, Rondell P.] Mayo Clin, Rochester, MN USA; [Liu, Xiuli] Washington Univ, Sch Med, St Louis, MO USA; [Quaas, Alexander] Cologne Univ Hosp, Cologne, Germany; [Setia, Namrata] Univ Chicago, Chicago, IL USA; [Tang, Laura] Mem Sloan Kettering Canc Ctr, New York, NY USA; [Wang, Hanlin L.] UCLA, David Geffen Sch Med, Los Angeles, CA USA; [Rueschoff, Josef; Schildhaus, Hans-Ulrich] Discovery Life Sci Biomarker Serv GmBH, Kassel, Germany</t>
  </si>
  <si>
    <t>Emory University; Bristol-Myers Squibb; Johns Hopkins University; University of Texas System; UTMD Anderson Cancer Center; Mayo Clinic; Washington University (WUSTL); University of Cologne; University of Chicago; Memorial Sloan Kettering Cancer Center; University of California System; University of California Los Angeles; University of California Los Angeles Medical Center; David Geffen School of Medicine at UCLA</t>
  </si>
  <si>
    <t>Augmented reality microscopy to bridge trust between AI and pathologists</t>
  </si>
  <si>
    <t>NPJ PRECISION ONCOLOGY</t>
  </si>
  <si>
    <t>FOUNDATION MODEL; IMMUNOHISTOCHEMISTRY; CONCORDANCE; DIAGNOSTICS; ANTIBODIES; ASSAYS</t>
  </si>
  <si>
    <t>Schildhaus, Hans-Ulrich/KIA-2879-2024; Quaas, Alexander/LXB-4339-2024</t>
  </si>
  <si>
    <t>Frey, Patrick/0009-0005-1012-2233</t>
  </si>
  <si>
    <t>2397-768X</t>
  </si>
  <si>
    <t>NPJ PRECIS ONCOL</t>
  </si>
  <si>
    <t>npj Precis. Oncol.</t>
  </si>
  <si>
    <t>139</t>
  </si>
  <si>
    <t>10.1038/s41698-025-00899-5</t>
  </si>
  <si>
    <t>http://dx.doi.org/10.1038/s41698-025-00899-5</t>
  </si>
  <si>
    <t>3IK6Y</t>
  </si>
  <si>
    <t>40355526</t>
  </si>
  <si>
    <t>WOS:001501102700001</t>
  </si>
  <si>
    <t>Przepiorka, L; Kujawski, S; Wójtowicz, K; Maj, E; Marchel, A; Kunert, P</t>
  </si>
  <si>
    <t>PurposeVestibular schwannomas (VSs) represent the most common cerebellopontine angle tumors, posing a challenge in preserving facial nerve (FN) function during surgery. We employed the Extreme Gradient Boosting machine learning classifier to predict long-term FN outcomes (classified as House-Brackmann grades 1-2 for good outcomes and 3-6 for bad outcomes) after VS surgery.MethodsIn a retrospective analysis of 256 patients, comprehensive pre-, intra-, and post-operative factors were examined. We applied the machine learning (ML) classifier Extreme Gradient Boosting (XGBoost) for the following binary classification: long-term good and bad FN outcome after VS surgery To enhance the interpretability of our model, we utilized an explainable artificial intelligence approach.ResultsShort-term FN function (tau = 0.6) correlated with long-term FN function. The model exhibited an average accuracy of 0.83, a ROC AUC score of 0.91, and Matthew's correlation coefficient score of 0.62. The most influential feature, identified through SHapley Additive exPlanations (SHAP), was short-term FN function. Conversely, large tumor volume and absence of preoperative auditory brainstem responses were associated with unfavorable outcomes.ConclusionsWe introduce an effective ML model for classifying long-term FN outcomes following VS surgery. Short-term FN function was identified as the key predictor of long-term function. This model's excellent ability to differentiate bad and good outcomes makes it useful for evaluating patients and providing recommendations regarding FN dysfunction management.</t>
  </si>
  <si>
    <t>Przepiorka, Lukasz; Kujawski, Slawomir; Wojtowicz, Katarzyna; Maj, Edyta; Marchel, Andrzej; Kunert, Przemyslaw</t>
  </si>
  <si>
    <t>Kujawski, S (corresponding author), Nicolaus Copernicus Univ Torun, Ludwik Rydygier Coll Medicum Bydgoszcz, Dept Exercise Physiol &amp; Funct Anat, Swietojanska 20, PL-85077 Bydgoszcz, Poland.</t>
  </si>
  <si>
    <t>skujawski@cm.umk.pl</t>
  </si>
  <si>
    <t>[Przepiorka, Lukasz; Wojtowicz, Katarzyna; Marchel, Andrzej; Kunert, Przemyslaw] Med Univ Warsaw, Dept Neurosurg, Banacha St 1A, PL-02097 Warsaw, Poland; [Kujawski, Slawomir] Nicolaus Copernicus Univ Torun, Ludwik Rydygier Coll Medicum Bydgoszcz, Dept Exercise Physiol &amp; Funct Anat, Swietojanska 20, PL-85077 Bydgoszcz, Poland; [Maj, Edyta] Med Univ Warsaw, Dept Radiol 2, Banacha St 1a, PL-02097 Warsaw, Poland</t>
  </si>
  <si>
    <t>Medical University of Warsaw; Nicolaus Copernicus University; Medical University of Warsaw</t>
  </si>
  <si>
    <t>Development and application of explainable artificial intelligence using machine learning classification for long-term facial nerve function after vestibular schwannoma surgery</t>
  </si>
  <si>
    <t>JOURNAL OF NEURO-ONCOLOGY</t>
  </si>
  <si>
    <t>Machine learning (ML); Artificial intelligence (AI); XAI (eXplainable artificial intelligence); Facial nerve (FN); Vestibular schwannoma; Surgery</t>
  </si>
  <si>
    <t>CURVE ANALYSIS; OUTCOMES; EXPERIENCE; RESECTION</t>
  </si>
  <si>
    <t>Kujawski, Sławomir/AGJ-6141-2022; Przepiórka, Łukasz/AGD-8060-2022; Maj, Edyta/HZL-3958-2023</t>
  </si>
  <si>
    <t>Przepiórka, Łukasz/0000-0002-2877-0475; Maj, Edyta/0000-0003-4648-6942; Kunert, Przemyslaw/0000-0002-0583-9505</t>
  </si>
  <si>
    <t>0167-594X</t>
  </si>
  <si>
    <t>1573-7373</t>
  </si>
  <si>
    <t>J NEURO-ONCOL</t>
  </si>
  <si>
    <t>J. Neuro-Oncol.</t>
  </si>
  <si>
    <t>177</t>
  </si>
  <si>
    <t>10.1007/s11060-024-04844-7</t>
  </si>
  <si>
    <t>http://dx.doi.org/10.1007/s11060-024-04844-7</t>
  </si>
  <si>
    <t>Oncology; Clinical Neurology</t>
  </si>
  <si>
    <t>Oncology; Neurosciences &amp; Neurology</t>
  </si>
  <si>
    <t>Q7D2J</t>
  </si>
  <si>
    <t>39392590</t>
  </si>
  <si>
    <t>WOS:001330062700001</t>
  </si>
  <si>
    <t>Lee, K; Chun, M; Kwon, J; Choi, J; Lee, SH; Im, CH</t>
  </si>
  <si>
    <t>Background and objective: Only a limited number of explainable artificial intelligence (XAI) models have been developed for the functional near-infrared spectroscopy (fNIRS)-based computer-aided diagnosis (CAD) of major depressive disorder (MDD). In this study, we implemented an XAI model based on a convolutional neural network (CNN) specifically designed to highlight the differences in interhemispheric asymmetry between patients with MDD and healthy controls (HCs). Methods: The proposed XAI model was applied to the fNIRS data acquired from 48 patients with MDD and 68 HCs during a verbal fluency task. Layer-wise relevance propagation (LRP), a well-known XAI technique that identifies the contribution of individual input data to the model prediction, was employed. Results: The performance of the proposed model was validated using ten-fold cross-validation, which reported an average accuracy of 81.17 %, a sensitivity of 79.5 %, and a specificity of 82.38 %. The LRP provided additional insights into the model's decision-making process, revealing that channels within both the right and left dorsolateral prefrontal cortices (DLPFC) were critical for classification. Notably, the relevance score distribution in the right DLPFC closely aligned with the Fisher score distribution observed in conventional machine learning models using handcrafted features. Furthermore, the analysis of symmetrical channel pairs with high relevance scores revealed distinct interhemispheric asymmetry in the waveforms of patients with MDD. Conclusion: In summary, we developed an XAI model tailored for fNIRS-based CAD of MDD that not only demonstrated high diagnostic performance but also effectively visualized the decision-making processes of the deep learning model.</t>
  </si>
  <si>
    <t>Lee, Kyeonggu; Chun, Minyoung; Kwon, Jinuk; Choi, Jongkwan; Lee, Seung-Hwan; Im, Chang-Hwan</t>
  </si>
  <si>
    <t>Im, CH (corresponding author), Hanyang Univ, Dept Biomed Engn, 222 Wangsimni ro, Seoul 04763, South Korea.</t>
  </si>
  <si>
    <t>ich@hanyang.ac.kr</t>
  </si>
  <si>
    <t>Korea Medical Device Development Fund grant funded by the Korean government [RS-2020-KD000169]; Bio &amp; Medical Technology Development Program of the National Research Foundation (NRF) - Korean government (MSIT) [RS-2024-00397673]; Institute of Information &amp; communications Technology Planning &amp; Evaluation (IITP) - Korea government (MIST) [RS-2020-II201373]</t>
  </si>
  <si>
    <t>Korea Medical Device Development Fund grant funded by the Korean government; Bio &amp; Medical Technology Development Program of the National Research Foundation (NRF) - Korean government (MSIT) (National Research Foundation of Korea, Ministry of Science &amp; ICT (MMSTI)); Institute of Information &amp; communications Technology Planning &amp; Evaluation (IITP) - Korea government (MIST) (Institute for Information &amp; Communication Technology Planning &amp; Evaluation (IITP), Republic of Korea)</t>
  </si>
  <si>
    <t>This work was supported in part by the Korea Medical Device Development Fund grant funded by the Korean government (Project Number: RS-2020-KD000169) , in part by the Bio &amp; Medical Technology Development Program of the National Research Foundation (NRF) funded by the Korean government (MSIT) (No. RS-2024-00397673) , and in part by Institute of Information &amp; communications Technology Planning &amp; Evaluation (IITP) grant funded by the Korea government (MIST) (No. RS-2020-II201373, Artificial Intelligence Graduate School Program (Hanyang University) ) .</t>
  </si>
  <si>
    <t>[Lee, Kyeonggu; Chun, Minyoung; Kwon, Jinuk; Im, Chang-Hwan] Hanyang Univ, Dept Elect Engn, Seoul, South Korea; [Choi, Jongkwan] OBELAB Inc, Seoul, South Korea; [Lee, Seung-Hwan] Inje Univ, Clin Emot &amp; Cognit Res Lab, Goyang, South Korea; [Lee, Seung-Hwan] Inje Univ, Ilsan Paik Hosp, Coll Med, Juhwa ro 170, Goyang 10370, South Korea; [Im, Chang-Hwan] Hanyang Univ, Dept Biomed Engn, 222 Wangsimni ro, Seoul 04763, South Korea; [Im, Chang-Hwan] Hanyang Univ, Dept Biomed Engn, 222 Wangsimni Ro, Seoul 04763, South Korea</t>
  </si>
  <si>
    <t>Hanyang University; Inje University; Inje University; Hanyang University; Hanyang University</t>
  </si>
  <si>
    <t>Functional near-infrared spectroscopy-based computer-aided diagnosis of major depressive disorder using explainable artificial intelligence: Comparison with conventional machine learning</t>
  </si>
  <si>
    <t>JOURNAL OF AFFECTIVE DISORDERS</t>
  </si>
  <si>
    <t>Explainable artificial intelligence; Major depressive disorder; Functional near-infrared spectroscopy; Layer-wise relevance propagation; Computer-aided diagnosis</t>
  </si>
  <si>
    <t>VERBAL FLUENCY TASK; DORSOLATERAL PREFRONTAL CORTEX; BRAIN ACTIVATION; FMRI</t>
  </si>
  <si>
    <t>Kwon, Jinuk/HTL-2253-2023; Im, Chang-Hwan/ABB-4391-2021</t>
  </si>
  <si>
    <t>Chun, Minyoung/0009-0003-6239-0446; Im, Chang-Hwan/0000-0003-3795-3318</t>
  </si>
  <si>
    <t>0165-0327</t>
  </si>
  <si>
    <t>1573-2517</t>
  </si>
  <si>
    <t>J AFFECT DISORDERS</t>
  </si>
  <si>
    <t>J. Affect. Disord.</t>
  </si>
  <si>
    <t>MAR 15 2026</t>
  </si>
  <si>
    <t>397</t>
  </si>
  <si>
    <t>120985</t>
  </si>
  <si>
    <t>10.1016/j.jad.2025.120985</t>
  </si>
  <si>
    <t>http://dx.doi.org/10.1016/j.jad.2025.120985</t>
  </si>
  <si>
    <t>Clinical Neurology; Psychiatry</t>
  </si>
  <si>
    <t>AL2HR</t>
  </si>
  <si>
    <t>41422962</t>
  </si>
  <si>
    <t>WOS:001650769500001</t>
  </si>
  <si>
    <t>Çift, A; Kutlu, H; Çoban, F; Sulhan, H; Sever, S; Koç, MK; Kilinç, M; Kalyenci, B</t>
  </si>
  <si>
    <t>Objective To develop a high-accuracy prediction model using hybrid machine learning (ML) and explainable artificial intelligence (XAI) techniques for distinguishing between orchiectomy and detorsion in testicular torsion (TT), and to create an interactive web application and nomogram for clinical use. Materials and methods Data from 117 patients who underwent surgical treatment for TT at our clinic between January 2005 and June 2025 were retrospectively analyzed (detorsion: 83, orchiectomy: 34). From twenty initial features, seven optimal features were selected using a hybrid Particle Swarm Optimization-Grey Wolf Optimization (PSO-GWO) algorithm. Class imbalance was addressed using SVMSMOTE. Four ensemble learning algorithms were compared, and CatBoost was selected as the final model. SHAP, LIME, Partial Dependence Plot (PDP), and Individual Conditional Expectation (ICE) analyses were performed for model interpretability. A seven-feature nomogram was developed using logistic regression. A two-module web application was created using Python Dash. Results PSO-GWO identified seven optimal features (Age, Symptom Duration, PDW, PCT, MPV, MLR, SII). CatBoost demonstrated the highest performance (AUC: 0.923, Accuracy: 89.5%). XAI analyses identified symptom duration as the strongest predictor (SHAP: 52.72%), followed by MLR (14.24%) and PDW (12.09%). PDW emerged as a novel biomarker with minimal prior investigation in the literature yet demonstrated strong discriminatory power (inverse relationship, cut-off &lt; 17.9 fL). PDP analysis revealed a distinct inflection point at approximately 7 h, corroborating the ROC cut-off values. ICE analysis revealed substantial individual heterogeneity (score &gt; 0.36). The nomogram demonstrated good discrimination (AUC: 0.818) and excellent calibration (Hosmer-Lemeshow p = 0.556). A simplified three-feature risk scoring system (0-3 points) was developed. The web application (medicalinformaticsttrc.adiyaman.edu.tr) provided real-time risk calculation (&lt; 50 ms). Conclusion The CatBoost model developed with hybrid PSO-GWO algorithm and XAI techniques achieved high accuracy in predicting orchiectomy in TT. PDW was identified as a novel, practical, and cost-effective biomarker. The developed web application and risk scoring system may support preoperative counseling, surgical preparedness, and clinical decision-making in the emergency department. The "detorsion" outcome indicates intraoperative non-removal of the testis and does not confirm long-term testicular viability. This exploratory model requires external validation and multicenter prospective studies before clinical adoption.</t>
  </si>
  <si>
    <t>Cift, Ali; Kutlu, Huseyin; Coban, Ferhat; Sulhan, Hasan; Sever, Sait; Koc, Mustafa Kemal; Kilinc, Mustafa; Kalyenci, Bedreddin</t>
  </si>
  <si>
    <t>Çift, A (corresponding author), Adiyaman Univ, Fac Med, Dept Urol, Adiyaman, Turkiye.; Çift, A (corresponding author), Adiyaman Univ, Fac Med, Deans Off Altinsehir Ctr Adiyaman, Cent Campus, Adiyaman, Turkiye.</t>
  </si>
  <si>
    <t>Dr.kemal2017@gmail.com; dr.mustafaklnc@gmail.com; coban_ferhat@hotmail.com; dr.alicift@gmail.com; sait_sever@hotmail.com; bedreddin84@windowslive.com; hkutlu@adiyaman.edu.tr; hasan2302sulhan@gmail.com</t>
  </si>
  <si>
    <t>Adiyaman University</t>
  </si>
  <si>
    <t>Adiyaman University (Adiyaman University)</t>
  </si>
  <si>
    <t>[Cift, Ali; Coban, Ferhat; Sulhan, Hasan; Sever, Sait; Koc, Mustafa Kemal; Kilinc, Mustafa; Kalyenci, Bedreddin] Adiyaman Univ, Fac Med, Dept Urol, Adiyaman, Turkiye; [Kutlu, Huseyin] Adiyaman Univ, Fac Med, Dept Biostat &amp; Med Informat, Adiyaman, Turkiye; [Cift, Ali] Adiyaman Univ, Fac Med, Deans Off Altinsehir Ctr Adiyaman, Cent Campus, Adiyaman, Turkiye</t>
  </si>
  <si>
    <t>Adiyaman University; Adiyaman University</t>
  </si>
  <si>
    <t>Predicting orchiectomy in testicular torsion using hybrid machine learning and explainable AI: a web-based clinical decision support system</t>
  </si>
  <si>
    <t>WORLD JOURNAL OF UROLOGY</t>
  </si>
  <si>
    <t>Testicular torsion; Orchiectomy; Explainable artificial intelligence; SHAP; Nomogram; Web application</t>
  </si>
  <si>
    <t>SALVAGE</t>
  </si>
  <si>
    <t>Çift, Ali/AAH-7103-2019; SULHAN, HASAN/OVY-5179-2025; kalyenci, bedreddin/KFR-7662-2024; Çoban, Ferhat/MGT-0669-2025; KUTLU, HÜSEYİN/HIR-8270-2022</t>
  </si>
  <si>
    <t>0724-4983</t>
  </si>
  <si>
    <t>1433-8726</t>
  </si>
  <si>
    <t>WORLD J UROL</t>
  </si>
  <si>
    <t>World J. Urol.</t>
  </si>
  <si>
    <t>10.1007/s00345-026-06448-4</t>
  </si>
  <si>
    <t>http://dx.doi.org/10.1007/s00345-026-06448-4</t>
  </si>
  <si>
    <t>JE8LH</t>
  </si>
  <si>
    <t>42257858</t>
  </si>
  <si>
    <t>WOS:001787645200001</t>
  </si>
  <si>
    <t>Rony, MKK; Numan, SM; Akter, K; Tushar, H; Debnath, M; Johra, FT; Akter, F; Mondal, S; Das, M; Uddin, MJ; Begum, J; Parvin, MR</t>
  </si>
  <si>
    <t>Background: With the increasing integration of artificial intelligence (AI) technologies into healthcare systems, there is a growing emphasis on privacy and ethical considerations. Nurses, as frontline healthcare professionals, are pivotal in-patient care and offer valuable insights into the ethical implications of AI adoption. Objectives: This study aimed to explore nurses' perspectives on privacy and ethical concerns associated with the implementation of AI in healthcare settings. Methods: We employed Van Manen's hermeneutic phenomenology as the qualitative research approach. Data were collected through purposive sampling from the December 7, 2023 to the January 15, 2024, with interviews conducted in Bengali. Thematic analysis was utilized following member checking and an audit trail. Results: Six themes emerged from the research findings: Ethical dimensions of AI integration, highlighting complexities in incorporating AI ethically; Privacy challenges in healthcare AI, revealing concerns about data security and confidentiality; Balancing innovation and ethical practice, indicating a need to reconcile technological advancements with ethical considerations; Human touch vs. technological progress, underscoring tensions between automation and personalized care; Patient-centered care in the AI era, emphasizing the importance of maintaining focus on patients amidst technological advancements; and Ethical preparedness and education, suggesting a need for enhanced training and education on ethical AI use in healthcare. Conclusions: The findings underscore the importance of addressing privacy and ethical concerns in AI healthcare development. Nurses advocate for patient-centered approaches and collaborate with policymakers and tech developers to ensure responsible AI adoption. Further research is imperative for mitigating ethical challenges and promoting ethical AI in healthcare practice.</t>
  </si>
  <si>
    <t>Rony, Moustaq Karim Khan; Numan, Sharker Md.; Akter, Khadiza; Tushar, Hasanuzzaman; Debnath, Mitun; Johra, Fateha tuj; Akter, Fazila; Mondal, Sujit; Das, Mousumi; Uddin, Muhammad Join; Begum, Jeni; Parvin, Mst. Rina</t>
  </si>
  <si>
    <t>Rony, MKK (corresponding author), Bangladesh Open Univ, Publ Hlth, Gazipur, Bangladesh.</t>
  </si>
  <si>
    <t>mkkrony@yahoo.com</t>
  </si>
  <si>
    <t>[Rony, Moustaq Karim Khan] Bangladesh Open Univ, Publ Hlth, Gazipur, Bangladesh; [Numan, Sharker Md.] Bangladesh Open Univ, Sch Sci &amp; Technol, Gazipur, Bangladesh; [Akter, Khadiza] Daffodil Int Univ, Publ Hlth, Dhaka, Bangladesh; [Tushar, Hasanuzzaman] Int Univ Business Agr &amp; Technol, Dept Business Adm, Dhaka, Bangladesh; [Debnath, Mitun] Natl Inst Prevent &amp; Social Med, Publ Hlth, Dhaka, Bangladesh; [Johra, Fateha tuj] Univ Dhaka, Disaster Management, Dhaka, Bangladesh; [Akter, Fazila] Univ Dhaka, Dhaka Nursing Coll, Dhaka, Bangladesh; [Mondal, Sujit] Natl Inst Adv Nursing Educ &amp; Res Mugda, Sci Nursing, Dhaka, Bangladesh; [Das, Mousumi; Begum, Jeni] Leading Univ, Publ Hlth, Sylhet, Bangladesh; [Uddin, Muhammad Join] RTM Al Kabir Tech Univ, Publ Hlth, Sylhet, Bangladesh; [Parvin, Mst. Rina] Shahjalal Univ Sci &amp; Technol, Sch Med Sci, Sylhet, Bangladesh; [Parvin, Mst. Rina] Combined Mil Hosp, Bangladesh Army, Dhaka, Bangladesh</t>
  </si>
  <si>
    <t>Daffodil International University; International University of Business Agriculture &amp; Technology (IUBAT); University of Dhaka; University of Dhaka; Shahjalal University of Science &amp; Technology (SUST)</t>
  </si>
  <si>
    <t>Nurses' perspectives on privacy and ethical concerns regarding artificial intelligence adoption in healthcare</t>
  </si>
  <si>
    <t>Artificial intelligence; Healthcare; Privacy; Ethical concerns; Nurses</t>
  </si>
  <si>
    <t>PHENOMENOLOGY</t>
  </si>
  <si>
    <t>Rony, Moustaq Karim Khan/GLV-3120-2022; Rony, Moustaq Karim Khan/GLV-3120-2022; /AAJ-8081-2020; Parvin, Mst. Rina/JRX-7877-2023</t>
  </si>
  <si>
    <t>Rony, Moustaq Karim Khan/0000-0002-6905-0554; Akter, Fazila/0009-0009-5887-8370; Rony, Moustaq Karim Khan/0009-0005-8416-6626; Parvin, Mst. Rina/0000-0003-0111-6163</t>
  </si>
  <si>
    <t>SEP 15 2024</t>
  </si>
  <si>
    <t>e36702</t>
  </si>
  <si>
    <t>10.1016/j.heliyon.2024.e36702</t>
  </si>
  <si>
    <t>http://dx.doi.org/10.1016/j.heliyon.2024.e36702</t>
  </si>
  <si>
    <t>E4A1Z</t>
  </si>
  <si>
    <t>39281626</t>
  </si>
  <si>
    <t>WOS:001302437600001</t>
  </si>
  <si>
    <t>Background Population aging is a global phenomenon with significant implications for public health systems. Understanding the multidimensional determinants of healthy aging is essential for developing effective and equitable policies across countries.Methods This study develops a composite Healthy Aging and Prevention Index (HAPI) to assess global healthy aging patterns using indicators of life span, health span, work span, income, environmental performance, and happiness. Missing data are addressed using Multiple Imputation by Chained Equations (MICE). Principal Component Analysis (PCA) is employed to construct the composite index, while entropy weighting determines the relative contribution of each dimension. K-Means clustering is applied to group countries with similar healthy aging profiles. To improve interpretability, SHapley Additive exPlanations (SHAP) are used to quantify the contribution of each variable. Inequality in healthy aging outcomes is assessed using the Gini coefficient and Lorenz curve.Results The findings indicate that life span, health span, income, environmental performance, and happiness are the primary drivers of healthy aging, while work span has a relatively limited contribution. Cluster analysis reveals substantial heterogeneity in healthy aging patterns across countries. Inequality analysis shows moderate but notable disparities in HAPI scores (Gini = 0.318), suggesting uneven distribution of healthy aging outcomes globally.Conclusion Healthy aging is a multidimensional construct shaped largely by socio-economic and environmental determinants rather than healthcare factors alone. These findings highlight the need for context-specific and integrated public health strategies tailored to country clusters. The proposed framework provides a robust and interpretable tool for policymakers to evaluate and improve healthy aging outcomes at the global level.</t>
  </si>
  <si>
    <t>Köroglu, CZ (corresponding author), Usak Univ, Fac Econ &amp; Adm Sci, Dept Social Work, Usak, Turkiye.</t>
  </si>
  <si>
    <t>[Celik, Sadullah] Aydin Adnan Menderes Univ, Nazilli Fac Econ &amp; Adm Sci, Dept Int Trade &amp; Finance, Aydin, Turkiye; [Koroglu, Cemile Zehra] Usak Univ, Fac Econ &amp; Adm Sci, Dept Social Work, Usak, Turkiye</t>
  </si>
  <si>
    <t>Adnan Menderes University; Usak University</t>
  </si>
  <si>
    <t>Global patterns and inequalities in healthy aging: a multidimensional analysis using composite index and explainable AI</t>
  </si>
  <si>
    <t>clustering; composite index; explainable artificial intelligence; healthy aging; inequality; principal component analysis; public health; shap</t>
  </si>
  <si>
    <t>METRICS</t>
  </si>
  <si>
    <t>ÇELiK, Sadullah/ACG-6762-2022</t>
  </si>
  <si>
    <t>JUN 5 2026</t>
  </si>
  <si>
    <t>1841479</t>
  </si>
  <si>
    <t>10.3389/fpubh.2026.1841479</t>
  </si>
  <si>
    <t>http://dx.doi.org/10.3389/fpubh.2026.1841479</t>
  </si>
  <si>
    <t>JR7TB</t>
  </si>
  <si>
    <t>42326944</t>
  </si>
  <si>
    <t>WOS:001796418300001</t>
  </si>
  <si>
    <t>Aldawsari, H; Alammar, S</t>
  </si>
  <si>
    <t>Integrating Explainable AI (XAI) with synthetic biometric data improves image synthesis and privacy in computer vision systems by generating high-quality images while ensuring interpretability. This integration enhances trust and transparency in AI-driven biometric applications. However, traditional biometric data collection methods face challenges such as privacy risks, data scarcity, biases, and regulatory constraints, limiting their effectiveness in authentication and identity verification. To address these limitations, we propose a Generative Adversarial Networks with Explainable AI (GAN-EAI) framework for privacy-preserving biometric image synthesis. This framework utilizes GANs to generate high-fidelity synthetic biometric images while incorporating XAI techniques to interpret and validate the generated outputs, ensuring fairness, robustness, and bias mitigation. The proposed method enables secure, privacy-conscious biometric image synthesis, making it suitable for applications in authentication, healthcare, and identity verification. By leveraging explainability, it ensures that the model's decision-making process is interpretable, reducing the risk of biased or adversarial outputs. Experimental results demonstrate that GAN-EAI achieves superior image quality, enhances privacy protection, and reduces bias in synthetic biometric datasets, making it a reliable solution for real-world biometric applications. This research highlights the potential of integrating explainability with generative models to advance privacy-preserving AI in computer vision.</t>
  </si>
  <si>
    <t>Aldawsari, Hamad; Alammar, Saad</t>
  </si>
  <si>
    <t>Aldawsari, H (corresponding author), Univ Tabuk, Haql Univ Coll, Dept Comp Sci, Tabuk, Saudi Arabia.</t>
  </si>
  <si>
    <t>haldawsari@ut.edu.sa; Salammar@ut.edu.sa</t>
  </si>
  <si>
    <t>[Aldawsari, Hamad] Univ Tabuk, Haql Univ Coll, Dept Comp Sci, Tabuk, Saudi Arabia; [Alammar, Saad] Univ Tabuk, Al wajeh Univ Coll, Dept Management Informat Syst, Tabuk, Saudi Arabia</t>
  </si>
  <si>
    <t>University of Tabuk; University of Tabuk</t>
  </si>
  <si>
    <t>Integrating explainable AI with synthetic biometric data for enhanced image synthesis and privacy in computer vision systems</t>
  </si>
  <si>
    <t>Synthetic biometrics; Explainable AI; Generative adversarial networks; Privacy-preserving AI; Computer vision; Biometric data synthesis</t>
  </si>
  <si>
    <t>ALDAWSARI, H/PFI-9536-2025; ALAMMAR, SAAD/OGO-7817-2025</t>
  </si>
  <si>
    <t>ALAMMAR, SAAD/0009-0005-3551-4145</t>
  </si>
  <si>
    <t>105726</t>
  </si>
  <si>
    <t>10.1016/j.imavis.2025.105726</t>
  </si>
  <si>
    <t>http://dx.doi.org/10.1016/j.imavis.2025.105726</t>
  </si>
  <si>
    <t>7XS8Z</t>
  </si>
  <si>
    <t>WOS:001582155100001</t>
  </si>
  <si>
    <t>Bashir, Z; Lin, MX; Feragen, A; Mikolaj, K; Taksoe-Vester, C; Christensen, AN; Svendsen, MBS; Fabricius, MH; Andreasen, L; Nielsen, M; Tolsgaard, MG</t>
  </si>
  <si>
    <t>We aimed to develop and evaluate Explainable Artificial Intelligence (XAI) for fetal ultrasound using actionable concepts as feedback to end-users, using a prospective cross-center, multi-level approach. We developed, implemented, and tested a deep-learning model for fetal growth scans using both retrospective and prospective data. We used a modified Progressive Concept Bottleneck Model with pre-established clinical concepts as explanations (feedback on image optimization and presence of anatomical landmarks) as well as segmentations (outlining anatomical landmarks). The model was evaluated prospectively by assessing the following: the model's ability to assess standard plane quality, the correctness of explanations, the clinical usefulness of explanations, and the model's ability to discriminate between different levels of expertise among clinicians. We used 9352 annotated images for model development and 100 videos for prospective evaluation. Overall classification accuracy was 96.3%. The model's performance in assessing standard plane quality was on par with that of clinicians. Agreement between model segmentations and explanations provided by expert clinicians was found in 83.3% and 74.2% of cases, respectively. A panel of clinicians evaluated segmentations as useful in 72.4% of cases and explanations as useful in 75.0% of cases. Finally, the model reliably discriminated between the performances of clinicians with different levels of experience (p- values &lt; 0.01 for all measures) Our study has successfully developed an Explainable AI model for real-time feedback to clinicians performing fetal growth scans. This work contributes to the existing literature by addressing the gap in the clinical validation of Explainable AI models within fetal medicine, emphasizing the importance of multi-level, cross-institutional, and prospective evaluation with clinician end-users. The prospective clinical validation uncovered challenges and opportunities that could not have been anticipated if we had only focused on retrospective development and validation, such as leveraging AI to gauge operator competence in fetal ultrasound.</t>
  </si>
  <si>
    <t>Bashir, Zahra; Lin, Manxi; Feragen, Aasa; Mikolaj, Kamil; Taksoe-Vester, Caroline; Christensen, Anders Nymark; Svendsen, Morten B. S.; Fabricius, Mette Hvilshoj; Andreasen, Lisbeth; Nielsen, Mads; Tolsgaard, Martin Gronnebaek</t>
  </si>
  <si>
    <t>Bashir, Z (corresponding author), Univ Copenhagen, Fac Hlth &amp; Med Sci, Dept Clin Med, Copenhagen, Denmark.; Bashir, Z (corresponding author), Slagelse Hosp, Dept Obstet &amp; Gynecol, Faelledvej 11, DK-4200 Slagelse, Denmark.; Bashir, Z (corresponding author), Copenhagen Acad Med Educ &amp; Simulat CAMES, Rigshospitalet, Copenhagen, Denmark.</t>
  </si>
  <si>
    <t>zab@regionsjaelland.dk</t>
  </si>
  <si>
    <t>The Local Research Fund for Nstved, Slagelse, and Ringsted Hospitals,; Local Research Fund for Nstved, Slagelse; Ringsted Hospitals; Danish Regions' AI Signature Project</t>
  </si>
  <si>
    <t>The project received support from The Local Research Fund for Naestved, Slagelse, and Ringsted Hospitals, as well as the Danish Regions' AI Signature Project. The funding organizations had no role in the project's execution, and the authors bear full responsibility for the project's content.</t>
  </si>
  <si>
    <t>[Bashir, Zahra; Taksoe-Vester, Caroline; Tolsgaard, Martin Gronnebaek] Univ Copenhagen, Fac Hlth &amp; Med Sci, Dept Clin Med, Copenhagen, Denmark; [Bashir, Zahra; Fabricius, Mette Hvilshoj] Slagelse Hosp, Dept Obstet &amp; Gynecol, Faelledvej 11, DK-4200 Slagelse, Denmark; [Bashir, Zahra; Taksoe-Vester, Caroline; Svendsen, Morten B. S.; Tolsgaard, Martin Gronnebaek] Copenhagen Acad Med Educ &amp; Simulat CAMES, Rigshospitalet, Copenhagen, Denmark; [Lin, Manxi; Feragen, Aasa; Mikolaj, Kamil; Christensen, Anders Nymark] Tech Univ Denmark DTU, Lyngby, Denmark; [Taksoe-Vester, Caroline; Tolsgaard, Martin Gronnebaek] Copenhagen Univ Hosp, Rigshospitalet, Ctr Fetal Med, Dept Obstet, Copenhagen, Denmark; [Andreasen, Lisbeth] Hvidovre Univ Hosp, Dept Obstet &amp; Gynecol, Hvidovre, Denmark; [Nielsen, Mads] Univ Copenhagen, Dept Comp Sci, Copenhagen, Denmark</t>
  </si>
  <si>
    <t>University of Copenhagen; Technical University of Denmark; Rigshospitalet; University of Copenhagen; Copenhagen University Hospital; University of Copenhagen; University of Copenhagen</t>
  </si>
  <si>
    <t>Clinical validation of explainable AI for fetal growth scans through multi-level, cross-institutional prospective end-user evaluation</t>
  </si>
  <si>
    <t>Artificial intelligence; Fetal growth scans; Explainable AI; Human-AI collaboration</t>
  </si>
  <si>
    <t>tolsgaard, Martin/AES-2153-2022; Christensen, Anders Nymark/L-2596-2016; Svendsen, Morten Bo Søndergaard/K-4329-2014; Lin, Manxi/IVH-1002-2023; Feragen, Aasa/G-1465-2013; Taksoe-Vester, Caroline/LCD-4982-2024</t>
  </si>
  <si>
    <t>Christensen, Anders Nymark/0000-0002-3668-3128; Svendsen, Morten Bo Søndergaard/0000-0002-4492-3750; Mikolaj, Kamil/0000-0002-1631-9329; Lin, Manxi/0000-0003-3399-8682</t>
  </si>
  <si>
    <t>JAN 15 2025</t>
  </si>
  <si>
    <t>2074</t>
  </si>
  <si>
    <t>10.1038/s41598-025-86536-4</t>
  </si>
  <si>
    <t>http://dx.doi.org/10.1038/s41598-025-86536-4</t>
  </si>
  <si>
    <t>T0A5Z</t>
  </si>
  <si>
    <t>39820804</t>
  </si>
  <si>
    <t>WOS:001401742800003</t>
  </si>
  <si>
    <t>Bouallegue, B; Abd El-Latif, YM; El-Sofany, H; Taj-Eddin, IATF</t>
  </si>
  <si>
    <t>Breast cancer is the primary cause of death for women around the world, necessitating the development of highly accurate, interpreted, and technologically advanced predictive approaches to support early diagnosis and treatment. In this research, we introduce a deep learning (DL) model for predicting breast cancer using both public and private datasets. The model uses the internet of things (IoT) to improve data collection and real-time monitoring, and it also uses the SMOTE method to resolve issues of class imbalance. The proposed model combines an explainable AI approach with SHAP values to ensure model interpretability. To identify the best DL algorithm for this method, we assess and compare six different DL algorithms: temporal convolutional networks (TCNs), neural factorization machines (NFMs), long short-term memory (LSTM) networks, recurrent neural networks (RNNs), gated recurrent units (GRUs), and deep kernel learning (DKL). IoT devices allow for the continuous acquisition of patient data, which, when integrated with our predictive models, improve the capacity for early detection. Reliable cancer detection relies on our method's enhanced predictive accuracy and sensitivity. Furthermore, we offer crucial transparency in clinical settings by using SHAP to give detailed explanations of model decisions. By employing thorough statistical analysis and cross-validation, we guarantee that our model is resilient and can be applied to various patient populations. The results show that our proposed IoT integrated method has the potential to improve prediction performance and boost confidence in AI-powered medical diagnostics by making them more accessible and easier to use. From a performance perspective, the proposed approach, which uses the TCN algorithm and SMOTE, achieved the best accuracy for BC prediction. With the public dataset, the experimental results were 99.44%, 100.0%, 99.01%, 98.75%, 99.37%, and 99.89% for accuracy, sensitivity, specificity, precision, F1-score, and AUC, respectively. The experimental results for accuracy, sensitivity, specificity, precision, F1-score, and AUC using the private dataset were 97.33%, 93.33%, 100%, 100%, 96.55%, and 99.48%, respectively. On the other hand, with the combined datasets, the TCN algorithm achieved 100% for all performance metrics.</t>
  </si>
  <si>
    <t>Bouallegue, Belgacem; Abd El-Latif, Yasser M.; El-Sofany, Hosam; Taj-Eddin, Islam A. T. F.</t>
  </si>
  <si>
    <t>El-Sofany, H (corresponding author), King Khalid Univ, Coll Comp Sci, Abha, Saudi Arabia.</t>
  </si>
  <si>
    <t>helsofany@kku.edu.sa</t>
  </si>
  <si>
    <t>Deanship of Scientific Research, King Khalid University [RGP1/15/46]; Deanship of Research and Graduate Studies at King Khalid University</t>
  </si>
  <si>
    <t>Deanship of Scientific Research, King Khalid University (King Khalid University); Deanship of Research and Graduate Studies at King Khalid University</t>
  </si>
  <si>
    <t>The authors extend their appreciation to the Deanship of Research and Graduate Studies at King Khalid University for funding this work through a small-group research under grant number: RGP1/15/46.</t>
  </si>
  <si>
    <t>[Bouallegue, Belgacem; El-Sofany, Hosam] King Khalid Univ, Coll Comp Sci, Abha, Saudi Arabia; [Bouallegue, Belgacem] Univ Monastir, Fac Sci Monastir, Elect &amp; Microelect Lab, Monastir, Tunisia; [Abd El-Latif, Yasser M.] Ain Shams Univ, Fac Sci, Cairo, Egypt; [Taj-Eddin, Islam A. T. F.] Assiut Univ, Fac Comp &amp; Informat, Assiut, Egypt</t>
  </si>
  <si>
    <t>King Khalid University; Universite de Monastir; Egyptian Knowledge Bank (EKB); Ain Shams University; Egyptian Knowledge Bank (EKB); Assiut University</t>
  </si>
  <si>
    <t>An Enhanced Approach for Predicting Breast Cancer Using Different Deep Learning Algorithms and Explainable AI Techniques in an IoT Environment</t>
  </si>
  <si>
    <t>INTERNATIONAL JOURNAL OF INTELLIGENT SYSTEMS</t>
  </si>
  <si>
    <t>AI applications; breast cancer; deep learning; DL-based apps; IoT; SHAP; SMOTE</t>
  </si>
  <si>
    <t>HEALTH-CARE; CLASSIFICATION; DATASET</t>
  </si>
  <si>
    <t>Bouallegue, Belgacem/AGY-7606-2022; Abd El-Latif, Yasser/N-4302-2016; taj-eddin, islam/AAH-4351-2020</t>
  </si>
  <si>
    <t>Bouallegue, Belgacem/0000-0001-7292-6345; El-Sofany, Hosam/0000-0003-4467-7227; Abd El-Latif, Yasser/0000-0003-0701-087X; taj-eddin, islam/0000-0003-3028-6751</t>
  </si>
  <si>
    <t>0884-8173</t>
  </si>
  <si>
    <t>1098-111X</t>
  </si>
  <si>
    <t>INT J INTELL SYST</t>
  </si>
  <si>
    <t>Int. J. Intell. Syst.</t>
  </si>
  <si>
    <t>8884481</t>
  </si>
  <si>
    <t>10.1155/int/8884481</t>
  </si>
  <si>
    <t>http://dx.doi.org/10.1155/int/8884481</t>
  </si>
  <si>
    <t>4OI7A</t>
  </si>
  <si>
    <t>WOS:001522792700001</t>
  </si>
  <si>
    <t>Novozhilova, E; Mays, K; Paik, S; Katz, JE</t>
  </si>
  <si>
    <t>Modern AI applications have caused broad societal implications across key public domains. While previous research primarily focuses on individual user perspectives regarding AI systems, this study expands our understanding to encompass general public perceptions. Through a survey (N = 1506), we examined public trust across various tasks within education, healthcare, and creative arts domains. The results show that participants vary in their trust across domains. Notably, AI systems' abilities were evaluated higher than their benevolence across all domains. Demographic traits had less influence on trust in AI abilities and benevolence compared to technology-related factors. Specifically, participants with greater technological competence, AI familiarity, and knowledge viewed AI as more capable in all domains. These participants also perceived greater systems' benevolence in healthcare and creative arts but not in education. We discuss the importance of considering public trust and its determinants in AI adoption.</t>
  </si>
  <si>
    <t>Novozhilova, Ekaterina; Mays, Kate; Paik, Sejin; Katz, James E.</t>
  </si>
  <si>
    <t>Novozhilova, E (corresponding author), Boston Univ, Coll Commun, Boston, MA 02215 USA.</t>
  </si>
  <si>
    <t>ekaterin@bu.edu</t>
  </si>
  <si>
    <t>[Novozhilova, Ekaterina; Paik, Sejin; Katz, James E.] Boston Univ, Coll Commun, Boston, MA 02215 USA; [Mays, Kate] Univ Vermont, Coll Agr &amp; Life Sci, Dept Community Dev &amp; Appl Econ, Burlington, VT 05405 USA</t>
  </si>
  <si>
    <t>Boston University; University of Vermont</t>
  </si>
  <si>
    <t>More Capable, Less Benevolent: Trust Perceptions of AI Systems across Societal Contexts</t>
  </si>
  <si>
    <t>artificial intelligence; trust; survey; generative AI; AI ethics; AI governance</t>
  </si>
  <si>
    <t>Novozhilova, Ekaterina/HKN-9702-2023</t>
  </si>
  <si>
    <t>Mays, Kate/0000-0002-8477-9634; Novozhilova, Ekaterina/0000-0002-0277-8815</t>
  </si>
  <si>
    <t>366</t>
  </si>
  <si>
    <t>10.3390/make6010017</t>
  </si>
  <si>
    <t>http://dx.doi.org/10.3390/make6010017</t>
  </si>
  <si>
    <t>MH8J0</t>
  </si>
  <si>
    <t>WOS:001192821000001</t>
  </si>
  <si>
    <t>Frei, AL; Khan, A; Oberson, R; Reinhard, S; Banz, Y; Meeuwsen, F; Janowczyk, A; Grobholz, R; Dawson, HE; Lugli, A; Ilie, M; van der Laak, J; Zlobec, I</t>
  </si>
  <si>
    <t>The potential for computer-aided diagnostics (CAD) to augment learning outcomes for medical education in histopathology are vast. However, over-reliance in CAD tools could lead to important errors if the output is inaccurate, such as automation bias. Here, we analyze the influence of a CAD tool for tumor cell fraction (TCF) estimation, named TCFCAD, on medical students with limited histopathological expertise, compared to pathology residents and practicing pathologists. Participants were third-year medical students from the University of Bern (n = 18), residents and pathologists from the European Masters in Molecular Pathology (EMMP; n = 23), and 63 practicing pathologists stratified by &lt; 20 or &gt; 20 years of professional experience (n = 28 and 32, respectively). Each group evaluated 10 colorectal cancer regions of interest (ROI) with and without TCFCAD assistance. The ground truth (GT) was evaluated by a laborious count of all tumor and non-tumor cells per ROI. All groups demonstrated reduced variability in TCF scores with TCFCAD assistance. The standard deviation (SD) of the TCF scores compared to the GT values before and after TCFCAD assistance were 9.09 to 4.95 for medical students, 9.93 to 5.55 for EMMP, and 9.98 to 5.69 and 9.9 to 6.13 for pathologists with &lt; 20 and &gt; 20 years of experience. For one image, both medical students and EMMP participants' scores swayed to the TCFCAD's output despite (1) tool output being inaccurate and (2) participants' original scores without TCFCAD assistance being closer to the GT value. This confirmed a trend of medical students following the tool's recommendation across all ROIs. All groups benefitted most from TCFCAD output for a tumor with marked inflammatory infiltrates. Although TCFCAD improved interobserver agreement, independently of professional experience, there is a demonstrated danger in over-relying on its output. This important bias must be addressed when training students and pathologists on the use of CAD tools.</t>
  </si>
  <si>
    <t>Frei, Ana Leni; Khan, Amjad; Oberson, Raphael; Reinhard, Stefan; Banz, Yara; Meeuwsen, Frederique; Janowczyk, Andrew; Grobholz, Rainer; Dawson, Heather E.; Lugli, Alessandro; Ilie, Marius; van der Laak, Jeroen; Zlobec, Inti</t>
  </si>
  <si>
    <t>Zlobec, I (corresponding author), Univ Bern, Inst Tissue Med &amp; Pathol ITMP, Murtenstr 31, CH-3008 Bern, Switzerland.</t>
  </si>
  <si>
    <t>Inti.zlobec@unibe.ch</t>
  </si>
  <si>
    <t>Schweizerischer Nationalfonds zur Frderung der Wissenschaftlichen Forschung [2024, 2025]</t>
  </si>
  <si>
    <t>We would like to thank all the participants of the MSc EMMP class 2023-2025 (University Cote d'Azur, France): Akiki Beatrice, Araujo junior Francisco, Barna Robert-Alexandru, Bosic Martina, Busuioc Constantin-Ioan, Comanescu Maria-Victoria, Ferreira Pinheiro Jorge, Ionescu Diana, Keyter Mark, Khachatryan Parandzem, Khazen Rhea, Klubickova Natalie, Kowalewski Adam, Krayem Dima, Limani Rine, Lopes de sousa Hugo, Maierhofer Ursa, Nugteren Sandrine, Petras Ioannis, Pirlog Radu, Poulios Christos, Syrnioti Antonia, Talvitie Eva-Maria, Vigdorovits Alon, Ziora Pawel, and the third-year medical students at the University of Bern having participated in the Vertiefungsseminar AI in Pathology 2024 and 2025.</t>
  </si>
  <si>
    <t>[Frei, Ana Leni; Khan, Amjad; Oberson, Raphael; Reinhard, Stefan; Banz, Yara; Dawson, Heather E.; Lugli, Alessandro; Zlobec, Inti] Univ Bern, Inst Tissue Med &amp; Pathol ITMP, Murtenstr 31, CH-3008 Bern, Switzerland; [Meeuwsen, Frederique; van der Laak, Jeroen] Radboud Univ Nijmegen, Dept Pathol, Med Ctr, Nijmegen, Netherlands; [Janowczyk, Andrew] Emory Univ, Dept Biomed Engn, Atlanta, GA USA; [Janowczyk, Andrew] Georgia Inst Technol, Atlanta, GA USA; [Janowczyk, Andrew] Univ Hosp Geneva, Div Precis Oncol, Dept Oncol, Geneva, Switzerland; [Janowczyk, Andrew] Univ Hosp Geneva, Dept Diagnost, Div Clin Pathol, Geneva, Switzerland; [Grobholz, Rainer] Univ Zurich, Med Fac, Zurich, Switzerland; [Grobholz, Rainer] Cantonal Hosp Aarau, Inst Pathol, Aarau, Switzerland; [Ilie, Marius] Univ Cote Azur, Univ Hosp Ctr Nice, Hosp Integrated Biobank BB 0033 00025, Lab Clin &amp; Expt Pathol,IHU RespirERA, Nice, France</t>
  </si>
  <si>
    <t>University of Bern; Radboud University Nijmegen; Emory University; University System of Georgia; Georgia Institute of Technology; University of Geneva; University of Geneva; University of Zurich; Kantonsspital Aarau AG (KSA); Universite Cote d'Azur; CHU Nice</t>
  </si>
  <si>
    <t>Computer-aided tumor cell fraction (TCF) estimation by medical students, residents, and pathologists improves inter-observer agreement while highlighting the risk of automation bias</t>
  </si>
  <si>
    <t>VIRCHOWS ARCHIV</t>
  </si>
  <si>
    <t>AI; Digital pathology; Computer-aided diagnostics; Medical education; Pathology</t>
  </si>
  <si>
    <t>Ilié, Marius/M-7964-2019; van der Laak, Jeroen/IVV-5737-2023; Khan, Amjad/M-5341-2019</t>
  </si>
  <si>
    <t>Meeuwsen, Frédérique/0000-0002-3698-6815; Khan, Amjad/0000-0001-8281-6908</t>
  </si>
  <si>
    <t>0945-6317</t>
  </si>
  <si>
    <t>1432-2307</t>
  </si>
  <si>
    <t>VIRCHOWS ARCH</t>
  </si>
  <si>
    <t>Virchows Arch.</t>
  </si>
  <si>
    <t>10.1007/s00428-025-04163-w</t>
  </si>
  <si>
    <t>http://dx.doi.org/10.1007/s00428-025-04163-w</t>
  </si>
  <si>
    <t>Pathology</t>
  </si>
  <si>
    <t>4OI2S</t>
  </si>
  <si>
    <t>40610733</t>
  </si>
  <si>
    <t>WOS:001522781500001</t>
  </si>
  <si>
    <t>Li, YF; Li, R; Zhao, QS; Gui, M; Han, Y; Pan, RJ; Jiang, YL; Li, GS</t>
  </si>
  <si>
    <t>Deep vein thrombosis (DVT) is a serious complication in acute ischemic stroke (AIS) patients undergoing revascularization therapy, but prediction tools remain limited. To develop and validate machine learning models for predicting DVT risk in AIS patients after revascularization therapy, and to enhance clinical decision-making through model interpretability. A retrospective cohort study was conducted using data from the Shenzhen Stroke Database, including AIS patients who underwent endovascular thrombectomy and/or thrombolytic therapy. Various machine learning models, including random forest (RF), support vector machine, gradient boosting machine, decision tree, and Gaussian naive Bayes, were trained and validated using a 70:30 train-validation split. The synthetic minority over-sampling technique was applied to address class imbalance. Among 362 AIS patients undergoing revascularization therapy, DVT incidence was 8.84%. The RF model achieved the highest prediction accuracy with an area under the curve of 0.87. Key predictors included D-dimer levels, aspirin use, National Institutes of Health Stroke Scale score during hospitalization, international normalized ratio, and anti-infective treatments. SHapley Additive exPlanations analysis enhanced model interpretability, providing clear insights into individual predictor contributions. The RF model significantly improved DVT risk prediction in AIS patients post-revascularization, offering a more accurate and interpretable tool for clinical practice.</t>
  </si>
  <si>
    <t>Li, Yanfeng; Li, Rong; Zhao, Qingshi; Gui, Min; Han, Yun; Pan, Rongjia; Jiang, Youli; Li, Guisu</t>
  </si>
  <si>
    <t>Li, GS (corresponding author), Peoples Hosp Longhua, Dept Neurol, Jinglong Construction Rd, Shenzhen 518109, Peoples R China.</t>
  </si>
  <si>
    <t>13502800301@139.com; 252338739@qq.com; h2362120381@163.com; panrongjia523@163.com; guisu113@163.com</t>
  </si>
  <si>
    <t>Shenzhen Clinical Research Center for Neurological Diseases [SCRCND202507]</t>
  </si>
  <si>
    <t>Shenzhen Clinical Research Center for Neurological Diseases</t>
  </si>
  <si>
    <t>This work was supported by the Shenzhen Clinical Research Center for Neurological Diseases (Grant No. SCRCND202507).</t>
  </si>
  <si>
    <t>[Li, Yanfeng; Li, Rong; Zhao, Qingshi; Jiang, Youli; Li, Guisu] Peoples Hosp Longhua, Dept Neurol, Jinglong Construction Rd, Shenzhen 518109, Peoples R China; [Gui, Min; Han, Yun] Shenzhen Second Peoples Hosp, Dept Traumat Orthoped, Shenzhen, Guangdong, Peoples R China; [Pan, Rongjia] Nanjing Univ, Dept Rehabil Med, Nanjing Drum Tower Hosp, Affiliated Hosp,Med Sch, Nanjing, Jiangsu, Peoples R China</t>
  </si>
  <si>
    <t>The People's Hospital of Longhua, Shenzhen; Second People's Hospital of Shenzhen; Nanjing University</t>
  </si>
  <si>
    <t>Explainable AI models for predicting venous thromboembolism following revascularization therapy in ischemic stroke patients: A retrospective cohort study</t>
  </si>
  <si>
    <t>acute ischemic stroke; deep vein thrombosis; machine learning; predictive modeling; SHapley Additive exPlanations</t>
  </si>
  <si>
    <t>DEEP-VEIN THROMBOSIS; RISK-ASSESSMENT</t>
  </si>
  <si>
    <t>MAY 15 2026</t>
  </si>
  <si>
    <t>105</t>
  </si>
  <si>
    <t>e48657</t>
  </si>
  <si>
    <t>10.1097/MD.0000000000048657</t>
  </si>
  <si>
    <t>http://dx.doi.org/10.1097/MD.0000000000048657</t>
  </si>
  <si>
    <t>ID1ZW</t>
  </si>
  <si>
    <t>42152355</t>
  </si>
  <si>
    <t>WOS:001768890900043</t>
  </si>
  <si>
    <t>Gong, HW; Wang, MY; Zhang, HX; Elahe, MF; Jin, M</t>
  </si>
  <si>
    <t>Background: Artificial intelligence-based disease prediction models have a greater potential to screen COVID-19 patients than conventional methods. However, their application has been restricted because of their underlying black-box nature.Objective: To addressed this issue, an explainable artificial intelligence (XAI) approach was developed to screen patients for COVID-19.Methods: A retrospective study consisting of 1,737 participants (759 COVID-19 patients and 978 controls) admitted to San Raphael Hospital (OSR) from February to May 2020 was used to construct a diagnosis model. Finally, 32 key blood test indices from 1,374 participants were used for screening patients for COVID-19. Four ensemble learning algorithms were used: random forest (RF), adaptive boosting (AdaBoost), gradient boosting decision tree (GBDT), and extreme gradient boosting (XGBoost). Feature importance fromthe perspective of the clinical domain and visualized interpretations were illustrated by using local interpretable model-agnostic explanations (LIME) plots.Results: The GBDT model [area under the curve (AUC): 86.4%; 95% confidence interval (CI) 0.821-0.907] outperformed the RF model (AUC: 85.7%; 95% CI 0.813-0.902), AdaBoost model (AUC: 85.4%; 95% CI 0.810-0.899), and XGBoost model (AUC: 84.9%; 95% CI 0.803-0.894) in distinguishing patients with COVID-19 from those without. The cumulative feature importance of lactate dehydrogenase, white blood cells, and eosinophil counts was 0.145, 0.130, and 0.128, respectively.Conclusions: Ensemble machining learning (ML) approaches, mainly GBDT and LIME plots, are efficient for screening patients with COVID-19 and might serve as a potential tool in the auxiliary diagnosis of COVID-19. Patients with higher WBC count, higher LDH level, or higher EOT count, were more likely to have COVID-19.</t>
  </si>
  <si>
    <t>Gong, Houwu; Wang, Miye; Zhang, Hanxue; Elahe, Md Fazla; Jin, Min</t>
  </si>
  <si>
    <t>Jin, M (corresponding author), Hunan Univ, Coll Comp Sci &amp; Elect Engn, Dept Software Engn, Changsha, Peoples R China.</t>
  </si>
  <si>
    <t>jinmin@hnu.edu.cn</t>
  </si>
  <si>
    <t>Natural Sciences Foundation of Hunan Province [2021JJ30139]; National Natural Science Foundation of China [61773157]; Key Project of R &amp; D plan of Changsha [kq2004011]</t>
  </si>
  <si>
    <t>Natural Sciences Foundation of Hunan Province (Natural Science Foundation of Hunan Province); National Natural Science Foundation of China (National Natural Science Foundation of China (NSFC)); Key Project of R &amp; D plan of Changsha</t>
  </si>
  <si>
    <t>This research was funded by the Natural Sciences Foundation of Hunan Province (Grant No. 2021JJ30139), the National Natural Science Foundation of China (Grant No. 61773157), and the Key Project of R &amp; D plan of Changsha (Grant No. kq2004011).</t>
  </si>
  <si>
    <t>[Gong, Houwu; Zhang, Hanxue; Elahe, Md Fazla; Jin, Min] Hunan Univ, Coll Comp Sci &amp; Elect Engn, Dept Software Engn, Changsha, Peoples R China; [Gong, Houwu] Acad Mil Sci, Beijing, Peoples R China; [Wang, Miye] West China Hosp, Engn Res Ctr Med Informat Technol, Minist Educ, Chengdu, Peoples R China; [Wang, Miye] West China Hosp, Informat Ctr, Chengdu, Peoples R China</t>
  </si>
  <si>
    <t>Hunan University; Academy of Military Medical Sciences - China; Sichuan University; Sichuan University</t>
  </si>
  <si>
    <t>An Explainable AI Approach for the Rapid Diagnosis of COVID-19 Using Ensemble Learning Algorithms</t>
  </si>
  <si>
    <t>artificial intelligence; ensemble learning; explainable; disease prediction; COVID-19</t>
  </si>
  <si>
    <t>TESTS</t>
  </si>
  <si>
    <t>GONG, Houwu/LTF-2608-2024; ELAHE, FAZLA/GRR-5608-2022</t>
  </si>
  <si>
    <t>GONG, Houwu/0000-0001-5011-1225; ELAHE, FAZLA/0000-0002-0839-5946</t>
  </si>
  <si>
    <t>JUN 21 2022</t>
  </si>
  <si>
    <t>874455</t>
  </si>
  <si>
    <t>10.3389/fpubh.2022.874455</t>
  </si>
  <si>
    <t>http://dx.doi.org/10.3389/fpubh.2022.874455</t>
  </si>
  <si>
    <t>3Z5SU</t>
  </si>
  <si>
    <t>35801239</t>
  </si>
  <si>
    <t>WOS:000844478300001</t>
  </si>
  <si>
    <t>Lee, J; Yoo, W; Kim, H</t>
  </si>
  <si>
    <t>Advances in healthcare and genetics are becoming increasingly integrated with artificial intelligence (AI), offering transformative potential alongside complex ethical challenges. This study aimed to assess public awareness and perceptions of AI ethics in healthcare (AI-H) in South Korea, with the ultimate goal of informing the development of research ethics guidelines. A nationwide online survey was conducted from January 10 to 20, 2023, targeting the general public, and 1,002 respondents were recruited through stratified random sampling. The questionnaire explored expectations of AI-H, perceived risks, willingness to share different types of personal data, and the perceived importance of various ethical principles and education targets. A large majority of respondents (84.5%) expressed optimism about the positive impacts of AI-H over the next five years, while only 3.1% anticipated negative consequences. Key concerns included the disclosure of personal information (54.0%), potential AI errors causing harm (52.0%), and ambiguous legal responsibilities (42.2%). Willingness to share data was highest for electronic medical records (72.8%), lifestyle data (72.3%), and biometric data (71.3%), while genetic data was least preferred (64.1%). Ethical principles considered most important were privacy protection (83.9%), safety and security (83.7%), legal duties (83.4%), and responsiveness (83.3%). Developers (70.7%), medical institution managers (68.2%), and researchers (65.6%) were identified as top priorities for ethics education, whereas the general public (31.0%) and students (18.7%) ranked lower. This study represents the first nationwide assessment of public ethical awareness of AI-H in South Korea. While there is strong support for AI-H, significant concerns remain, particularly regarding data privacy and legal accountability. The findings highlight the need for expanded ethics education, especially among younger populations, and for balanced attention to ethical principles beyond privacy, such as inclusiveness and accessibility. These insights provide valuable guidance for developing socially responsible AI policies and practices in healthcare.</t>
  </si>
  <si>
    <t>Lee, Jungim; Yoo, Wonhoo; Kim, Hannah</t>
  </si>
  <si>
    <t>Kim, H (corresponding author), Yonsei Univ, Asian Inst Bioeth &amp; Hlth Law, Seoul, South Korea.; Kim, H (corresponding author), Yonsei Univ, Coll Med, Div Med &amp; Hlth Law, Seoul, South Korea.</t>
  </si>
  <si>
    <t>hannakim83@yuhs.ac</t>
  </si>
  <si>
    <t>Korea Disease Control and Prevention Agency [2022-31-0860, 2025-31-038]</t>
  </si>
  <si>
    <t>Korea Disease Control and Prevention Agency</t>
  </si>
  <si>
    <t>The author(s) declare that financial support was received for the research and/or publication of this article. This study was supported by funding from the Korea Disease Control and Prevention Agency in 2022 (project no. 2022-31-0860) and 2025 (project no. 2025-31-038).</t>
  </si>
  <si>
    <t>[Lee, Jungim] Yonsei Univ, Grad Sch Publ Hlth, Seoul, South Korea; [Lee, Jungim; Yoo, Wonhoo; Kim, Hannah] Yonsei Univ, Asian Inst Bioeth &amp; Hlth Law, Seoul, South Korea; [Kim, Hannah] Yonsei Univ, Coll Med, Div Med &amp; Hlth Law, Seoul, South Korea</t>
  </si>
  <si>
    <t>Yonsei University; Yonsei University Health System; Yonsei University; Yonsei University; Yonsei University Health System</t>
  </si>
  <si>
    <t>Advancing artificial intelligence ethics in health and genomics: lessons from a public survey in South Korea</t>
  </si>
  <si>
    <t>FRONTIERS IN GENETICS</t>
  </si>
  <si>
    <t>public perception; artificial intelligence in healthcare; ethical principles; research ethics guidelines; healthcare artificial intelligence ethical principles education</t>
  </si>
  <si>
    <t>1664-8021</t>
  </si>
  <si>
    <t>FRONT GENET</t>
  </si>
  <si>
    <t>Front. Genet.</t>
  </si>
  <si>
    <t>JUL 9 2025</t>
  </si>
  <si>
    <t>1563544</t>
  </si>
  <si>
    <t>10.3389/fgene.2025.1563544</t>
  </si>
  <si>
    <t>http://dx.doi.org/10.3389/fgene.2025.1563544</t>
  </si>
  <si>
    <t>Genetics &amp; Heredity</t>
  </si>
  <si>
    <t>5DM1M</t>
  </si>
  <si>
    <t>40704061</t>
  </si>
  <si>
    <t>WOS:001533078800001</t>
  </si>
  <si>
    <t>Chakravarthy, SRS; Rajaguru, H</t>
  </si>
  <si>
    <t>Cancer is a life-threatening disease that affects several human lives all over the world. The classification of cancer severities utilizing histopathological images is vital for effective and timely diagnosis. This always creates a demandable requirement for promising and automated computer-aided diagnosis (CAD) frameworks in clinical analysis. In this direction, the study introduces a deep learning (DL) framework aimed at classifying renal cell carcinoma (RCC) into five distinct grades, and the work is also extended to include histopathology images of breast and colon cancer. The proposed architecture, MobileDANet, integrates a MobileNetV2 backbone with a dynamic attention (DA) block (multi-head attention + MLP) to capture both long and long-range dependencies efficiently and employs Grad-CAM for interpretability. On RCC (KMC dataset) data, MobileDANet attains 90.71% accuracy (F1 score as 90.94%); on BreakHis, it achieves a recognition rate of 88.16%; and on CRCH, it reaches a weighted F1-score of 99.08%, outperforming recent baselines. In future work, the framework will be extended to larger multi-institutional datasets, pursue model compression with automated hyperparameter optimization, and explore integration with clinical-decision support systems.</t>
  </si>
  <si>
    <t>Chakravarthy, S. R. Sannasi; Rajaguru, Harikumar</t>
  </si>
  <si>
    <t>Chakravarthy, SRS (corresponding author), Bannari Amman Inst Technol, Dept ECE, Sathyamangalam 638401, India.</t>
  </si>
  <si>
    <t>elektroniqz@gmail.com</t>
  </si>
  <si>
    <t>[Chakravarthy, S. R. Sannasi; Rajaguru, Harikumar] Bannari Amman Inst Technol, Dept ECE, Sathyamangalam 638401, India</t>
  </si>
  <si>
    <t>Bannari Amman Institute of Technology</t>
  </si>
  <si>
    <t>MobileDANet integrating transfer learning and dynamic attention for classifying multi target histopathology images with explainable AI</t>
  </si>
  <si>
    <t>Renal cancer; Breast cancer; Colorectal cancer; Transfer learning; Pretrained model; Attention</t>
  </si>
  <si>
    <t>TEXTURE CLASSIFICATION</t>
  </si>
  <si>
    <t>RAJAGURU, HARIKUMAR/ISU-9104-2023</t>
  </si>
  <si>
    <t>S R, Sannasi Chakravarthy/0000-0002-0162-7206</t>
  </si>
  <si>
    <t>OCT 24 2025</t>
  </si>
  <si>
    <t>37293</t>
  </si>
  <si>
    <t>10.1038/s41598-025-21360-4</t>
  </si>
  <si>
    <t>http://dx.doi.org/10.1038/s41598-025-21360-4</t>
  </si>
  <si>
    <t>8ZL3Z</t>
  </si>
  <si>
    <t>41136678</t>
  </si>
  <si>
    <t>WOS:001601003600038</t>
  </si>
  <si>
    <t>Rudrapal, M; Kirboga, KK; Abdalla, M; Maji, S</t>
  </si>
  <si>
    <t>Cyclooxygenase-2 (COX-2) inhibitors are nonsteroidal anti-inflammatory drugs that treat inflammation, pain and fever. This study determined the interaction mechanisms of COX-2 inhibitors and the molecular properties needed to design new drug candidates. Using machine learning and explainable AI methods, the inhibition activity of 1488 molecules was modelled, and essential properties were identified. These properties included aromatic rings, nitrogen-containing functional groups and aliphatic hydrocarbons. They affected the water solubility, hydrophobicity and binding affinity of COX-2 inhibitors. The binding mode, stability and ADME properties of 16 ligands bound to the Cyclooxygenase active site of COX-2 were investigated by molecular docking, molecular dynamics simulation and MM-GBSA analysis. The results showed that ligand 339,222 was the most stable and effective COX-2 inhibitor. It inhibited prostaglandin synthesis by disrupting the protein conformation of COX-2. It had good ADME properties and high clinical potential. This study demonstrated the potential of machine learning and bioinformatics methods in discovering COX-2 inhibitors.Graphical abstractThis study uses machine learning, bioinformatics and explainable artificial intelligence (XAI) methods to discover and design new drugs that can reduce inflammation by inhibiting COX-2. The activity and properties of various molecules are modelled and analysed. The best molecule is selected, and its interaction with the enzyme is investigated. The results show how this molecule can block the enzyme and prevent inflammation. XAI methods are used to explain the molecular features and mechanisms involved.</t>
  </si>
  <si>
    <t>Rudrapal, Mithun; Kirboga, Kevser Kuebra; Abdalla, Mohnad; Maji, Siddhartha</t>
  </si>
  <si>
    <t>Rudrapal, M (corresponding author), Vignans Fdn Sci Technol &amp; Res, Sch Biotechnol &amp; Pharmaceut Sci, Dept Pharmaceut Sci, Guntur 522213, Andhra Pradesh, India.; Kirboga, KK (corresponding author), Istanbul Tech Univ, Informat Inst, TR-34469 Maslak, Turkiye.; Kirboga, KK (corresponding author), Bilecik Seyh Edebali Univ, Bioengn Dept, TR-11230 Bilecik, Turkiye.</t>
  </si>
  <si>
    <t>kubra.kirboga@bilecik.edu.tr; smaji@okstate.edu; mohnadabdalla200@gmail.com; rsmrpal@gmail.com</t>
  </si>
  <si>
    <t>[Rudrapal, Mithun] Vignans Fdn Sci Technol &amp; Res, Sch Biotechnol &amp; Pharmaceut Sci, Dept Pharmaceut Sci, Guntur 522213, Andhra Pradesh, India; [Kirboga, Kevser Kuebra] Istanbul Tech Univ, Informat Inst, TR-34469 Maslak, Turkiye; [Kirboga, Kevser Kuebra] Bilecik Seyh Edebali Univ, Bioengn Dept, TR-11230 Bilecik, Turkiye; [Abdalla, Mohnad] Shandong Univ, Pediat Res Inst, Childrens Hosp, Jinan 250022, Shandong, Peoples R China; [Maji, Siddhartha] Oklahoma State Univ, Dept Chem, Stillwater, OK USA</t>
  </si>
  <si>
    <t>Vignan's Foundation for Science, Technology &amp; Research (VFSTR); Istanbul Technical University; Bilecik Seyh Edebali University; Shandong University; Oklahoma State University System; Oklahoma State University - Stillwater</t>
  </si>
  <si>
    <t>Explainable artificial intelligence-assisted virtual screening and bioinformatics approaches for effective bioactivity prediction of phenolic cyclooxygenase-2 (COX-2) inhibitors using PubChem molecular fingerprints</t>
  </si>
  <si>
    <t>MOLECULAR DIVERSITY</t>
  </si>
  <si>
    <t>Cyclooxygenase-2; Explainable artificial intelligence; Shapley explanations; Molecular dynamics; COX-2 inhibitors</t>
  </si>
  <si>
    <t>IN-SILICO; BIOLOGICAL EVALUATION; ESTIMATE SOLUBILITY; ARACHIDONIC-ACID; DRUG DISCOVERY; DOCKING; DERIVATIVES; PROTEIN; DESIGN; VALIDATION</t>
  </si>
  <si>
    <t>Rudrapal, Mithun/Z-1223-2019; Abdalla, Mohnad/AAH-6532-2020</t>
  </si>
  <si>
    <t>Abdalla, Mohnad/0000-0002-1682-5547</t>
  </si>
  <si>
    <t>1381-1991</t>
  </si>
  <si>
    <t>1573-501X</t>
  </si>
  <si>
    <t>MOL DIVERS</t>
  </si>
  <si>
    <t>Mol. Divers.</t>
  </si>
  <si>
    <t>2099</t>
  </si>
  <si>
    <t>2118</t>
  </si>
  <si>
    <t>10.1007/s11030-023-10782-9</t>
  </si>
  <si>
    <t>http://dx.doi.org/10.1007/s11030-023-10782-9</t>
  </si>
  <si>
    <t>Biochemistry &amp; Molecular Biology; Chemistry, Applied; Chemistry, Medicinal; Chemistry, Multidisciplinary</t>
  </si>
  <si>
    <t>Biochemistry &amp; Molecular Biology; Chemistry; Pharmacology &amp; Pharmacy</t>
  </si>
  <si>
    <t>H8L5G</t>
  </si>
  <si>
    <t>38200203</t>
  </si>
  <si>
    <t>WOS:001139233600001</t>
  </si>
  <si>
    <t>Chakraborty, P; Shanthi, PB</t>
  </si>
  <si>
    <t>DNA functional group classification across species plays a crucial role in understanding genetic diversity, evolutionary relationships and biological function. The increasing availability of genomic data has led to the use of machine learning and deep learning methods for identifying functional patterns within DNA sequences. However, the interpretability of these models remains a challenge in validating biological relevance. This study presents an explainable AI framework that integrates machine learning and deep learning models for multi-species DNA functional group classification. The functional groups represent gene families, including transcription factors and kinases, and the classification task is carried out on Human, Chimpanzee, Dog, and a custom Combined dataset merging sequences from all three species. The DNA sequences were transformed into k-mers to capture local compositional patterns before training. Following a controlled hyperparameter tuning strategy, the Logistic Regression model consistently achieved the highest MCC and F1-scores across all evaluated datasets. While deep learning architectures captured longer motif dependencies, classical models showed stronger generalization across species. A multi-level XAI analysis was conducted using techniques such as Feature Importance, Saliency Maps, Integrated Gradients, GradientSHAP, and Attention Heatmaps. The analysis identified consensus motifs, cross-dataset and cross-model motif patterns, and evaluated model stability based on motif overlap and Jaccard similarity, as well as model fidelity based on performance drops after masking model-identified motifs.</t>
  </si>
  <si>
    <t>Chakraborty, Pratik; Shanthi, P. B.</t>
  </si>
  <si>
    <t>Chakraborty, P; Shanthi, PB (corresponding author), Manipal Inst Technol, Manipal Acad Higher Educ, Manipal, India.</t>
  </si>
  <si>
    <t>shanthi.moorkoth@manipal.edu; pratikchakra18@gmail.com</t>
  </si>
  <si>
    <t>[Chakraborty, Pratik; Shanthi, P. B.] Manipal Inst Technol, Manipal Acad Higher Educ, Manipal, India</t>
  </si>
  <si>
    <t>Manipal Academy of Higher Education (MAHE)</t>
  </si>
  <si>
    <t>An explainable AI framework integrating machine and deep learning models for multi-species DNA functional group classification</t>
  </si>
  <si>
    <t>Attention heatmaps; DNA functional group classification; Deep learning; Explainable AI framework; k-mers; Machine learning; Healthcare AI; Bioinformatics</t>
  </si>
  <si>
    <t>MAY 18 2026</t>
  </si>
  <si>
    <t>22834</t>
  </si>
  <si>
    <t>10.1038/s41598-026-53075-5</t>
  </si>
  <si>
    <t>http://dx.doi.org/10.1038/s41598-026-53075-5</t>
  </si>
  <si>
    <t>LP1RK</t>
  </si>
  <si>
    <t>42151513</t>
  </si>
  <si>
    <t>WOS:001829908800001</t>
  </si>
  <si>
    <t>Emmaneel, A; Neirinck, J; Torres-Valle, A; Van Gassen, S; Bonte, S; Buysse, M; Van Dongen, JJM; Orfao, A; van der Burg, M; Kalina, T; Lambrecht, BN; De Vriendt, C; Kerre, T; Haerynck, F; Pérez-Andrés, M; Hofmans, M; Bonroy, C; Saeys, Y</t>
  </si>
  <si>
    <t>Background Primary immunodeficiencies (PIDs) are rare disorders caused by immune system defects that are commonly screened using multi-parameter flow cytometry (FCM). To counter the subjective and time-consuming manual data analysis of FCM data, we present PIDgeon, a fully automated computational pipeline based on artificial intelligence (AI) techniques. PIDgeon is designed to characterize PID immune profiles, suggest PID subtypes based on altered immune profiles, age, and immunoglobulin levels, and generate interpretable reports.Methods The PIDgeon pipeline, including FlowSOM and extreme gradient boosting models, was trained and tested on standardized FCM data generated according to EuroFlow procedures on 74 healthy controls and 399 patients (281 lymphoid-PID patients and 118 non-PID diseased controls) collected by the Ghent University Hospital. Subsequently, multi-centric validation was performed on internal (n = 211) and external (n = 338) independent data sets collected across 4 EuroFlow centers.Results Validation demonstrated high accuracy in cell count enumeration, achieving correlation scores above 0.90 for the major lymphocyte subsets. Interestingly, PIDgeon showed high sensitivity (93% to 100%) in predicting PID with severe T-cell defects, such as severe combined immunodeficiency and late-onset combined immunodeficiency, and low false-negative rates (1.5% to 5.4%) for distinguishing other lymphoid-PID vs non-PID diseased controls across data sets. Additionally, PIDgeon gives a first hint toward prediction of subtypes of primary antibody deficiencies, such as common variable immunodeficiency.Conclusions In summary, PIDgeon is an accessible and explainable AI-pipeline aligned with current clinical needs, aiding laboratory immunologists in early PID diagnostics and increasing data analysis efficiency.</t>
  </si>
  <si>
    <t>Emmaneel, Annelies; Neirinck, Jana; Torres-Valle, Alba; Van Gassen, Sofie; Bonte, Sarah; Buysse, Malicorne; Van Dongen, Jacques J. M.; Orfao, Alberto; Van Der Burg, Mirjam; Kalina, Tomas; Lambrecht, Bart N.; De Vriendt, Ciel; Kerre, Tessa; Haerynck, Filomeen; Perez-Andres, Martin; Hofmans, Mattias; Bonroy, Carolien; Saeys, Yvan</t>
  </si>
  <si>
    <t>Saeys, Y (corresponding author), Univ Ghent, Dept Math Comp Sci &amp; Stat, Ghent, Belgium.; Saeys, Y (corresponding author), VIB UGent Ctr Inflammat Res, Data Min &amp; Modeling Biomed, Ghent, Belgium.; Saeys, Y (corresponding author), VIB UGent Ctr Inflammat Res, SaeysLab, Technologiepark 71, B-9052 Ghent, Belgium.</t>
  </si>
  <si>
    <t>Yvan.Saeys@UGent.be</t>
  </si>
  <si>
    <t>Grand Challenges Program of VIB; Flemish Government [VR 2016 2312 Doc.1521/4]; Flemish Government under the "Onderzoeksprogramma Artificiele Intelligentie (AI) Vlaanderen" program [174K02325]; FWO TBM grant (Research Foundation-Flanders) [T000119N]; Research Foundation Flanders (FWO) [11L2822N]; Czech Health Research Council [NU23-07-00170]; EuroFlow Consortium</t>
  </si>
  <si>
    <t>Grand Challenges Program of VIB; Flemish Government; Flemish Government under the "Onderzoeksprogramma Artificiele Intelligentie (AI) Vlaanderen" program; FWO TBM grant (Research Foundation-Flanders) (FWO); Research Foundation Flanders (FWO) (FWO); Czech Health Research Council; EuroFlow Consortium</t>
  </si>
  <si>
    <t>This project has received funding within the Grand Challenges Program of VIB. This VIB Program received support from the Flemish Government under the Management Agreement 2017-2021 (VR 2016 2312 Doc.1521/4). Additionally, the research received funding from the Flemish Government under the "Onderzoeksprogramma Artificiele Intelligentie (AI) Vlaanderen" program (Project 174K02325). Y. Saeys, C. Bonroy, and F. Haerynck are supported by an FWO TBM grant (Research Foundation-Flanders, T000119N). J. Neirinck is a PhD fellow of the Research Foundation Flanders (FWO, 11L2822N). T. Kalina was supported by grant NU23-07-00170 from the Czech Health Research Council. This study was supported by the EuroFlow Consortium.</t>
  </si>
  <si>
    <t>[Emmaneel, Annelies; Van Gassen, Sofie; Bonte, Sarah; Saeys, Yvan] Univ Ghent, Dept Math Comp Sci &amp; Stat, Ghent, Belgium; [Emmaneel, Annelies; Van Gassen, Sofie; Bonte, Sarah; Saeys, Yvan] VIB UGent Ctr Inflammat Res, Data Min &amp; Modeling Biomed, Ghent, Belgium; [Neirinck, Jana; Hofmans, Mattias; Bonroy, Carolien] Univ Ghent, Dept Diagnost Sci, Ghent, Belgium; [Neirinck, Jana; Bonte, Sarah; Buysse, Malicorne; Hofmans, Mattias; Bonroy, Carolien] Ghent Univ Hosp, Dept Lab Med, Ghent, Belgium; [Torres-Valle, Alba; Van Dongen, Jacques J. M.; Orfao, Alberto; Perez-Andres, Martin] CSIC Univ Salamanca, Canc Res Ctr IBMCC, Translat &amp; Clin Res Program, Salamanca, Spain; [Torres-Valle, Alba; Van Dongen, Jacques J. M.; Orfao, Alberto; Perez-Andres, Martin] Univ Salamanca, Dept Med, Cytometry Serv, NUCLEUS, Salamanca, Spain; [Torres-Valle, Alba; Van Dongen, Jacques J. M.; Orfao, Alberto; Perez-Andres, Martin] Inst Biomed Res Salamanca IBSAL, Salamanca, Spain; [Torres-Valle, Alba; Orfao, Alberto] Inst Salud Carlos III, Biomed Res Networking Ctr Consortium Oncol CIBERON, Madrid, Spain; [Van Der Burg, Mirjam] Leiden Univ, Dept Pediat, Lab Pediat Immunol, Med Ctr, Leiden, Netherlands; [Kalina, Tomas] Charles Univ Prague, Fac Med 2, Dept Pediat Hematol &amp; Oncol, CLIP Childhood Leukaemia Invest Prague, Prague, Czech Republic; [Kalina, Tomas] Univ Hosp Motol, Prague, Czech Republic; [Lambrecht, Bart N.] Ghent Univ VIB, UGhent Ctr Inflammat Res, Lab Mucosal Immunol, Ghent, Belgium; [Lambrecht, Bart N.; De Vriendt, Ciel; Kerre, Tessa] Univ Ghent, Fac Med &amp; Hlth Sci, Dept Internal Med &amp; Pediat, Ghent, Belgium; [Lambrecht, Bart N.] Univ Hosp Ghent, Dept Pulm Med, Ghent, Belgium; [De Vriendt, Ciel; Kerre, Tessa] Ghent Univ Hosp, Dept Hematol, Ghent, Belgium; [Haerynck, Filomeen] Ghent Univ Hosp, Dept Pediat Pulmonol &amp; Immunol &amp; PID Res Lab, Ghent, Belgium</t>
  </si>
  <si>
    <t>Ghent University; Ghent University; Flanders Institute for Biotechnology (VIB); Ghent University; Ghent University; Ghent University Hospital; Consejo Superior de Investigaciones Cientificas (CSIC); CSIC-USAL - Instituto de Biologia Molecular y Celular del Cancer de Salamanca (IBMCC); University of Salamanca; University of Salamanca; Instituto de Salud Carlos III; Leiden University - Excl LUMC; Leiden University; Leiden University Medical Center (LUMC); Charles University Prague; Motol University Hospital; Ghent University; Flanders Institute for Biotechnology (VIB); Ghent University; Ghent University; Ghent University Hospital; Ghent University; Ghent University Hospital; Ghent University; Ghent University Hospital</t>
  </si>
  <si>
    <t>PIDgeon: An Explainable AI Model for Improved Flow Cytometry-Based Screening of Lymphoid Primary Immunodeficiencies</t>
  </si>
  <si>
    <t>CLINICAL CHEMISTRY</t>
  </si>
  <si>
    <t>PRIMARY ANTIBODY DEFICIENCIES; IMMUNITY 2019 UPDATE; HUMAN INBORN-ERRORS; DIAGNOSIS; MANAGEMENT</t>
  </si>
  <si>
    <t>Haerynck, Filomeen/AAD-6761-2020; Kalina, Tomas/C-1078-2009; Neirinck, Jana/GSE-6142-2022; Kerre, Tessa/C-3226-2016; van Dongen, Jacques/F-8537-2015; Perez-Andres, Martin/B-3692-2019; Bonte, Sarah/OUH-6132-2025; Lambrecht, Bart/K-2484-2014; Saeys, Yvan/C-1311-2009; Torres, Alba/PHP-2253-2026; Orfao, Alberto/B-5801-2017</t>
  </si>
  <si>
    <t>Kalina, Tomas/0000-0003-4475-2872; Neirinck, Jana/0000-0002-0084-9245; Van Gassen, Sofie/0000-0002-7119-5330; Bonroy, Carolien/0000-0002-9170-4200</t>
  </si>
  <si>
    <t>0009-9147</t>
  </si>
  <si>
    <t>1530-8561</t>
  </si>
  <si>
    <t>CLIN CHEM</t>
  </si>
  <si>
    <t>Clin. Chem.</t>
  </si>
  <si>
    <t>601</t>
  </si>
  <si>
    <t>612</t>
  </si>
  <si>
    <t>10.1093/clinchem/hvaf190</t>
  </si>
  <si>
    <t>http://dx.doi.org/10.1093/clinchem/hvaf190</t>
  </si>
  <si>
    <t>Medical Laboratory Technology</t>
  </si>
  <si>
    <t>HL0KW</t>
  </si>
  <si>
    <t>41605242</t>
  </si>
  <si>
    <t>WOS:001672508300001</t>
  </si>
  <si>
    <t>Ieracitano, C; Morabito, FC; Hussain, A; Suffian, M; Mammone, N</t>
  </si>
  <si>
    <t>Skin cancer is one of the leading causes of mortality worldwide. Early diagnosis can ensure more effective patient treatment and outcomes, but, this is challenging due to the high similarity between different skin lesion types. There is a growing interest in developing Artificial Intelligence (AI)-based systems for automated skin lesion classification. However, current AI models are not transparent, leading to a lack of trust from clinicians who struggle to interpret and validate AI decisions. To this end, in this paper, a fine tuned EfficientNet-B0-based classifier is first developed to classify dermoscopic images of Melanoma (MEL), Nevus (NV) and Seborrheic Keratosis (SK) skin lesions gathered from the International Skin Imaging Collaboration (ISIC) dataset. Next, the explainability of the model is investigated. In particular, anew Trustworthiness Index for eXplainable AI, herein referred to as TIxAI, is proposed. The TIxAI is based on the difference between the relevance degree of the lesion and non-lesion areas, leading to the conclusion that the higher the TIxAI, the more trustworthy the classifier is expected to be. Experimental results support the use of the proposed TIxAI to assess and benchmark the reliability of classifiers also in other real-world applications.</t>
  </si>
  <si>
    <t>Ieracitano, Cosimo; Morabito, Francesco Carlo; Hussain, Amir; Suffian, Muhammad; Mammone, Nadia</t>
  </si>
  <si>
    <t>Ieracitano, C (corresponding author), Univ Mediterranea Reggio Calabria, DICEAM, Via Rodolfo Zehender, I-89122 Reggio Di Calabria, Italy.</t>
  </si>
  <si>
    <t>cosimo.ieracitano@unirc.it</t>
  </si>
  <si>
    <t>[Ieracitano, Cosimo; Morabito, Francesco Carlo; Mammone, Nadia] Univ Mediterranea Reggio Calabria, DICEAM, Via Rodolfo Zehender, I-89122 Reggio Di Calabria, Italy; [Ieracitano, Cosimo; Morabito, Francesco Carlo] CNR ISASI, Inst Appl Sci &amp; Intelligent Syst E Caianiello, Via Campi Flegrei 34, I-80078 Pozzuoli, Napoli, Italy; [Hussain, Amir] Edinburgh Napier Univ, Sch Comp, Edinburgh, Scotland; [Suffian, Muhammad] Univ Mediterranea Reggio Calabria, DIIES, Via Rodolfo Zehender, I-89122 Reggio Di Calabria, Italy</t>
  </si>
  <si>
    <t>Universita Mediterranea di Reggio Calabria; Consiglio Nazionale delle Ricerche (CNR); Istituto di Scienze Applicate e Sistemi Intelligenti Eduardo Caianiello (ISASI-CNR); Edinburgh Napier University; Universita Mediterranea di Reggio Calabria</t>
  </si>
  <si>
    <t>TIxAI: A Trustworthiness Index for eXplainable AI in skin lesions classification</t>
  </si>
  <si>
    <t>eXplainable Artificial Intelligence; Convolutional Neural Network; Trustworthiness; Skin lesion classification</t>
  </si>
  <si>
    <t>Suffian, Muhammd/IMB-2035-2023; Hussain, Amir/AAG-6299-2020; MORABITO, Francesco Carlo/AAB-9698-2019; Ieracitano, Cosimo/AAB-9583-2019</t>
  </si>
  <si>
    <t>Suffian, Muhammd/0000-0002-1946-285X; Hussain, Amir/0000-0002-8080-082X; MORABITO, Francesco Carlo/0000-0003-0734-9136; Ieracitano, Cosimo/0000-0001-7890-2897</t>
  </si>
  <si>
    <t>MAY 14 2025</t>
  </si>
  <si>
    <t>630</t>
  </si>
  <si>
    <t>129701</t>
  </si>
  <si>
    <t>10.1016/j.neucom.2025.129701</t>
  </si>
  <si>
    <t>http://dx.doi.org/10.1016/j.neucom.2025.129701</t>
  </si>
  <si>
    <t>Y7G3R</t>
  </si>
  <si>
    <t>WOS:001433757400001</t>
  </si>
  <si>
    <t>Aziz, MFB; Nazri, A; Evamoni, FZ; Yaakob, R; Aris, TNM; Sekawi, Z; Mahmud, T; Agbolade, O; Syed, W; Al Arifi, M</t>
  </si>
  <si>
    <t>Breast cancer continues to be a major public health issue worldwide, ranking as the second leading cause of cancer-related deaths among women. Effective early detection and classification are crucial for improving survival rates, yet they are complicated by the challenges posed by imbalanced datasets in microarray gene expression analysis. These imbalances can significantly affect the predictive power and reliability of traditional classification models, underscoring the need for more sophisticated analytical techniques. This study introduces an approach, the SMOTE-ENN-LR method, which combines the Synthetic Minority Over-sampling Technique (SMOTE) with Edited Nearest Neighbors (ENN) for noise removal and Logistic Regression (LR) to accurately classify breast cancer based on microarray data. The SMOTE technique is utilized to over-sample the minority cases in the dataset, thereby addressing the issue of underrepresentation. Simultaneously, the ENN method is employed to clean the data by removing mislabeled instances and noise, which are often prevalent in over-sampled datasets. The cleaned and stable dataset is used to train a LR model, optimizing its ability to discern between cancerous (Abnormal) and non-cancerous (Normal) gene expression profiles effectively. Our comprehensive evaluation shows that the SMOTE-ENN-LR method attained a remarkable classification accuracy of 97.14%, outperforming contemporary state-of-the-art methods. This significant enhancement in accuracy highlights the potential of combining advanced data preprocessing techniques with robust statistical learning models to tackle the inherent challenges of microarray data analysis. Further, we employ Local Interpretable Model-agnostic Explanations (LIME) and SHAP (SHapley Additive exPlanations) to offer an understandings into our model's decision-making process, enhancing the predictions' transparency and interpretability. Moreover, the success of the SMOTE-ENN-LR method in this study paves the way for its application in other areas of medical diagnostics where similar data imbalances may impact the accuracy and effectiveness of disease classification. These results substantiate the effectiveness of the SMOTE-ENN-LR approach in managing the complexities of imbalanced microarray gene expression data, proposing a promising path for upcoming research in medical bioinformatics and precision medicine.</t>
  </si>
  <si>
    <t>Aziz, Md Faisal Bin Abdul; Nazri, Azree; Evamoni, Fatematuz Zuhura; Yaakob, Razali; Aris, Teh Noranis Mohd; Sekawi, Zamberi; Mahmud, Tanjim; Agbolade, Olalekan; Syed, Wajid; Al Arifi, Mohamed</t>
  </si>
  <si>
    <t>Aziz, MFB (corresponding author), Univ Putra Malaysia, Dept Comp Sci, Serdang, Malaysia.; Aziz, MFB (corresponding author), Comilla Univ, Dept Comp Sci &amp; Engn, Comilla, Bangladesh.</t>
  </si>
  <si>
    <t>nuranis@upm.edu.my; zamberi@upm.edu.my; tanjim_cse@yahoo.com; wali@ksu.edu.sa; malarifi@ksu.edu.sa; lokaprof@yahoo.com; razaliy@upm.edu.my; azree@upm.edu.my; faisal@cou.ac.bd; fatematuz@nstu.edu.bd</t>
  </si>
  <si>
    <t>Ongoing Research funding Program, King Saud University, Riyadh, Saudi Arabia [ORF-2025-81]</t>
  </si>
  <si>
    <t>Ongoing Research funding Program, King Saud University, Riyadh, Saudi Arabia</t>
  </si>
  <si>
    <t>This study was supported by the Ongoing Research funding Program, King Saud University, Riyadh, Saudi Arabia, (ORF-2025-81) .</t>
  </si>
  <si>
    <t>[Aziz, Md Faisal Bin Abdul; Nazri, Azree; Yaakob, Razali; Aris, Teh Noranis Mohd; Agbolade, Olalekan] Univ Putra Malaysia, Dept Comp Sci, Serdang, Malaysia; [Aziz, Md Faisal Bin Abdul] Comilla Univ, Dept Comp Sci &amp; Engn, Comilla, Bangladesh; [Evamoni, Fatematuz Zuhura] Noakhali Sci &amp; Technol Univ, Dept Biotechnol &amp; Genet Engn, Noakhali, Bangladesh; [Sekawi, Zamberi] Univ Putra Malaysia, Dept Med Microbiol, Serdang, Malaysia; [Mahmud, Tanjim] Rangamati Sci &amp; Technol Univ, Dept Comp Sci &amp; Engn, Rangamati, Bangladesh; [Mahmud, Tanjim] Kitami Inst Technol, Grad Sch Engn, Kitami, Hokkaido, Japan; [Syed, Wajid; Al Arifi, Mohamed] King Saud Univ, Coll Pharm, Dept Clin Pharm, Riyadh, Saudi Arabia</t>
  </si>
  <si>
    <t>SMOTE-ENN-LR: LEVERAGING MACHINE LEARNING FOR BREAST CANCER CLASSIFICATION IN MICROARRAY GENE EXPRESSION WITH EXPLAINABLE AI</t>
  </si>
  <si>
    <t>MALAYSIAN JOURNAL OF COMPUTER SCIENCE</t>
  </si>
  <si>
    <t>Breast cancer; Gene expression; Machine learning; Logistic Regression; Classification; Explainable AI</t>
  </si>
  <si>
    <t>Mahmud, Tanjim/HGD-9897-2022; Ali, Wajid/JPK-1967-2023; al arifi, mohamed/AGA-5155-2022; Agbolade, Olalekan/OJV-2581-2025</t>
  </si>
  <si>
    <t>UNIV MALAYA, FAC COMPUTER SCIENCE &amp; INFORMATION TECH</t>
  </si>
  <si>
    <t>KUALA LUMPUR</t>
  </si>
  <si>
    <t>UNIV MALAYA, FAC COMPUTER SCIENCE &amp; INFORMATION TECH, KUALA LUMPUR, 50603, MALAYSIA</t>
  </si>
  <si>
    <t>0127-9084</t>
  </si>
  <si>
    <t>MALAYS J COMPUT SCI</t>
  </si>
  <si>
    <t>Malayas. J. Comput. Sci.</t>
  </si>
  <si>
    <t>10.22452/mjcs.vol38no2.4</t>
  </si>
  <si>
    <t>http://dx.doi.org/10.22452/mjcs.vol38no2.4</t>
  </si>
  <si>
    <t>T6013</t>
  </si>
  <si>
    <t>WOS:001637757900004</t>
  </si>
  <si>
    <t>Muduli, D; Parija, S; Kumari, S; Hassan, A; Jangwan, HS; Zamani, A; Gouse, SKM; Majhi, B; Parveen, N</t>
  </si>
  <si>
    <t>Leukemia is identified by an excess of immature white blood cells (WBC) being formed in the bone marrow, leading to cancer. It is divided into two main types: acute, which stems from early cell growth ab-normalities and involves rapid immature cell proliferation, and chronic, which progresses more slowly due to a blockage in the later stages of the cell life cycle. Detecting acute lymphoblastic leukemia (ALL) at an early stage is critical to reducing its associated mortality rate. This study presents an empirical analysis of various pre-trained deep learning models, including VGG16, VGG19, ResNet50, Xception, ResNet152, EfficientNet-B0, NASNetMobile, DenseNet169, DenseNet121, and EfficientNetV2B0, for the detection and classification of ALL. A comprehensive evaluation highlights the effectiveness of deep learning in distinguishing different types of ALL, demonstrating its potential as a reliable diagnostic tool in medical imaging. Additionally, we evaluated the performance of these models using different optimization techniques, including Adadelta, SGD, RMSprop, and Adam, to determine the most effective optimization strategy for improving classifica-tion accuracy. Our results demonstrate that EfficientNet-B0 achieved a classification accuracy of 72 %, while NASNetMobile attained 81 %. Notably, DenseNet121 outperformed these models with an accuracy of 99 %. Furthermore, the remaining seven models VGG16, VGG19, ResNet50, Xception, ResNet152, DenseNet169, and EfficientNetV2B achieved a perfect classification accuracy of 100 %, highlighting their robustness and effectiveness in our experimental setup. To improve the interpretability of the leukemia detection process, explainable AI techniques, including Grad-CAM, Score-CAM, and Grad-CAM++, were integrated to vi-sualize critical regions influencing model predictions. These techniques enhance transparency by providing visual explanations of classification decisions. A detailed comparative analysis was conducted, examining key parameters such as learning rate, optimization algorithms, and the number of training epochs to determine the most effective approach. The study leveraged a publicly available acute lymphoblastic leukemia dataset to ensure comprehensive model evaluation. By offering insights into model performance and interpretability.</t>
  </si>
  <si>
    <t>Muduli, Debendra; Parija, Sourav; Kumari, Suhani; Hassan, Asmaul; Jangwan, Harendra S.; Zamani, Abu Taha; Gouse, S. K. Mohammed; Majhi, Banshidhar; Parveen, Nikhat</t>
  </si>
  <si>
    <t>Zamani, A (corresponding author), Northern Border Univ, Fac Sci, Dept Comp Sci, Ar Ar 73213, Saudi Arabia.</t>
  </si>
  <si>
    <t>abutaha.zamani@nbu.edu.sa</t>
  </si>
  <si>
    <t>Deanship of Scientific Research at Northern Border University, Arar, KSA [NBU-FFR-2025-1850-02]</t>
  </si>
  <si>
    <t>Deanship of Scientific Research at Northern Border University, Arar, KSA (Northern Border University)</t>
  </si>
  <si>
    <t>The authors extend their appreciation to the Deanship of Scientific Research at Northern Border University, Arar, KSA for funding this research work through the project number "NBU-FFR-2025-1850-02".</t>
  </si>
  <si>
    <t>[Muduli, Debendra; Parija, Sourav; Kumari, Suhani; Majhi, Banshidhar] CV Raman Global Univ, Dept Comp Sci &amp; Engn, Bidya Nagar 752054, Odisha, India; [Hassan, Asmaul] Western Governors Univ, Dept Informat Technol, 4001 S 700 E 300, Millcreek, UT 84107 USA; [Jangwan, Harendra S.] Quantum Univ, Comp Sci &amp; Engn, Roorkee, Uttarakhand, India; [Zamani, Abu Taha] Northern Border Univ, Fac Sci, Dept Comp Sci, Ar Ar 73213, Saudi Arabia; [Gouse, S. K. Mohammed] Koneru Lakshmaiah Educ Fdn, Dept Comp Sci &amp; Engn, Vaddeswaram, AP, India; [Parveen, Nikhat] Univ Bisha, Coll Comp &amp; Informat Technol, Dept Artificial Intelligence, Bisha, Saudi Arabia</t>
  </si>
  <si>
    <t>Quantum University; Northern Border University; Koneru Lakshmaiah Education Foundation (K L Deemed to be University); University of Bisha</t>
  </si>
  <si>
    <t>Deep learning-based detection and classification of acute lymphoblastic leukemia with explainable AI techniques</t>
  </si>
  <si>
    <t>ARRAY</t>
  </si>
  <si>
    <t>Deep learning; Image data augmentation; ResNet34; ResNet50; ResNetV2; VGG16; Xception; EfficientNetB0; EfficientNetV2; DenseNet121; ResNet152</t>
  </si>
  <si>
    <t>Parija, Sourav/MZR-8114-2025; Muduli, Debendra/JCF-0169-2023; Parveen, Nikhat/IUM-8961-2023; Zamani, Abu Taha/JFJ-2094-2023; Jangwan, Harendra S/NDR-9329-2025; SHAIK, Mohammed Gouse/U-7654-2018</t>
  </si>
  <si>
    <t>Parija, Sourav/0009-0007-6596-1354; Zamani, Abu Taha/0000-0002-1424-487X; Jangwan, Harendra S/0000-0001-8326-7533; SHAIK, Mohammed Gouse/0000-0002-2346-3126</t>
  </si>
  <si>
    <t>2590-0056</t>
  </si>
  <si>
    <t>ARRAY-NY</t>
  </si>
  <si>
    <t>Array</t>
  </si>
  <si>
    <t>100397</t>
  </si>
  <si>
    <t>10.1016/j.array.2025.100397</t>
  </si>
  <si>
    <t>http://dx.doi.org/10.1016/j.array.2025.100397</t>
  </si>
  <si>
    <t>1PA0B</t>
  </si>
  <si>
    <t>WOS:001470240500001</t>
  </si>
  <si>
    <t>Tu, XY; Shi, CH; Qian, PL; Wang, LZ</t>
  </si>
  <si>
    <t>Retrieval-augmented generation (RAG) systems have emerged as a powerful technique to enhance the capabilities of large language models by enabling them to access external, up-to-date knowledge in real time, and RAG systems are being increasingly adopted by researchers in the medical field. In this viewpoint article, we explore the ethical imperatives for implementing RAG systems in clinical nursing environments, with particular attention to how these technologies affect patient care quality and safety. The purpose of this paper is to examine the ethical risks introduced by RAG-enhanced large language models in clinical nursing and to propose strategic guidelines for their responsible implementation. Key considerations include ensuring accuracy, fairness, transparency, and accountability, as well as maintaining essential human oversight, as discussed through a structured analysis. We argue that robust data governance, explainable artificial intelligence (AI) techniques, and continuous monitoring are critical components of a responsible RAG implementation strategy. Ultimately, realizing the benefits of RAG while mitigating ethical concerns requires sustained collaboration among health care professionals, AI developers, and policymakers, fostering a future where AI supports patient safety, reduces disparities, and improves the quality of nursing care.</t>
  </si>
  <si>
    <t>Tu, Xinyi; Shi, Chenghao; Qian, Peilin; Wang, Lizhu</t>
  </si>
  <si>
    <t>Wang, LZ (corresponding author), Zhejiang Univ, Affiliated Hosp 2, Sch Med, Dept Nursing, 88 Jiefang Rd, Hangzhou 310009, Zhejiang, Peoples R China.</t>
  </si>
  <si>
    <t>zrwlz@zju.edu.cn</t>
  </si>
  <si>
    <t>[Tu, Xinyi; Shi, Chenghao; Wang, Lizhu] Zhejiang Univ, Affiliated Hosp 2, Sch Med, Dept Nursing, 88 Jiefang Rd, Hangzhou 310009, Zhejiang, Peoples R China; [Tu, Xinyi] Zhejiang Univ, Sch Med, Hangzhou, Zhejiang, Peoples R China; [Qian, Peilin] Chinese Acad Med Sci &amp; Peking Union Med Coll, Sch Nursing, Beijing, Peoples R China</t>
  </si>
  <si>
    <t>Zhejiang University; Zhejiang University; Chinese Academy of Medical Sciences - Peking Union Medical College; Peking Union Medical College</t>
  </si>
  <si>
    <t>Ethical Imperatives for Retrieval-Augmented Generation in Clinical Nursing: Viewpoint on Responsible AI Use</t>
  </si>
  <si>
    <t>JMIR MEDICAL INFORMATICS</t>
  </si>
  <si>
    <t>large language models; clinical decision-making; ethics; fairness; transparency</t>
  </si>
  <si>
    <t>2291-9694</t>
  </si>
  <si>
    <t>JMIR MED INF</t>
  </si>
  <si>
    <t>JMIR Med. Inf.</t>
  </si>
  <si>
    <t>e79922</t>
  </si>
  <si>
    <t>10.2196/79922</t>
  </si>
  <si>
    <t>http://dx.doi.org/10.2196/79922</t>
  </si>
  <si>
    <t>CM6OX</t>
  </si>
  <si>
    <t>41512180</t>
  </si>
  <si>
    <t>WOS:001669409500002</t>
  </si>
  <si>
    <t>Chen, HZ; He, ZY; Sun, ZC; Pei, H; Liu, X</t>
  </si>
  <si>
    <t>Point-of-care testing (POCT) platforms frequently suffer from a fundamental bottleneck: while advances in molecular amplification improve signal intensity, the reliability of signal readout in complex clinical matrices remains poorly controlled. Here, we present an integrated biosensing framework that treats readout reliability as an explicit engineering objective rather than a post hoc correction problem. The platform integrates three complementary components: (i) a heptameric nanobody probe employed as a multivalent recognition element for target capture, (ii) a DNA-assisted clustering interface that spatially organizes gold nanoparticle reporters for robust signal amplification, and (iii) a few-shot learning module based on Prototypical Networks that enables robust classification with minimal training data while providing interpretable decision-making through metricbased reasoning. Alpha-fetoprotein was selected as the model analyte because it remains a clinically important biomarker for hepatocellular carcinoma screening and follow-up, while also representing a realistic POCT challenge in which clinically meaningful detection must be achieved with low instrumentation burden and reliable readout under matrix variability. In this setting, the system achieves a visual limit of detection of 2 ng/ mL and demonstrates quantitative consistency across representative clinical serum samples. Importantly, the AI module functions as an integral system component, identifying diagnostically relevant regions and mitigating readout uncertainty arising from matrix effects and imaging variability. By jointly engineering the sensing interface and the interpretive layer, this work establishes a generalizable strategy for constructing trustworthy POCT systems in which chemical signal generation and digital interpretation are co-designed.</t>
  </si>
  <si>
    <t>Chen, Haoze; He, Zhenyun; Sun, Zhichang; Pei, Hua; Liu, Xing</t>
  </si>
  <si>
    <t>Liu, X (corresponding author), Hainan Univ, Sch Food Sci &amp; Engn, Haikou 570228, Peoples R China.</t>
  </si>
  <si>
    <t>xliu@hainanu.edu.cn</t>
  </si>
  <si>
    <t>National Natural Science Foundation of China [32560606, 32102067]; Key Research and Development Project of Hainan Province [ZDYF2022SHFZ100]</t>
  </si>
  <si>
    <t>National Natural Science Foundation of China (National Natural Science Foundation of China (NSFC)); Key Research and Development Project of Hainan Province</t>
  </si>
  <si>
    <t>This work was financially supported by the National Natural Science Foundation of China (No. 32560606, 32102067) and the Key Research and Development Project of Hainan Province (No. ZDYF2022SHFZ100) .</t>
  </si>
  <si>
    <t>[Chen, Haoze; He, Zhenyun; Sun, Zhichang; Liu, Xing] Hainan Univ, Sch Food Sci &amp; Engn, Haikou 570228, Peoples R China; [He, Zhenyun] Hainan Coll Econ &amp; Business, Coll Int Tourism, Haikou 571127, Peoples R China; [Pei, Hua] Hainan Med Univ, Affiliated Hosp 2, Dept Clin Lab, Haikou 570311, Peoples R China</t>
  </si>
  <si>
    <t>Hainan University; Hainan College of Economics &amp; Business; Hainan Medical University</t>
  </si>
  <si>
    <t>Engineering an integrated biosensing interface combining DNA-assisted clustering and explainable AI for biomarker detection</t>
  </si>
  <si>
    <t>BIOSENSORS &amp; BIOELECTRONICS</t>
  </si>
  <si>
    <t>Nanobody; Point-of-care testing; DNA-Assisted clustering; Biomarkers; Explainable AI</t>
  </si>
  <si>
    <t>SINGLE-DOMAIN ANTIBODIES; OF-THE-ART; ALPHA-FETOPROTEIN; ELISA</t>
  </si>
  <si>
    <t>0956-5663</t>
  </si>
  <si>
    <t>1873-4235</t>
  </si>
  <si>
    <t>BIOSENS BIOELECTRON</t>
  </si>
  <si>
    <t>Biosens. Bioelectron.</t>
  </si>
  <si>
    <t>SEP 1 2026</t>
  </si>
  <si>
    <t>307</t>
  </si>
  <si>
    <t>118738</t>
  </si>
  <si>
    <t>10.1016/j.bios.2026.118738</t>
  </si>
  <si>
    <t>http://dx.doi.org/10.1016/j.bios.2026.118738</t>
  </si>
  <si>
    <t>Biophysics; Biotechnology &amp; Applied Microbiology; Chemistry, Analytical; Electrochemistry; Nanoscience &amp; Nanotechnology</t>
  </si>
  <si>
    <t>Biophysics; Biotechnology &amp; Applied Microbiology; Chemistry; Electrochemistry; Science &amp; Technology - Other Topics</t>
  </si>
  <si>
    <t>HR3GA</t>
  </si>
  <si>
    <t>42068904</t>
  </si>
  <si>
    <t>WOS:001760835700001</t>
  </si>
  <si>
    <t>Das, G; Ghosh, B; Ghosh, Z</t>
  </si>
  <si>
    <t>Male infertility has emerged as a significant concern in modern society, with genetic defects as one of the major underlying cause behind it. This impairment negatively impacts sperm motility and morphology, leading to conditions such as Asthenozoospermia (reduced sperm motility), Teratozoospermia (abnormal sperm morphology) and sometimes Asthenoteratozoospermia (both motility and morphology defects). Assisted reproductive technologies (ART), such as in-vitro fertilization (IVF), offer a potential solution for such cases but with a low success rate. Classical semen analysis provides only a phenotypic snapshot without revealing the fertilizing potential of the sperms. Hence, in order to screen the functional sperm population as well as to get a deeper insight into the reasons underlying the aberrant sperm population, it is important to study their genetic profile. In this work, we have performed a meta analysis of the transcriptomic data of infertile sperms from Asthenozoospermia and Teratozoospermia patients with that from fertile sperms of normal individuals. Thereafter we have screened a signature gene set which has been used to develop a prediction model named Explainable Infertility Test (E-InfertilityTest) to classify between fertile versus infertile sperm at the preliminary level. For each prediction, it will also provide the set of genes which are playing a dominant role towards such prediction. Thus, it will provide patient specific dominant gene expression profile responsible for the aberration. Overall, this AI based framework will serve as a proof-of-concept towards predicting the genetic basis associated with male infertility. User can access the tool named E-InfertilityTest as a standalone version on GitHub. Github Link: https://github.com/zglabDIB/einfertility.git.</t>
  </si>
  <si>
    <t>Das, Gourab; Ghosh, Byapti; Ghosh, Zhumur</t>
  </si>
  <si>
    <t>Ghosh, Z (corresponding author), Bose Inst, Dept Biol Sci, Unified Acad Campus, Kolkata 700091, India.</t>
  </si>
  <si>
    <t>zhumur@jcbose.ac.in</t>
  </si>
  <si>
    <t>National Network project of Bose Institute with Indian Statistical Institute and Vidyasagar University, sanctioned by the Department of Biotechnology, Government of India [BT/PR40176/BTIS/137/84/2023]; Indian Council of Medical Research (ICMR), Government of India [RBMH/FW/2020/10]</t>
  </si>
  <si>
    <t>National Network project of Bose Institute with Indian Statistical Institute and Vidyasagar University, sanctioned by the Department of Biotechnology, Government of India; Indian Council of Medical Research (ICMR), Government of India</t>
  </si>
  <si>
    <t>This work is funded by National Network project of Bose Institute with Indian Statistical Institute and Vidyasagar University, sanctioned by the Department of Biotechnology, Government of India, vide the sanction no. BT/PR40176/BTIS/137/84/2023 as well as Indian Council of Medical Research (ICMR) (sanction no. RBMH/FW/2020/10), Government of India.</t>
  </si>
  <si>
    <t>[Das, Gourab; Ghosh, Byapti; Ghosh, Zhumur] Bose Inst, Dept Biol Sci, Unified Acad Campus, Kolkata 700091, India</t>
  </si>
  <si>
    <t>Department of Science &amp; Technology (India); Bose Institute</t>
  </si>
  <si>
    <t>E-InfertilityTest: Implementing an explainable AI framework for male infertility assessment</t>
  </si>
  <si>
    <t>BIOCHEMICAL AND BIOPHYSICAL RESEARCH COMMUNICATIONS</t>
  </si>
  <si>
    <t>Male infertility; Sperm; Asthenozoospermia; Teratozoospermia; Machine learning; Explainable AI</t>
  </si>
  <si>
    <t>TERATOZOOSPERMIA; EXPRESSION; FAMILY</t>
  </si>
  <si>
    <t>0006-291X</t>
  </si>
  <si>
    <t>1090-2104</t>
  </si>
  <si>
    <t>BIOCHEM BIOPH RES CO</t>
  </si>
  <si>
    <t>Biochem. Biophys. Res. Commun.</t>
  </si>
  <si>
    <t>SEP 3 2026</t>
  </si>
  <si>
    <t>829</t>
  </si>
  <si>
    <t>154166</t>
  </si>
  <si>
    <t>10.1016/j.bbrc.2026.154166</t>
  </si>
  <si>
    <t>http://dx.doi.org/10.1016/j.bbrc.2026.154166</t>
  </si>
  <si>
    <t>Biochemistry &amp; Molecular Biology; Biophysics</t>
  </si>
  <si>
    <t>KJ3LQ</t>
  </si>
  <si>
    <t>42335657</t>
  </si>
  <si>
    <t>WOS:001808326900001</t>
  </si>
  <si>
    <t>Pellano, KN; Strümke, I; Groos, D; Adde, L; Ihlen, EFA</t>
  </si>
  <si>
    <t>Early detection of Cerebral Palsy (CP) is crucial for effective intervention and monitoring. This paper tests the reliability and applicability of Explainable AI (XAI) methods using a deep learning method that predicts CP by analyzing skeletal data extracted from video recordings of infant movements. Specifically, we use XAI evaluation metrics - namely faithfulness and stability - to quantitatively assess the reliability of Class Activation Mapping (CAM) and Gradient-weighted Class Activation Mapping (Grad-CAM) in this specific medical application. We utilize a unique dataset of infant movements and apply skeleton data perturbations without distorting the original dynamics of the infant movements. Our CP prediction model utilizes an ensemble approach, so we evaluate the XAI metrics performances for both the overall ensemble and the individual models. Our findings indicate that both XAI methods effectively identify key body points influencing CP predictions and that the explanations are robust against minor data perturbations. Grad-CAM significantly outperforms CAM in the Relative Input Stability velocity (RISv) metric, which measures stability in terms of velocity. In contrast, CAM performs better in the Relative Input Stability bone (RISb) metric, which relates to bone stability, and the Relative Representation Stability (RRS) metric, which assesses internal representation robustness. Individual models within the ensemble show varied results, and neither CAM nor Grad-CAM consistently outperform the other, with the ensemble approach providing a representation of outcomes from its constituent models. Both CAM and Grad-CAM also perform significantly better than random attribution, supporting the robustness of these XAI methods. Our work demonstrates that XAI methods can offer reliable and stable explanations for CP prediction models. Future studies should further investigate how the explanations can enhance our understanding of specific movement patterns characterizing healthy and pathological development.</t>
  </si>
  <si>
    <t>Pellano, Kimji N.; Strumke, Inga; Groos, Daniel; Adde, Lars; Ihlen, Espen F. Alexander</t>
  </si>
  <si>
    <t>Pellano, KN (corresponding author), Norwegian Univ Sci &amp; Technol, Fac Med &amp; Hlth Sci, Dept Neuromed &amp; Movement Sci, N-7034 Trondheim, Norway.</t>
  </si>
  <si>
    <t>kimji.pellano@ntnu.no</t>
  </si>
  <si>
    <t>PERSEUS Project (EU Horizon 2020, Marie Sklodowska-Curie) [101034240]; Research Council of Norway [327146]</t>
  </si>
  <si>
    <t>PERSEUS Project (EU Horizon 2020, Marie Sklodowska-Curie); Research Council of Norway (Research Council of Norway)</t>
  </si>
  <si>
    <t>This work was supported in part by the PERSEUS Project (EU Horizon 2020, Marie Sklodowska-Curie) under Grant 101034240; and in part by the Research Council of Norway under Grant 327146.</t>
  </si>
  <si>
    <t>[Pellano, Kimji N.; Groos, Daniel; Ihlen, Espen F. Alexander] Norwegian Univ Sci &amp; Technol, Fac Med &amp; Hlth Sci, Dept Neuromed &amp; Movement Sci, N-7034 Trondheim, Norway; [Strumke, Inga] Norwegian Univ Sci &amp; Technol, Fac Informat Technol &amp; Elect Engn, Dept Comp Sci, N-7034 Trondheim, Norway; [Adde, Lars] Norwegian Univ Sci &amp; Technol, Fac Med &amp; Hlth Sci, Dept Clin &amp; Mol Med, N-7034 Trondheim, Norway</t>
  </si>
  <si>
    <t>Norwegian University of Science &amp; Technology (NTNU); Norwegian University of Science &amp; Technology (NTNU); Norwegian University of Science &amp; Technology (NTNU)</t>
  </si>
  <si>
    <t>Evaluating Explainable AI Methods in Deep Learning Models for Early Detection of Cerebral Palsy</t>
  </si>
  <si>
    <t>Predictive models; Measurement; Stability analysis; Robustness; Perturbation methods; Pediatrics; Mathematical models; Deep learning; Data models; Cerebral palsy; Explainable AI; CAM; Grad-CAM; skeleton data; Cerebral Palsy</t>
  </si>
  <si>
    <t>GENERAL MOVEMENTS; VIDEO ANALYSIS; PREDICTION; INFANTS</t>
  </si>
  <si>
    <t>Strümke, Inga/0000-0003-1820-6544; Groos, Daniel/0000-0003-0676-2324; Ihlen, Espen Alexander Fürst/0000-0002-2469-1809; Pellano, Kimji/0000-0002-5423-9418</t>
  </si>
  <si>
    <t>10126</t>
  </si>
  <si>
    <t>10138</t>
  </si>
  <si>
    <t>10.1109/ACCESS.2025.3525571</t>
  </si>
  <si>
    <t>http://dx.doi.org/10.1109/ACCESS.2025.3525571</t>
  </si>
  <si>
    <t>S5L7V</t>
  </si>
  <si>
    <t>WOS:001398640700033</t>
  </si>
  <si>
    <t>Jyoti, O; Kibria, HB; Pear, ZT; Nahiduzzaman, M; Ahamed, MF; Islam, KR; Kumar, J; Chowdhury, MEH</t>
  </si>
  <si>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</si>
  <si>
    <t>Jyoti, Oishi; Kibria, Hafsa Binte; Pear, Zareen Tasnim; Nahiduzzaman, Md; Ahamed, Md. Faysal; Islam, Khandaker Reajul; Kumar, Jaya; Chowdhury, Muhammad E. H.</t>
  </si>
  <si>
    <t>Chowdhury, MEH (corresponding author), Qatar Univ, Dept Elect Engn, Doha, Qatar.</t>
  </si>
  <si>
    <t>mchowdhury@qu.edu.qa</t>
  </si>
  <si>
    <t>Qatar National Library (QNL)</t>
  </si>
  <si>
    <t>Qatar National Library (QNL) (Qatar National Research Fund (QNRF), Qatar National Library Doha Qatar)</t>
  </si>
  <si>
    <t>The open access publication of this article is supported by Qatar National Library (QNL).</t>
  </si>
  <si>
    <t>[Jyoti, Oishi; Kibria, Hafsa Binte; Pear, Zareen Tasnim; Nahiduzzaman, Md; Ahamed, Md. Faysal] Rajshahi Univ Engn &amp; Technol, Dept Elect &amp; Comp Engn, Rajshahi 6204, Bangladesh; [Islam, Khandaker Reajul; Chowdhury, Muhammad E. H.] Qatar Univ, Dept Elect Engn, Doha, Qatar; [Islam, Khandaker Reajul; Kumar, Jaya] Univ Kebangsaan Malaysia, Fac Med, Dept Physiol, Kuala Lumpur 56000, Malaysia</t>
  </si>
  <si>
    <t>Rajshahi University of Engineering &amp; Technology (RUET); Qatar University; Universiti Kebangsaan Malaysia</t>
  </si>
  <si>
    <t>A Clinically Interpretable Approach for Early Detection of Autism Using Machine Learning With Explainable AI</t>
  </si>
  <si>
    <t>Accuracy; Predictive models; Autism; Explainable AI; Support vector machines; Random forests; Machine learning; Machine learning algorithms; Diseases; Reliability; Autism spectrum disorder (ASD); artificial intelligence (AI); machine learning (ML); explainable AI</t>
  </si>
  <si>
    <t>SPECTRUM DISORDER</t>
  </si>
  <si>
    <t>Nahiduzzaman/GWZ-7870-2022; Chowdhury, Muhammad/J-6916-2019</t>
  </si>
  <si>
    <t>Nahiduzzaman/0000-0003-4126-0389; Kumar, Jaya/0000-0002-8752-0708; Ahamed, Faysal/0000-0002-7014-3205; Kibria, Hafsa Binte/0000-0003-4775-8639</t>
  </si>
  <si>
    <t>121512</t>
  </si>
  <si>
    <t>121532</t>
  </si>
  <si>
    <t>10.1109/ACCESS.2025.3586314</t>
  </si>
  <si>
    <t>http://dx.doi.org/10.1109/ACCESS.2025.3586314</t>
  </si>
  <si>
    <t>5BR4V</t>
  </si>
  <si>
    <t>WOS:001531856700008</t>
  </si>
  <si>
    <t>Hsu, HY; Lin, JC; Huang, CW; Huang, SF; Wu, CY; Huang, TS; Lai, HF; Yu, MC</t>
  </si>
  <si>
    <t>Purpose: Early recurrence within 24 months post-resection remains a primary driver of poor prognosis in hepatocellular carcinoma (HCC). In the absence of standardized adjuvant guidelines, robust postoperative risk stratification is critical. We evaluated explainable machine learning (ML) architectures to optimize risk modeling using readily accessible parameters. Patients and Methods: This retrospective, multicenter study analyzed 1,681 HCC patients undergoing curative-intent hepatectomy at Chang Gung institutions (2007-2020) as the training cohort. External validation was conducted using an independent cohort (n = 251) from Mackay Memorial Hospital. Four algorithms-random survival forest, Cox-nnet, LASSO, and extreme gradient boosting (XGBoost)-were trained using 5-fold cross-validation. Missing data were handled via k-nearest neighbors imputation. Discriminative capacity was assessed using the concordance index (C-index), and feature significance was decoded through SHAP values. Results: The XGBoost framework yielded optimal discrimination, achieving a high training C-index of 0.98. During independent external validation, the C-index attenuated to a robust 0.72, reflecting expected adjustments for baseline institutional heterogeneities. Multivariable Cox and SHAP analyses consistently identified five pivotal predictors: sex, preoperative treatment, tumor size, satellite lesions, and vascular invasion. The derived nomogram enabled effective patient risk-tiering (p &lt; 0.0001), although absolute recurrence probabilities were systematically overestimated in the external validation cohort. Conclusion: While the XGBoost model exhibits expected calibration shifts across disparate cohorts, it provides robust, cross-center discriminative generalizability for categorical risk stratification. Rather than serving as an absolute probability estimator, this explainable model functions as a reliable clinical tool to selectively identify high-risk candidates for intensive imaging surveillance. Geographically and ethnically diverse prospective validation remains required prior to broader clinical deployment.</t>
  </si>
  <si>
    <t>Hsu, Heng-Yuan; Lin, Jiunn-Chang; Huang, Chun-Wei; Huang, Song-Fong; Wu, Chun-Yi; Huang, Tun-Sung; Lai, Hung-Fei; Yu, Ming-Chin</t>
  </si>
  <si>
    <t>Yu, MC (corresponding author), New Taipei Municipal Tucheng Hosp, Built &amp; Operated Chang Gung Med Fdn, Div Gen Surg, Dept Surg, 6,Sec 2,Jincheng Rd, New Taipei 23652, Taiwan.</t>
  </si>
  <si>
    <t>mingchin2000@gmail.com</t>
  </si>
  <si>
    <t>Chang Gung Medical Foundation, Taiwan [CMRPVVN0142]; National Science and Technology Council, Taiwan [114-2314-B-182A-139-for MCY]</t>
  </si>
  <si>
    <t>Chang Gung Medical Foundation, Taiwan; National Science and Technology Council, Taiwan</t>
  </si>
  <si>
    <t>This study was supported by the Chang Gung Medical Foundation, Taiwan (Grant No. CMRPVVN0142), and the National Science and Technology Council, Taiwan (Grant No. 114-2314-B-182A-139-for MCY).</t>
  </si>
  <si>
    <t>[Hsu, Heng-Yuan; Huang, Chun-Wei; Huang, Song-Fong; Wu, Chun-Yi; Yu, Ming-Chin] New Taipei Municipal Tucheng Hosp, Built &amp; Operated Chang Gung Med Fdn, Div Gen Surg, Dept Surg, 6,Sec 2,Jincheng Rd, New Taipei 23652, Taiwan; [Lin, Jiunn-Chang; Huang, Tun-Sung; Lai, Hung-Fei] MacKay Mem Hosp, Dept Surg, Taipei 104217, Taiwan; [Lin, Jiunn-Chang; Huang, Tun-Sung; Lai, Hung-Fei] MacKay Jr Coll Med Nursing &amp; Management, New Taipei 112021, Taiwan; [Lin, Jiunn-Chang; Huang, Tun-Sung; Lai, Hung-Fei] MacKay Med Univ, Dept Med, New Taipei 252005, Taiwan; [Huang, Chun-Wei] Fu Jen Catholic Univ, Grad Inst Business Adm, Coll Management, New Taipei 242062, Taiwan; [Huang, Song-Fong] Natl Yang Ming Chiao Tung Univ, Dept Biol Sci &amp; Technol, Hsinchu 30068, Taiwan; [Yu, Ming-Chin] Chang Gung Univ, Coll Med, Taoyuan 33305, Taiwan</t>
  </si>
  <si>
    <t>Mackay Memorial Hospital; Mackay Junior College of Medicine, Nursing &amp; Management; Mackay Medical University; Fu Jen Catholic University; National Yang Ming Chiao Tung University; Chang Gung University</t>
  </si>
  <si>
    <t>Machine-Learning Based Prognostic Model for Predicting Early Recurrence in HCC Patients After Hepatectomies: An Explainable AI Approach</t>
  </si>
  <si>
    <t>JOURNAL OF HEPATOCELLULAR CARCINOMA</t>
  </si>
  <si>
    <t>hepatocellular carcinoma; liver resection; nomogram; SHAP; multicenter validation; machine learning</t>
  </si>
  <si>
    <t>HEPATOCELLULAR-CARCINOMA; INTRAHEPATIC RECURRENCE; RISK-FACTORS; RESECTION</t>
  </si>
  <si>
    <t>Yu, Ming-Chin/D-4464-2018</t>
  </si>
  <si>
    <t>DOVE MEDICAL PRESS LTD</t>
  </si>
  <si>
    <t>ALBANY</t>
  </si>
  <si>
    <t>PO BOX 300-008, ALBANY, AUCKLAND 0752, NEW ZEALAND</t>
  </si>
  <si>
    <t>2253-5969</t>
  </si>
  <si>
    <t>J HEPATOCELL CARCINO</t>
  </si>
  <si>
    <t>J. HEPATOCELL. CARCINOMA</t>
  </si>
  <si>
    <t>618264</t>
  </si>
  <si>
    <t>10.2147/JHC.S618264</t>
  </si>
  <si>
    <t>http://dx.doi.org/10.2147/JHC.S618264</t>
  </si>
  <si>
    <t>KJ5CB</t>
  </si>
  <si>
    <t>42383233</t>
  </si>
  <si>
    <t>WOS:001808437200001</t>
  </si>
  <si>
    <t>Cook, G; Houson, I; Mustoe, C; Maloney, AGP; Schlindwein, W; Markl, D</t>
  </si>
  <si>
    <t>Digital and artificial intelligence (AI)-enabled tools are increasingly being applied across pharmaceutical Chemistry, Manufacturing and Controls (CMC) activities, yet adoption, benefits and regulatory barriers remain incompletely characterised. The Digital CMC Centre of Excellence in Regulatory Science and Innovation (CERSI), led by the University of Strathclyde and supported by the UK Medicines and Healthcare products Regulatory Agency (MHRA), conducted a survey to assess the landscape and inform priorities. A survey was distributed to industry stakeholders, including innovator and generic manufacturers, non-prescription medicine manufacturers, and contract development and manufacturing organisations. Responses were analysed descriptively to evaluate adoption patterns, drivers, barriers, perceptions and support needs. Most respondents reported experience with digital CMC tools, and many reported experiences with AI-enabled tools, across small and large molecule drug substance (DS) and drug product (DP) development. Adoption was more prevalent in small molecule applications, with greater implementation in drug product than drug substance. Fewer than 15% of tools had been included in submissions. Key drivers included process robustness, efficiency, time to market and cost reduction. Principal challenges included culture change, skills gaps and uncertainty regarding regulatory expectations, particularly for AI-enabled applications and evidence requirements for submissions and inspections. Respondents generally agreed that identifiable patient data are not used in Quality/GMDP AI applications, but there was no consensus that current regulatory frameworks fully address AI governance principles. Strong support was expressed for harmonised guidance, training and dialogue. Digital CMC tool adoption is increasing but remains uneven; greater regulatory clarity, harmonisation and collaboration are critical for scalable implementation.</t>
  </si>
  <si>
    <t>Cook, Graham; Houson, Ian; Mustoe, Chantal; Maloney, Andrew G. P.; Schlindwein, Walkiria; Markl, Daniel</t>
  </si>
  <si>
    <t>Markl, D (corresponding author), Univ Strathclyde, Digital CMC CERSI, CMAC, Glasgow City, Scotland.; Schlindwein, W (corresponding author), De Montfort Univ, Leicester Sch Pharm, Leicester, England.</t>
  </si>
  <si>
    <t>wss@dmu.ac.uk; daniel.markl@strath.ac.uk</t>
  </si>
  <si>
    <t>UKRI Medical Research Council (MRC) [MC_PC_24030]; MHRA; Office for Life Sciences (OLS)</t>
  </si>
  <si>
    <t>UKRI Medical Research Council (MRC) (UK Research &amp; Innovation (UKRI), Medical Research Council UK (MRC)); MHRA; Office for Life Sciences (OLS)</t>
  </si>
  <si>
    <t>We thank all industrial respondents for their valuable time, insights, and contributions to the survey. Their input has been essential in informing this work and in strengthening our understanding of the current landscape for digital and AI tools in CMC. This work was funded and supported by the MHRA and the Office for Life Sciences (OLS) managed by Innovate UK with the delivery partner UKRI Medical Research Council (MRC; grant ref: MC_PC_24030).</t>
  </si>
  <si>
    <t>[Cook, Graham] Graham Cook Pharmaceut Consultant, Farnham, England; [Houson, Ian; Mustoe, Chantal; Markl, Daniel] Univ Strathclyde, Digital CMC CERSI, CMAC, Glasgow City, Scotland; [Houson, Ian; Mustoe, Chantal; Markl, Daniel] Univ Strathclyde, Strathclyde Inst Pharm &amp; Biomed Sci, Glasgow City, Scotland; [Maloney, Andrew G. P.] Cambridge Crystallog Data Ctr, Cambridge, England; [Schlindwein, Walkiria] De Montfort Univ, Leicester Sch Pharm, Leicester, England</t>
  </si>
  <si>
    <t>University of Strathclyde; University of Cambridge; De Montfort University</t>
  </si>
  <si>
    <t>Digital and AI-enabled models in pharmaceutical development and manufacturing: a regulatory-focused industry survey</t>
  </si>
  <si>
    <t>INTERNATIONAL JOURNAL OF PHARMACEUTICS</t>
  </si>
  <si>
    <t>Digital CMC; Artificial intelligence; Pharmaceutical manufacturing; Quality by digital design; Regulatory submissions; Regulatory inspections</t>
  </si>
  <si>
    <t>DISSOLUTION</t>
  </si>
  <si>
    <t>Markl, Daniel/I-3436-2019</t>
  </si>
  <si>
    <t>0378-5173</t>
  </si>
  <si>
    <t>1873-3476</t>
  </si>
  <si>
    <t>INT J PHARMACEUT</t>
  </si>
  <si>
    <t>Int. J. Pharm.</t>
  </si>
  <si>
    <t>AUG 10 2026</t>
  </si>
  <si>
    <t>701</t>
  </si>
  <si>
    <t>127177</t>
  </si>
  <si>
    <t>10.1016/j.ijpharm.2026.127177</t>
  </si>
  <si>
    <t>http://dx.doi.org/10.1016/j.ijpharm.2026.127177</t>
  </si>
  <si>
    <t>LK2IW</t>
  </si>
  <si>
    <t>42435921</t>
  </si>
  <si>
    <t>WOS:001826563800001</t>
  </si>
  <si>
    <t>hybrid; Green Accepted</t>
  </si>
  <si>
    <t>Karthikeyan, MV; Samraj, T</t>
  </si>
  <si>
    <t>Introduction: Artificial Intelligence (AI) has emerged as a transformative tool in Precision Oncology (PO), offering advanced capabilities in personalized medicine, drug delivery, and treatment planning. The integration of AI in PO allows for the customization of therapies based on an individual patient's genetic makeup, optimizing treatment efficacy while minimizing toxicity. However, despite these promising advancements, AI's application in oncology also raises significant ethical and regulatory challenges. Patient privacy, autonomy, algorithmic bias, and equitable access to AI-driven healthcare remain pressing concerns. Additionally, regulatory frameworks struggle to keep pace with the rapid advancements in AI technologies. This paper explores the ethical implications and considerations associated with AI in PO, emphasizing the need for a balanced approach to technological innovation and ethical responsibility. Materials and Methods: This study reviews existing literature on AI applications in PO, focusing on ethical considerations and challenges. The methodology involves a comprehensive analysis of current AI-driven PO systems, including their benefits, risks, and ethical dilemmas. Various sources, including academic publications, ethical guidelines and case studies, were examined to provide an in-depth understanding of AI's role in PO. The study categorizes ethical concerns into key areas such as patient privacy, data security, informed consent, algorithmic bias, and equitable access. Additionally, the research investigates regulatory frameworks across different countries, highlighting discrepancies and areas needing improvement. Results: The findings indicate that while AI has significantly enhanced diagnostic accuracy, treatment personalization, and clinical decision-making in PO, numerous ethical and challenges persist. Key results include: Patient Privacy and Data Security, AI-driven PO relies on extensive patient data, raising concerns about confidentiality and unauthorized access. Robust encryption and stringent data-sharing policies are necessary to mitigate risks. Algorithmic Bias, AI models trained on non-diverse datasets may lead to biased treatment recommendations, disproportionately affecting underrepresented populations. Informed Consent and Autonomy, Patients often lack awareness of how AI systems make treatment decisions, necessitating transparent consent procedures. Conclusion: AI presents a ground breaking opportunity to revolutionize PO by enabling more precise and effective treatments. However, ethical considerations must be addressed to ensure that AI-driven solutions uphold patient rights, prevent biases, and promote equitable healthcare access. Future advancements should prioritize patient-centric approaches, interdisciplinary collaboration, and proactive ethical adaptations. Strengthening ethical frameworks and standardizing AI governance can enhance the responsible use of AI in PO, ultimately improving cancer treatment outcomes while safeguarding patient welfare.</t>
  </si>
  <si>
    <t>Karthikeyan, M. V.; Samraj, Tephillah</t>
  </si>
  <si>
    <t>Karthikeyan, MV (corresponding author), St Josephs Inst Technol, Dept Elect &amp; Commun Engn, Chennai 600119, Tamil Nadu, India.</t>
  </si>
  <si>
    <t>karthik.me09@gmail.com</t>
  </si>
  <si>
    <t>[Karthikeyan, M. V.; Samraj, Tephillah] St Josephs Inst Technol, Dept Elect &amp; Commun Engn, Chennai 600119, Tamil Nadu, India</t>
  </si>
  <si>
    <t>New Ethical Thinking Is Needed for Artificial Intelligence-Based Cell and Drug Treatment for Patients Treated with Precision Oncology</t>
  </si>
  <si>
    <t>AI IN PRECISION ONCOLOGY</t>
  </si>
  <si>
    <t>artificial intelligence; precision oncology; ethics; drug delivery; cell therapy; personalized medicine</t>
  </si>
  <si>
    <t>Samraj, Tephillah/GLV-3735-2022; munivel, Dr Karthikeyan/Z-5424-2019</t>
  </si>
  <si>
    <t>2993-091X</t>
  </si>
  <si>
    <t>2993-0928</t>
  </si>
  <si>
    <t>AI PRECIS ONCOL</t>
  </si>
  <si>
    <t>AI Precis. Oncol.</t>
  </si>
  <si>
    <t>APR 1 2025</t>
  </si>
  <si>
    <t>10.1089/aipo.2024.0017</t>
  </si>
  <si>
    <t>http://dx.doi.org/10.1089/aipo.2024.0017</t>
  </si>
  <si>
    <t>Oncology; Medical Informatics</t>
  </si>
  <si>
    <t>HU8YU</t>
  </si>
  <si>
    <t>WOS:001763258900002</t>
  </si>
  <si>
    <t>Das, PR; Talukdar, RR; Kumar, CJ</t>
  </si>
  <si>
    <t>ObjectiveThis study explores the socio-demographic and psychological factors influencing Drug Abstinence Self-Efficacy (DASE) through a combined Statistical and Machine Learning (ML) framework, aiming to enhance understanding and improve intervention strategies for individuals with substance use disorders.MethodsSocio-demographic data sheet and psychological tools are used for collection of data. Statistical analysis is conducted to examine any significant differences in DASE across groups. Various classifiers are used for developing the predictive model that determines DASE. Furthermore, Explainable AI (XAI) technique called Shapley Additive Explanations is used.ResultsStatistical analyses identified significant associations between DASE and factors such as Locus of Control (LOC), Perceived Social Support (PSS) from family, residence type, abstinence period, family relationships, drug type, education, and employment status. Among the ML models, the best-performing model achieved a classification accuracy of 96.70%, suggesting strong potential for accurately identifying individuals with low DASE who may be at higher risk of relapse. SHAP values enhanced model interpretability by highlighting the relative influence of both expected and less apparent predictors, including Family history of substance use, onset of drug use, and overall social support, thereby offering deeper insights beyond traditional statistical analysis.ConclusionThe dual approach-integrating statistical and explainable ML techniques-provides a robust and multidimensional understanding of the factors influencing DASE. The high predictive accuracy and interpretability of the models indicate practical applicability in clinical and community-based addiction recovery settings. This approach supports early identification of high-risk individuals, personalized intervention planning, and aligns with public health goals aimed at promoting long-term recovery and mental well-being.</t>
  </si>
  <si>
    <t>Das, Priti Rekha; Talukdar, Rita Rani; Kumar, Chandan Jyoti</t>
  </si>
  <si>
    <t>Kumar, CJ (corresponding author), Cotton Univ, Dept Comp Sci &amp; IT, Gauhati, Assam, India.</t>
  </si>
  <si>
    <t>chandan14944@gmail.com</t>
  </si>
  <si>
    <t>[Das, Priti Rekha] Univ Sci &amp; Technol Meghalaya, Dept Psychol, Baridua, Meghalaya, India; [Talukdar, Rita Rani] Gauhati Univ, Dept Psychol, Gauhati, Assam, India; [Kumar, Chandan Jyoti] Cotton Univ, Dept Comp Sci &amp; IT, Gauhati, Assam, India</t>
  </si>
  <si>
    <t>Gauhati University</t>
  </si>
  <si>
    <t>Understanding drug abstinence self efficacy through statistical analysis, machine learning and explainable AI</t>
  </si>
  <si>
    <t>DISCOVER PUBLIC HEALTH</t>
  </si>
  <si>
    <t>Substance use disorder; Drug abstinence self-efficacy; Locus of control; Machine learning; Explainable AI</t>
  </si>
  <si>
    <t>ALCOHOL</t>
  </si>
  <si>
    <t>DAS, PRITI/PMG-5260-2026</t>
  </si>
  <si>
    <t>DAS, PRITI REKHA/0000-0003-1144-5112; Kumar, Chandan Jyoti/0000-0003-3160-9217</t>
  </si>
  <si>
    <t>3005-0774</t>
  </si>
  <si>
    <t>DISCOV PUBLIC HEALTH</t>
  </si>
  <si>
    <t>Discov. Public Health</t>
  </si>
  <si>
    <t>AUG 20 2025</t>
  </si>
  <si>
    <t>487</t>
  </si>
  <si>
    <t>10.1186/s12982-025-00879-x</t>
  </si>
  <si>
    <t>http://dx.doi.org/10.1186/s12982-025-00879-x</t>
  </si>
  <si>
    <t>6JD3Y</t>
  </si>
  <si>
    <t>WOS:001554601800005</t>
  </si>
  <si>
    <t>Guha, S; Bhandage, V</t>
  </si>
  <si>
    <t>Glaucoma is the leading cause of irreversible blindness, affecting over 70 million people. While deep learning models offer great diagnostic performance, their 'closed-box' nature acts as a barrier to clinical implementations, as clinicians require transparency in the decision-making process before trusting the automated systems entirely. While post-hoc methods such as Grad-Cam, LIME and SHAP can help visualize results and provide explanations, they cannot influence or control the way the model focuses on features. In this study, we propose a model-agnostic SHAP-guided weight adjustment framework that shifts explainability from a retrospective tool to an active training tool. By utilizing the SHAP values of each feature and augmenting the classifier weights with said values, we steer the model to focus on relevant features and ignore noise. Evaluated on the EyePACS-AIROGS-light-V2 dataset, our modified models (DenseNet-121 and ResNet-50) demonstrated consistent improvement across key metrics. Quantitative interpretability analysis confirmed progressive alignment between SHAP values and model weights, demonstrating consistent and stable feature prioritization.</t>
  </si>
  <si>
    <t>Guha, Shagnik; Bhandage, Venkatesh</t>
  </si>
  <si>
    <t>Bhandage, V (corresponding author), Manipal Inst Technol, Manipal Acad Higher Educ, Manipal 576104, India.</t>
  </si>
  <si>
    <t>venkatesh.bhandage@manipal.edu</t>
  </si>
  <si>
    <t>This work was supported by the Manipal Academy of Higher Education, Manipal.</t>
  </si>
  <si>
    <t>[Guha, Shagnik; Bhandage, Venkatesh] Manipal Inst Technol, Manipal Acad Higher Educ, Manipal 576104, India</t>
  </si>
  <si>
    <t>Explainable-AI Guided Deep Learning for Glaucoma Detection: Feature-Weighting Approach Using SHAP Values</t>
  </si>
  <si>
    <t>Licenses; Modeling; Nuclear facility regulation; Accuracy; Training; Glaucoma; Testing; Sensitivity; Visualization; Ranking (statistics); Deep learning; FUNDUS images; Grad-CAM; glaucoma detection; explainable AI</t>
  </si>
  <si>
    <t>Bhandage, Venkatesh/JJE-1845-2023</t>
  </si>
  <si>
    <t>Bhandage, Venkatesh/0000-0002-9503-8196</t>
  </si>
  <si>
    <t>73792</t>
  </si>
  <si>
    <t>73801</t>
  </si>
  <si>
    <t>10.1109/ACCESS.2026.3692694</t>
  </si>
  <si>
    <t>http://dx.doi.org/10.1109/ACCESS.2026.3692694</t>
  </si>
  <si>
    <t>IG3YV</t>
  </si>
  <si>
    <t>WOS:001771058600026</t>
  </si>
  <si>
    <t>Lan, ZY; Lempereur, M; Aïssa-El-Bey, A; Brochard, S; Rousseau, F</t>
  </si>
  <si>
    <t>Gait disorders can be caused by various reasons including cerebral palsy and neuromuscular diseases. 3D clinical gait analysis (3DGA) serves as a valuable clinical tool to assess gait abnormalities. Our previous research introduced a diagnostic tool that combines deep learning (DL) with 3DGA to evaluate childhood gait disorders. It achieved a promising diagnostic accuracy ranging from 0.77 to 0.99 across different pathologies. However, the lack of transparency limits their adoption. This research seeks to unveil the critical features that drive these models' diagnoses, improving interpretability and building trust in their decision-making process. Four different explaining artificial intelligence (XAI) methods were applied: LIME, DeepLift, Integrated Gradients, and sequential feature selection. These methods were used on various network architectures applied to three separate datasets involving different gait disorders. The results show that the features highlighted by XAI methods are relevant and reliable for diagnostic purposes. Moreover, quantitative analysis indicated that Integrated Gradients is the most appropriate XAI method in this case. Further experiments demonstrate that using parts of the critical features can achieve better accuracy than using all of the features. In conclusion, this research identified the diagnostic basis of DL models through XAI methods, enhanced diagnostic accuracy by focusing on critical features, and improved clinicians' understanding and trust in the DL diagnostic tool.</t>
  </si>
  <si>
    <t>Lan, Zhengyang; Lempereur, Mathieu; Aissa-El-Bey, Abdeldjalil; Brochard, Sylvain; Rousseau, Francois</t>
  </si>
  <si>
    <t>Lempereur, M (corresponding author), INSERM, Lab Traitement Informat Medicale, U1101, Brest, France.; Lempereur, M (corresponding author), Univ Bretagne Occidentale, Brest, France.; Lempereur, M (corresponding author), CHU Brest, Hop Morvan, Serv Med Phys &amp; Readaptat, 2 Ave Foch, F-29609 Brest, France.</t>
  </si>
  <si>
    <t>mathieu.lempereur@univ-brest.fr</t>
  </si>
  <si>
    <t>ANR AI4CHILD Project [ANR-19-CHIA-0015]</t>
  </si>
  <si>
    <t>ANR AI4CHILD Project (Agence Nationale de la Recherche (ANR), Association Nationale de la Recherche et de la Technologie (ANRT))</t>
  </si>
  <si>
    <t>This research was supported by the ANR AI4CHILD Project (Grant ANR-19- CHIA-0015), funded by the French National Research Agency and Brest Metropole Oceane.</t>
  </si>
  <si>
    <t>[Lan, Zhengyang; Lempereur, Mathieu; Brochard, Sylvain; Rousseau, Francois] INSERM, Lab Traitement Informat Medicale, U1101, Brest, France; [Lempereur, Mathieu; Brochard, Sylvain] Univ Bretagne Occidentale, Brest, France; [Lempereur, Mathieu; Brochard, Sylvain] CHU Brest, Hop Morvan, Serv Med Phys &amp; Readaptat, 2 Ave Foch, F-29609 Brest, France; [Lan, Zhengyang; Rousseau, Francois] INSERM, IMT Atlantique, U1101, LaTIM, Brest, France; [Aissa-El-Bey, Abdeldjalil] IMT Atlantique, UMR, Lab STICC, CNRS 6285, Brest, France</t>
  </si>
  <si>
    <t>Institut National de la Sante et de la Recherche Medicale (Inserm); Universite de Bretagne Occidentale; Universite de Bretagne Occidentale; Universite de Bretagne Occidentale; CHU Brest; Universite de Bretagne Occidentale; Institut National de la Sante et de la Recherche Medicale (Inserm); IMT - Institut Mines-Telecom; IMT Atlantique; IMT - Institut Mines-Telecom; Universite de Bretagne Occidentale; Centre National de la Recherche Scientifique (CNRS); IMT Atlantique</t>
  </si>
  <si>
    <t>Quantitative comparison of explainable AI methods for interpreting deep learning-based classification of 3D gait kinematics</t>
  </si>
  <si>
    <t>Cerebral palsy; Deep learning; Diagnostic tool; Times series classification; Explainable artificial intelligence (XAI)</t>
  </si>
  <si>
    <t>CHILDREN</t>
  </si>
  <si>
    <t>Brochard, Sylvain/AAI-7291-2021; Mathieu, Lempereur/G-5470-2012</t>
  </si>
  <si>
    <t>15560</t>
  </si>
  <si>
    <t>10.1038/s41598-026-46243-0</t>
  </si>
  <si>
    <t>http://dx.doi.org/10.1038/s41598-026-46243-0</t>
  </si>
  <si>
    <t>IG4OX</t>
  </si>
  <si>
    <t>41917155</t>
  </si>
  <si>
    <t>WOS:001771100400008</t>
  </si>
  <si>
    <t>Wang, DY; Ding, J; Sun, AL; Liu, SG; Jiang, D; Li, N; Yu, JK</t>
  </si>
  <si>
    <t>Background Incorporating artificial intelligence (AI) into clinics brings the risk of automation bias, which potentially misleads the clinician's decision-making. The purpose of this study was to propose a potential strategy to mitigate automation bias. Methods This was a laboratory study with a randomized cross-over design. The diagnosis of anterior cruciate ligament (ACL) rupture, a common injury, on magnetic resonance imaging (MRI) was used as an example. Forty clinicians were invited to diagnose 200 ACLs with and without AI assistance. The AI's correcting and misleading (automation bias) effects on the clinicians' decision-making processes were analyzed. An ordinal logistic regression model was employed to predict the correcting and misleading probabilities of the AI. We further proposed an AI suppression strategy that retracted AI diagnoses with a higher misleading probability and provided AI diagnoses with a higher correcting probability. Results The AI significantly increased clinicians' accuracy from 87.2%&amp; PLUSMN;13.1% to 96.4%&amp; PLUSMN;1.9% (P &lt; .001). However, the clinicians' errors in the AI-assisted round were associated with automation bias, accounting for 45.5% of the total mistakes. The automation bias was found to affect clinicians of all levels of expertise. Using a logistic regression model, we identified an AI output zone with higher probability to generate misleading diagnoses. The proposed AI suppression strategy was estimated to decrease clinicians' automation bias by 41.7%. Conclusion Although AI improved clinicians' diagnostic performance, automation bias was a serious problem that should be addressed in clinical practice. The proposed AI suppression strategy is a practical method for decreasing automation bias.</t>
  </si>
  <si>
    <t>Wang, Ding-Yu; Ding, Jia; Sun, An-Lan; Liu, Shang-Gui; Jiang, Dong; Li, Nan; Yu, Jia-Kuo</t>
  </si>
  <si>
    <t>Yu, JK (corresponding author), Peking Univ Third Hosp, Dept Sports Med, 49 North Garden Rd, Beijing 10019, Peoples R China.; Li, N (corresponding author), Peking Univ Third Hosp, Res Ctr Clin Epidemiol, 49 North Garden Rd, Beijing 100191, Peoples R China.</t>
  </si>
  <si>
    <t>yujiakuo@126.com</t>
  </si>
  <si>
    <t>[Wang, Ding-Yu; Liu, Shang-Gui; Jiang, Dong; Yu, Jia-Kuo] Peking Univ, Peking Univ Third Hosp, Dept Sports Med, Inst Sports Med, Beijing, Peoples R China; [Wang, Ding-Yu; Liu, Shang-Gui; Jiang, Dong; Yu, Jia-Kuo] Beijing Key Lab Sports Injuries, Beijing, Peoples R China; [Wang, Ding-Yu; Liu, Shang-Gui; Jiang, Dong; Yu, Jia-Kuo] Minist Educ, Engn Res Ctr Sports Trauma Treatment Technol &amp; Dev, Beijing, Peoples R China; [Ding, Jia; Sun, An-Lan] Beijing Yizhun Med AI Co Ltd, Beijing, Peoples R China; [Li, Nan] Peking Univ Third Hosp, Res Ctr Clin Epidemiol, Beijing, Peoples R China; [Yu, Jia-Kuo] Peking Univ Third Hosp, Dept Sports Med, 49 North Garden Rd, Beijing 10019, Peoples R China; [Li, Nan] Peking Univ Third Hosp, Res Ctr Clin Epidemiol, 49 North Garden Rd, Beijing 100191, Peoples R China</t>
  </si>
  <si>
    <t>Peking University; Peking University; Peking University</t>
  </si>
  <si>
    <t>Artificial intelligence suppression as a strategy to mitigate artificial intelligence automation bias</t>
  </si>
  <si>
    <t>deep learning; automation bias; AI suppression; clinician-AI interaction</t>
  </si>
  <si>
    <t>Wang, Yuqing/JVZ-7185-2024; LI, Nan/HKN-0425-2023; Yu, Jia-Kuo/ISS-2254-2023</t>
  </si>
  <si>
    <t>Yu, Jia-Kuo/0000-0001-6260-7017</t>
  </si>
  <si>
    <t>98</t>
  </si>
  <si>
    <t>SEP 25 2023</t>
  </si>
  <si>
    <t>1684</t>
  </si>
  <si>
    <t>1692</t>
  </si>
  <si>
    <t>10.1093/jamia/ocad118</t>
  </si>
  <si>
    <t>http://dx.doi.org/10.1093/jamia/ocad118</t>
  </si>
  <si>
    <t>T4AD3</t>
  </si>
  <si>
    <t>37561535</t>
  </si>
  <si>
    <t>WOS:001044689600001</t>
  </si>
  <si>
    <t>Ansari, ZA; Khan, W; Ansari, MSH; Fatima, S; Siddiqui, S</t>
  </si>
  <si>
    <t>Heart disease continues to be one of the leading causes of mortality worldwide, which highlights the immediate need for accurate and interpretable predictive models to support early detection. This work mainly focused a reasonable assessment of various effective machine learning (ML) Algorithms: Logistic Regression (LR), Support Vector Machine (SVM), Decision Tree (DT), Random Forest (RF), XG-Boost, Naive Bayes (NB), and K-Nearest Neighbours (KNN) applied to the publicly available UCI heart disease dataset. To address the critical challenge of explainability in clinical decision support systems, Our proposed dual explainability framework combining Local Interpretable Model-Agnostic Explanations (LIME) and Permutation Feature Importance (PFI) was implemented and evaluated using the publicly available UCI Cleveland Heart Disease dataset (n = 303). The framework achieved robust predictive accuracy and consistent interpretability across multiple machine learning models. While the results demonstrate strong internal validation, they are based solely on this dataset, and future work will extend the framework to larger and multi-institutional datasets to ensure broader clinical generalizability. Finally, performance has been evaluated using accuracy, precision, recall, and F1-score. Among all classifiers, the results show that Random Forest and Decision Tree achieved the highest predictive accuracy of 99%. The combined use of LIME and PFI revealed that features such as ST depression (oldpeak), chest pain type, and maximum heart rate (thalach) consistently influenced predictions. This dual-layer interpretability framework enhances the transparency of ML predictions and supports trustworthy AI-driven decision-making in healthcare.</t>
  </si>
  <si>
    <t>Ansari, Zulfikar Ali; Khan, Wasim; Ansari, Md Shamsul Haque; Fatima, Shahin; Siddiqui, Shadab</t>
  </si>
  <si>
    <t>Ansari, ZA (corresponding author), Symbiosis Int, Symbiosis Inst Technol PUNE, Artificial Intelligence &amp; Machine Learning, Pune 412115, Maharashtra, India.</t>
  </si>
  <si>
    <t>shadab.siddiqui@klh.edu.in; zulfi78692@gmail.com; khanwasim051@gmail.com; shahin.fatima@klh.edu.in; Shamsshamsul@gmail.com</t>
  </si>
  <si>
    <t>Symbiosis International (Deemed University)</t>
  </si>
  <si>
    <t>Open access funding provided by Symbiosis International (Deemed University).</t>
  </si>
  <si>
    <t>[Ansari, Zulfikar Ali; Khan, Wasim] Symbiosis Int, Symbiosis Inst Technol PUNE, Artificial Intelligence &amp; Machine Learning, Pune 412115, Maharashtra, India; [Ansari, Md Shamsul Haque] UPES, Sch Comp Sci, Dehra Dun, Uttarakhand, India; [Fatima, Shahin; Siddiqui, Shadab] Koneru Lakshmaiah Educ Fdn, Dept CSE, AzizNagar Campus, Hyderabad 500075, Telangana, India</t>
  </si>
  <si>
    <t>Symbiosis International University; Symbiosis Institute of Technology (SIT); University of Petroleum &amp; Energy Studies (UPES); Koneru Lakshmaiah Education Foundation (K L Deemed to be University)</t>
  </si>
  <si>
    <t>Dual explainability framework for heart disease prediction using LIME and permutation feature importance</t>
  </si>
  <si>
    <t>DISCOVER APPLIED SCIENCES</t>
  </si>
  <si>
    <t>Heart Disease; Machine Learning; Explainable AI; LIME</t>
  </si>
  <si>
    <t>ANSARI, SHAMSUL HAQUE/JMC-1042-2023; Ali, Zulfikar/HHS-9683-2022; Khan, Wasim/GPK-4709-2022; SIDDIQUI, SHADAB/AAC-6653-2019; Fatima, Dr. Shahin/MCK-5593-2025</t>
  </si>
  <si>
    <t>ANSARI, SHAMSUL HAQUE/0000-0003-0053-9332; Khan, Wasim/0000-0003-2311-1451; SIDDIQUI, SHADAB/0000-0001-9389-424X</t>
  </si>
  <si>
    <t>3004-9261</t>
  </si>
  <si>
    <t>DISCOV APPL SCI</t>
  </si>
  <si>
    <t>DISCOV. APPL. SCI.</t>
  </si>
  <si>
    <t>10.1007/s42452-025-08108-5</t>
  </si>
  <si>
    <t>http://dx.doi.org/10.1007/s42452-025-08108-5</t>
  </si>
  <si>
    <t>AL5TW</t>
  </si>
  <si>
    <t>WOS:001651004000001</t>
  </si>
  <si>
    <t>Dokare, I; Gupta, S</t>
  </si>
  <si>
    <t>The aim of this research is to combine Explainable AI (XAI) with advanced optimization techniques to provide a unique framework for seizure detection. This proposed work investigates how to enhance patient-specific and patient-non-specific seizure detection models by combining multiband feature extraction, SHAP-based feature selection, SMOTE, and a metaheuristic algorithm for hyperparameter tuning.The discrete wavelet transform (DWT) is used to decompose EEG signals to retrieve entropy-based and statistical information. Simulated Annealing (SA) is employed to optimize the Random Forest (RF) classifier's hyperparameters, and SHAP (SHapley Additive exPlanations) values are utilized for feature selection. Furthermore, a novel technique SHAP-RELFR has been demonstrated to select patient-non-specific features. Additionally, SMOTE is employed to handle imbalanced data. The proposed methodology is evaluated on the CHB-MIT and Siena datasets using both patient-specific and patient-non-specific feature selection approaches. Experimental findings demonstrate that the proposed methodology significantly improves the performance of seizure detection. The average accuracy, precision, sensitivity, specificity, F1-score, and AUC obtained for a patient-non-specific case are 96.58%, 95.19%, 94.52%, 98.02%, 94.72%, and 0.9452, respectively, using the CHB-MIT dataset. For the Seina dataset, the average accuracy, precision, sensitivity, specificity, F1-score, and AUC obtained for a patient-non-specific case are 94.81%, 94.51%, 94.04%, 96.87%, 94.28%, and 0.9400, respectively. Explainable AI combined with SMOTE and a metaheuristic optimization algorithm facilitates an enhanced seizure detection. The novel SHAP-RELFR method provides an effective patient-non-specific feature selection, enabling this approach to be applicable across diverse patients. This proposed framework offers a step toward enhancing clinical decision-making by providing interpretable and versatile seizure detection models.</t>
  </si>
  <si>
    <t>Dokare, Indu; Gupta, Sudha</t>
  </si>
  <si>
    <t>Dokare, I (corresponding author), Somaiya Vidyavihar Univ, KJ Somaiya Coll Engn, Dept Elect Engn, Mumbai 400077, Maharashtra, India.; Dokare, I (corresponding author), Vivekanand Educ Soc Inst Technol, Dept Comp Engn, Mumbai 400074, Maharashtra, India.</t>
  </si>
  <si>
    <t>indu.dokare@somaiya.edu; sudhagupta@somaiya.edu</t>
  </si>
  <si>
    <t>[Dokare, Indu; Gupta, Sudha] Somaiya Vidyavihar Univ, KJ Somaiya Coll Engn, Dept Elect Engn, Mumbai 400077, Maharashtra, India; [Dokare, Indu] Vivekanand Educ Soc Inst Technol, Dept Comp Engn, Mumbai 400074, Maharashtra, India</t>
  </si>
  <si>
    <t>Somaiya Vidyavihar University; K J Somaiya College of Engineering</t>
  </si>
  <si>
    <t>Shap-driven explainable AI with simulated annealing for optimized seizure detection using multichannel EEG signal</t>
  </si>
  <si>
    <t>COGNITIVE NEURODYNAMICS</t>
  </si>
  <si>
    <t>Epilepsy; Multichannel EEG; Explainable artificial intelligence (XAI); SHAP-RELFR; Simulated annealing; Random forest</t>
  </si>
  <si>
    <t>EPILEPSY; SMOTE</t>
  </si>
  <si>
    <t>Dokare, Indu/F-1552-2019</t>
  </si>
  <si>
    <t>1871-4080</t>
  </si>
  <si>
    <t>1871-4099</t>
  </si>
  <si>
    <t>COGN NEURODYNAMICS</t>
  </si>
  <si>
    <t>Cogn. Neurodynamics</t>
  </si>
  <si>
    <t>JUN 5 2025</t>
  </si>
  <si>
    <t>10.1007/s11571-025-10269-3</t>
  </si>
  <si>
    <t>http://dx.doi.org/10.1007/s11571-025-10269-3</t>
  </si>
  <si>
    <t>Neurosciences</t>
  </si>
  <si>
    <t>3KW6T</t>
  </si>
  <si>
    <t>40485846</t>
  </si>
  <si>
    <t>WOS:001502781100001</t>
  </si>
  <si>
    <t>Thampy, SA; Angelina, JJR</t>
  </si>
  <si>
    <t>Emotion recognition plays a crucial role in applications such as human-computer interaction, healthcare, adaptive learning, and social media analysis. However, existing multimodal frameworks often struggle to effectively model paralinguistic features and manage the random fusion of different modalities, resulting in misclassifications and limited interpretability. To address these challenges, this paper introduces TriModal-SentiXNet, a novel multimodal framework designed for dual emotion and sentiment recognition using text, speech, and facial expressions. The framework operates in three main stages: pre-processing, feature extraction, and explainable classification. The pre-processing phase employs a Multimodal Adaptive Pre-processing (MAP) method that enhances input quality by denoising speech, standardizing visual frames, and semantically enriching textual data. For feature extraction, the RoBi-FuseNet architecture learns comprehensive contextual representations from each modality while effectively modeling temporal dynamics and cross-modal interactions to improve recognition accuracy. Explainable classification is achieved using SHapley Additive exPlanations (SHAP), which provides transparency by quantifying each modality's contribution and ensuring balanced influence. The integration of adaptive pre-processing and context-aware fusion strengthens robustness, interpretability, and overall system reliability. Experimental evaluations on benchmark datasets CMU-MOSEI and CMU-MOSI demonstrate notable performance gains, achieving accuracies of 87.92 and 86%, respectively. These results surpass unimodal and existing multimodal baselines, establishing TriModal-SentiXNet as a promising step toward ethical, transparent, and context-aware emotion recognition systems suitable for real-world deployment.</t>
  </si>
  <si>
    <t>Thampy, S. Anjana; Angelina, Jeyaraj Jane Rubel</t>
  </si>
  <si>
    <t>Thampy, SA (corresponding author), Kalasalingam Acad Res &amp; Educ, Krishnankoil 626126, Tamil Nadu, India.</t>
  </si>
  <si>
    <t>sanjanathampy@gmail.com</t>
  </si>
  <si>
    <t>[Thampy, S. Anjana; Angelina, Jeyaraj Jane Rubel] Kalasalingam Acad Res &amp; Educ, Krishnankoil 626126, Tamil Nadu, India</t>
  </si>
  <si>
    <t>Kalasalingam Academy of Research &amp; Education</t>
  </si>
  <si>
    <t>Multimodal Sentiment and Emotion Detection Using Hybrid Fusion of Text, Audio, and Image with Explainable AI Integration</t>
  </si>
  <si>
    <t>OPTICAL MEMORY AND NEURAL NETWORKS</t>
  </si>
  <si>
    <t>Multimodal emotion recognition; sentiment analysis; RoBi-FuseNet; adaptive pre-processing; speech analysis; facial expression recognition; SHAP explainability; CMU-MOSEI; CMU-MOSI</t>
  </si>
  <si>
    <t>THE CAMPUS, 4 CRINAN ST, LONDON, N1 9XW, ENGLAND</t>
  </si>
  <si>
    <t>1060-992X</t>
  </si>
  <si>
    <t>1934-7898</t>
  </si>
  <si>
    <t>OPT MEMORY NEURAL</t>
  </si>
  <si>
    <t>Opt. Mem. Neural Netw.</t>
  </si>
  <si>
    <t>294</t>
  </si>
  <si>
    <t>317</t>
  </si>
  <si>
    <t>10.3103/S1060992X25602817</t>
  </si>
  <si>
    <t>http://dx.doi.org/10.3103/S1060992X25602817</t>
  </si>
  <si>
    <t>Optics</t>
  </si>
  <si>
    <t>KF5HO</t>
  </si>
  <si>
    <t>WOS:001805739600010</t>
  </si>
  <si>
    <t>Fatima, M; Zia, R; Usmani, IA; Turzhanova, D; Ullah, R</t>
  </si>
  <si>
    <t>Accurate and understandable interpretation of mammograms is fundamental to dependable identification of breast cancer, which facilitates clinical trust and usefulness. The framework proposed in this paper is known as the ResNet50HierarchicalMultiScaleCross-Attention (HMC) Network, building upon ResNet50 by embedding Hierarchical Self Attention and Multi-Scale Cross Attention modules for enriched feature representation toward mammogram-based detection of breast cancer. Intra-layer self-attention together with inter-layer cross-attention may enable the model to learn local as well as global patterns and hence improve performance for classification tasks on the MIAS dataset. For explainability issues, Grad-CAMs, Grad-CAM++, and Score-CAM are included in the architecture. Such methods yield heatmaps whose more clinically relevant regions can be made explicit for automated diagnostics to become transparent and trusted. With a 5-fold cross-validation run, it attained a mean accuracy of 0.9972 (+/- 0.05), a mean precision value of 0.9851 (+/- 0.13), a recall of 0.9899 (+/- 0.19), F1-score that amounted to 0.9864 (+/- 0.07). The values for AUC-ROC and specificity were found to be quite high at 0.99(+/- 0.01) and about 0.9978(+/- 0.09), respectively, basically beating most baseline models like ResNet50, VGG19, VGG16, and ViT among others in performance metrics variance as indicated by the Friedman test (p-value=0.002&lt; 0.05). Between ResNet50 with Hierarchical Attention, ResNet50 with Multi-Scale Attention, and the proposed model using the Nemenyi post-hoc test, HMC-Attention clearly outperformed standard ResNet50; learning curves for stable convergence with limited overfitting provided evidence-based support that mammogram analysis is both accurate and transparent: the new baseline for automated diagnostics. This framework unites sturdy, profound implementation of deep learning with medical elucidation, setting paths toward trustworthy computer-supported diagnostic tools.</t>
  </si>
  <si>
    <t>Fatima, Maria; Zia, Razia; Usmani, Irfan Ahmed; Turzhanova, Dinara; Ullah, Rahmat</t>
  </si>
  <si>
    <t>Ullah, R (corresponding author), Univ Essex, Sch Comp Sci &amp; Elect Engn, Colchester, England.</t>
  </si>
  <si>
    <t>rahmat.ullah@essex.ac.uk</t>
  </si>
  <si>
    <t>[Fatima, Maria; Zia, Razia] Sir Syed Univ Engn &amp; Technol, Dept Elect Engn, Karachi, Pakistan; [Zia, Razia] Iqra Univ, Fac Engn Sci &amp; Technol, Dept Comp Sci, Karachi, Pakistan; [Usmani, Irfan Ahmed] Salim Habib Univ, Barrett Hodgson Univ, Biomed Engn Dept, Karachi, Pakistan; [Turzhanova, Dinara] Astana Med Univ, Sci Res Inst Radiol, Astana, Kazakhstan; [Ullah, Rahmat] Univ Essex, Sch Comp Sci &amp; Elect Engn, Colchester, England</t>
  </si>
  <si>
    <t>Sir Syed University of Engineering &amp; Technology; Iqra University; Astana Medical University; University of Essex</t>
  </si>
  <si>
    <t>HMC-net: a ResNet fused hierarchical multi-scale cross-attention architecture for mammographic breast malignancy recognition incorporating explainable AI</t>
  </si>
  <si>
    <t>breast cancer diagnosis; deep learning; explainable AI; Grad-CAM; hierarchical self-attention; mammogram classification; multi-scale cross-attention; Resnet</t>
  </si>
  <si>
    <t>DEEP NEURAL-NETWORKS; CANCER; IDENTIFICATION; TRANSFORMER; FRAMEWORK; CNN</t>
  </si>
  <si>
    <t>Usmani, Irfan/HTN-9647-2023; Zia, Dr Razia/AAX-7964-2021</t>
  </si>
  <si>
    <t>93</t>
  </si>
  <si>
    <t>1787210</t>
  </si>
  <si>
    <t>10.3389/fonc.2026.1787210</t>
  </si>
  <si>
    <t>http://dx.doi.org/10.3389/fonc.2026.1787210</t>
  </si>
  <si>
    <t>GZ8CI</t>
  </si>
  <si>
    <t>42052456</t>
  </si>
  <si>
    <t>WOS:001748953800001</t>
  </si>
  <si>
    <t>Ye, WJ; Yang, JC; Li, XM; Chen, X; Zou, FT; Gu, W</t>
  </si>
  <si>
    <t>Background: Quantifying ventilation/perfusion (V/Q) scintigraphy and reducing errors caused by subjective interpretation of approximate grayscale images are clinically and analytically challenging. Objectives: This study aims to objectively quantify V/Q results by developing a novel convolutional neural network architecture. Methods: In this retrospective study, we collected data from patients with acute pulmonary embolism (PE). We proposed PENet, a lightweight neural network architecture based on depthwise separable convolution for identifying defect areas in V/Q scans. The defect area percentage (DA%) was obtained through threshold setting to quantify the mismatch range. The significance and accuracy of our model were verified by combining clinical data. We collected 4608 original scans from 288 patients as the preliminary dataset. We set the pixel threshold value to 30. Results: PENet demonstrated accuracy (87.47 %), precision (89.22 %), and F1-score (91.01 %), superior to those of classical and other lightweight models. Spearman's rank correlation coefficient revealed correlations between DA%(max) and N-terminal pro-brain natriuretic peptide, DA%(min) and age, average DA% and age, average DA% and troponin I, DA%(sum) and age, and DA%(sum) and predicted percentage of diffusing lung capacity for carbon monoxide (P &lt; .05). DA%(max) (P = .004), DA%(sum) (P = .004), and average DA% (P = .006) differed significantly among PE risk groups. With the assistance of PENet, junior radiologists could achieve a high degree of consistency with senior radiologists (kappa=0.832, P &lt; .001). Conclusions: The accuracy of PENet reached 87.47 %. DA% calculated automatically could reflect PE severity and correlate well with clinical data. PENet shows promising results for clinical use.</t>
  </si>
  <si>
    <t>Ye, Wenjing; Yang, Jingcheng; Li, Xiaoming; Chen, Xi; Zou, Futai; Gu, Wen</t>
  </si>
  <si>
    <t>Gu, W (corresponding author), Shanghai Jiao Tong Univ, Sch Med, Dept Respirat, Xinhua Hosp, Shanghai 200092, Peoples R China.</t>
  </si>
  <si>
    <t>guwen@xinhuamed.com.cn</t>
  </si>
  <si>
    <t>Hospital Funded Clinical Research, Xin Hua Hospital Affiliated to Shanghai Jiao Tong University School of Medicine [24XHCR02C]; Shanghai Science and Technology Com-mission [22Y11901700]</t>
  </si>
  <si>
    <t>Hospital Funded Clinical Research, Xin Hua Hospital Affiliated to Shanghai Jiao Tong University School of Medicine; Shanghai Science and Technology Com-mission (Science &amp; Technology Commission of Shanghai Municipality (STCSM))</t>
  </si>
  <si>
    <t>This study was supported by Hospital Funded Clinical Research, Xin Hua Hospital Affiliated to Shanghai Jiao Tong University School of Medicine (24XHCR02C) and Shanghai Science and Technology Com-mission (22Y11901700) .</t>
  </si>
  <si>
    <t>[Ye, Wenjing; Li, Xiaoming; Chen, Xi; Gu, Wen] Shanghai Jiao Tong Univ, Xinhua Hosp, Sch Med, Dept Resp Med, Shanghai, Peoples R China; [Yang, Jingcheng; Zou, Futai] Shanghai Jiao Tong Univ, Sch Elect Informat &amp; Elect Engn, Shanghai, Peoples R China</t>
  </si>
  <si>
    <t>Shanghai Jiao Tong University; Shanghai Jiao Tong University</t>
  </si>
  <si>
    <t>Using lightweight convolutional neural network to identify ventilation/ perfusion scintigraphy for acute pulmonary embolism</t>
  </si>
  <si>
    <t>HEART &amp; LUNG</t>
  </si>
  <si>
    <t>Pulmonary embolism; Ventilation/perfusion scintigraphy; Deep learning; Trustworthy artificial intelligence; Depthwise separable convolution</t>
  </si>
  <si>
    <t>VASCULAR OBSTRUCTION; DIAGNOSIS</t>
  </si>
  <si>
    <t>Gu, Wen/M-2161-2015; Li, Xiaoming/OHR-3997-2025</t>
  </si>
  <si>
    <t>Gu, Wen/0000-0003-1414-0605</t>
  </si>
  <si>
    <t>MOSBY-ELSEVIER</t>
  </si>
  <si>
    <t>360 PARK AVENUE SOUTH, NEW YORK, NY 10010-1710 USA</t>
  </si>
  <si>
    <t>0147-9563</t>
  </si>
  <si>
    <t>1527-3288</t>
  </si>
  <si>
    <t>HEART LUNG</t>
  </si>
  <si>
    <t>Heart Lung</t>
  </si>
  <si>
    <t>NOV-DEC 2025</t>
  </si>
  <si>
    <t>198</t>
  </si>
  <si>
    <t>205</t>
  </si>
  <si>
    <t>10.1016/j.hrtlng.2025.07.012</t>
  </si>
  <si>
    <t>http://dx.doi.org/10.1016/j.hrtlng.2025.07.012</t>
  </si>
  <si>
    <t>Cardiac &amp; Cardiovascular Systems; Nursing; Respiratory System</t>
  </si>
  <si>
    <t>Cardiovascular System &amp; Cardiology; Nursing; Respiratory System</t>
  </si>
  <si>
    <t>5PR6U</t>
  </si>
  <si>
    <t>40706132</t>
  </si>
  <si>
    <t>WOS:001541373500002</t>
  </si>
  <si>
    <t>Jia, HX; Zhang, JL; Ma, KJ; Qiao, XY; Ren, LJ; Shi, X</t>
  </si>
  <si>
    <t>Background: In the field of medical imaging, the rapid rise of convolutional neural networks (CNNs) has presented significant opportunities for conserving healthcare resources. However, with the wide spread application of CNNs, several challenges have emerged, such as enormous data annotation costs, difficulties in ensuring user privacy and security, weak model interpretability, and the consumption of substantial computational resources. The fundamental challenge lies in optimizing and seamlessly integrating CNN technology to enhance the precision and efficiency of medical diagnosis. Methods: This study sought to provide a comprehensive bibliometric overview of current research on the application of CNNs in medical imaging. Initially, bibliometric methods were used to calculate the frequency statistics, and perform the cluster analysis and the co -citation analysis of countries, institutions, authors, keywords, and references. Subsequently, the latent Dirichlet allocation (LDA) method was employed for the topic modeling of the literature. Next, an in-depth analysis of the topics was conducted, and the topics in the medical field, technical aspects, and trends in topic evolution were summarized. Finally, by integrating the bibliometrics and LDA results, the developmental trajectory, milestones, and future directions in this field were outlined. Results: A data set containing 6,310 articles in this field published from January 2013 to December 2023 was complied. With a total of 55,538 articles, the United States led in terms of the citation count, while in terms of the publication volume, China led with 2,385 articles. Harvard University emerged as the most influential institution, boasting an average of 69.92 citations per article. Within the realm of CNNs, residual neural network (ResNet) and U -Net stood out, receiving 1,602 and 1,419 citations, respectively, which highlights the significant attention these models have received. The impact of coronavirus disease 2019 (COVID-19) was unmistakable, as reflected by the publication of 597 articles, making it a focal point of research. Additionally, among various disease topics, with 290 articles, brain -related research was the most prevalent. Computed tomography (CT) imaging dominated the research landscape, representing 73% of the 30 different topics. Conclusions: Over the past 11 years, CNN -related research in medical imaging has grown exponentially. The findings of the present study provide insights into the field's status and research hotspots. In addition, this article meticulously chronicled the development of CNNs and highlighted key milestones, starting with LeNet in 1989, followed by a challenging 20 -year exploration period, and culminating in the breakthrough moment with AlexNet in 2012. Finally, this article explored recent advancements in CNN technology, including semi -supervised learning, efficient learning, trustworthy artificial intelligence (AI), and federated learning methods, and also addressed challenges related to data annotation costs, diagnostic efficiency, model performance, and data privacy.</t>
  </si>
  <si>
    <t>Jia, Huixin; Zhang, Jiali; Ma, Kejun; Qiao, Xiaoyan; Ren, Lijie; Shi, Xin</t>
  </si>
  <si>
    <t>Shi, X (corresponding author), China Med Univ, Inst Hlth Sci, Sch Hlth Management, 77 Puhe Rd, Shenyang 110122, Peoples R China.; Shi, X (corresponding author), Shandong Technol &amp; Business Univ, Immers Technol &amp; Evaluat Shandong Engn Res Ctr, Yantai, Peoples R China.</t>
  </si>
  <si>
    <t>20221010@cmu.edu.cn</t>
  </si>
  <si>
    <t>[Jia, Huixin; Zhang, Jiali] Shandong Technol &amp; Business Univ, Sch Comp Sci &amp; Technol, Yantai, Peoples R China; [Ma, Kejun] Shandong Technol &amp; Business Univ, Sch Stat, Yantai, Peoples R China; [Qiao, Xiaoyan] Shandong Technol &amp; Business Univ, Sch Math &amp; Informat Sci, Yantai, Peoples R China; [Ren, Lijie] Shenzhen Univ, Shenzhen Peoples Hosp 2, Shenzhen Inst Translat Med, Dept Neurol,Affiliated Hosp 1, Shenzhen, Peoples R China; [Shi, Xin] China Med Univ, Inst Hlth Sci, Sch Hlth Management, 77 Puhe Rd, Shenyang 110122, Peoples R China; [Shi, Xin] Shandong Technol &amp; Business Univ, Immers Technol &amp; Evaluat Shandong Engn Res Ctr, Yantai, Peoples R China</t>
  </si>
  <si>
    <t>Shandong Technology &amp; Business University; Shandong Technology &amp; Business University; Shandong Technology &amp; Business University; Shenzhen University; China Medical University; Shandong Technology &amp; Business University</t>
  </si>
  <si>
    <t>Application of convolutional neural networks in medical images: a bibliometric analysis</t>
  </si>
  <si>
    <t>QUANTITATIVE IMAGING IN MEDICINE AND SURGERY</t>
  </si>
  <si>
    <t>Convolutional neural networks (CNNs); medical images; latent Dirichlet allocation topic modeling (LDA topic modeling); milestone; bibliometrics</t>
  </si>
  <si>
    <t>BRAIN-TUMOR SEGMENTATION; DEEP; CLASSIFICATION; CNN; LEVEL</t>
  </si>
  <si>
    <t>AME PUBLISHING COMPANY</t>
  </si>
  <si>
    <t>SHATIN</t>
  </si>
  <si>
    <t>FLAT-RM C 16F, KINGS WING PLAZA 1, NO 3 KWAN ST, SHATIN, HONG KONG 00000, PEOPLES R CHINA</t>
  </si>
  <si>
    <t>2223-4292</t>
  </si>
  <si>
    <t>2223-4306</t>
  </si>
  <si>
    <t>QUANT IMAG MED SURG</t>
  </si>
  <si>
    <t>Quant. Imaging Med. Surg.</t>
  </si>
  <si>
    <t>3501</t>
  </si>
  <si>
    <t>3518</t>
  </si>
  <si>
    <t>10.21037/qims-23-1600</t>
  </si>
  <si>
    <t>http://dx.doi.org/10.21037/qims-23-1600</t>
  </si>
  <si>
    <t>US8G4</t>
  </si>
  <si>
    <t>38720828</t>
  </si>
  <si>
    <t>WOS:001250132200021</t>
  </si>
  <si>
    <t>Helmy, H; Hosseini, A; Ibrahim, A; Baig-Mirza, A; Sadek, AR; Serag, A</t>
  </si>
  <si>
    <t>Automated radiology report generation remains a key challenge in clinical AI, requiring alignment between visual, anatomical, and linguistic representations. This study introduces SPINE - a Segmentation-guided Processing and Integration framework for spinal MRI report generation - designed to integrate multimodal (T1-, T2-weighted, and segmentation) inputs for anatomically informed narrative synthesis. Using axial and sagittal MRI datasets comprising 515 and 190 patients, respectively, SPINE was evaluated across multiple multimodal and segmentation-aware configurations. Results show that incorporating segmentation maps substantially improves report accuracy, coherence, and clinical relevance, with the T1 + T2 + Seg model achieving the most balanced performance across all metrics. Models trained on LLM-standardized reports outperformed those trained on human-written text, demonstrating the importance of linguistic consistency. Comparative analysis also revealed that GPT-4o generated more fluent and clinically detailed reports than Grok-3. These findings highlight the potential of combining multimodal imaging with language-model-driven structuring to enhance both the factual accuracy and clinical reliability of automated radiology reporting, paving the way for more interpretable and trustworthy AI-assisted diagnostics.</t>
  </si>
  <si>
    <t>Helmy, Hoda; Hosseini, Abdullah; Ibrahim, Ahmed; Baig-Mirza, Asfand; Sadek, Ahmed-Ramadan; Serag, Ahmed</t>
  </si>
  <si>
    <t>Serag, A (corresponding author), Weill Cornell Med Qatar, AI Innovat Lab, Doha 24144, Qatar.</t>
  </si>
  <si>
    <t>afs4002@qatar-med.cornell.edu</t>
  </si>
  <si>
    <t>[Helmy, Hoda; Hosseini, Abdullah; Ibrahim, Ahmed; Serag, Ahmed] Weill Cornell Med Qatar, AI Innovat Lab, Doha 24144, Qatar; [Baig-Mirza, Asfand; Sadek, Ahmed-Ramadan] Queens Hosp, Dept Neurosurg, London, England</t>
  </si>
  <si>
    <t>Qatar Foundation (QF); Weill Cornell Medical College Qatar</t>
  </si>
  <si>
    <t>SPINE: Segmentation-guided Processing and Integration of Multimodal Spinal MRI for Natural-Language Enhanced Report Generation</t>
  </si>
  <si>
    <t>APPLIED ARTIFICIAL INTELLIGENCE</t>
  </si>
  <si>
    <t>STENOSIS</t>
  </si>
  <si>
    <t>Serag, Ahmed/0000-0002-4145-5509; Ibrahim, Ahmed/0009-0002-9217-4173; Helmy, Hoda/0009-0009-8251-9351</t>
  </si>
  <si>
    <t>0883-9514</t>
  </si>
  <si>
    <t>1087-6545</t>
  </si>
  <si>
    <t>APPL ARTIF INTELL</t>
  </si>
  <si>
    <t>Appl. Artif. Intell.</t>
  </si>
  <si>
    <t>DEC 31 2026</t>
  </si>
  <si>
    <t>2626117</t>
  </si>
  <si>
    <t>10.1080/08839514.2026.2626117</t>
  </si>
  <si>
    <t>http://dx.doi.org/10.1080/08839514.2026.2626117</t>
  </si>
  <si>
    <t>DN2LE</t>
  </si>
  <si>
    <t>WOS:001687446400001</t>
  </si>
  <si>
    <t>Liao, F; Adelaine, S; Afshar, M; Patterson, BW</t>
  </si>
  <si>
    <t>One of the key challenges in successful deployment and meaningful adoption of AI in healthcare is health system-level governance of AI applications. Such governance is critical not only for patient safety and accountability by a health system, but to foster clinician trust to improve adoption and facilitate meaningful health outcomes. In this case study, we describe the development of such a governance structure at University of Wisconsin Health (UWH) that provides oversight of AI applications from assessment of validity and user acceptability through safe deployment with continuous monitoring for effectiveness. Our structure leverages a multi-disciplinary steering committee along with project specific sub-committees. Members of the committee formulate a multi-stakeholder perspective spanning informatics, data science, clinical operations, ethics, and equity. Our structure includes guiding principles that provide tangible parameters for endorsement of both initial deployment and ongoing usage of AI applications. The committee is tasked with ensuring principles of interpretability, accuracy, and fairness across all applications. To operationalize these principles, we provide a value stream to apply the principles of AI governance at different stages of clinical implementation. This structure has enabled effective clinical adoption of AI applications. Effective governance has provided several outcomes: (1) a clear and institutional structure for oversight and endorsement; (2) a path towards successful deployment that encompasses technologic, clinical, and operational, considerations; (3) a process for ongoing monitoring to ensure the solution remains acceptable as clinical practice and disease prevalence evolve; (4) incorporation of guidelines for the ethical and equitable use of AI applications.</t>
  </si>
  <si>
    <t>Liao, Frank; Adelaine, Sabrina; Afshar, Majid; Patterson, Brian W.</t>
  </si>
  <si>
    <t>Liao, F (corresponding author), UW Madison, BerbeeWalsh Dept Emergency Med, Madison, WI 53792 USA.; Liao, F (corresponding author), UW Hlth, Dept Informat Serv, Madison, WI 53715 USA.</t>
  </si>
  <si>
    <t>fjliao@wisc.edu</t>
  </si>
  <si>
    <t>UW Health; AHRQ [R18HS027735]; NIH/NIDA [R01DA051464]</t>
  </si>
  <si>
    <t>UW Health (University of Wisconsin Madison); AHRQ (United States Department of Health &amp; Human Services, Agency for Healthcare Research &amp; Quality); NIH/NIDA (United States Department of Health &amp; Human Services, National Institutes of Health (NIH) - USA, NIH National Institute on Drug Abuse (NIDA))</t>
  </si>
  <si>
    <t>This project was supported by UW Health. This work was also supported by AHRQ Grant Number R18HS027735 (Patterson, PI) and NIH/NIDA Grant Number R01DA051464 (Afshar, PI). The content is solely the responsibility of the authors and does not necessarily represent the official views of UW Health or the AHRQ.</t>
  </si>
  <si>
    <t>[Liao, Frank; Patterson, Brian W.] UW Madison, BerbeeWalsh Dept Emergency Med, Madison, WI 53792 USA; [Liao, Frank; Adelaine, Sabrina; Patterson, Brian W.] UW Hlth, Dept Informat Serv, Madison, WI 53715 USA; [Afshar, Majid] UW Madison, Dept Med, Madison, WI USA; [Afshar, Majid; Patterson, Brian W.] UW Madison, Dept Biostat &amp; Med Informat, Madison, WI USA; [Patterson, Brian W.] UW Madison, Dept Ind &amp; Syst Engn, Madison, WI USA</t>
  </si>
  <si>
    <t>University of Wisconsin System; University of Wisconsin Madison; University of Wisconsin System; University of Wisconsin Madison; University of Wisconsin Madison; University of Wisconsin System; University of Wisconsin Madison; University of Wisconsin Madison; University of Wisconsin System; University of Wisconsin Madison; University of Wisconsin Madison; University of Wisconsin System; University of Wisconsin Madison</t>
  </si>
  <si>
    <t>Governance of Clinical AI applications to facilitate safe and equitable deployment in a large health system: Key elements and early successes</t>
  </si>
  <si>
    <t>Clinical AI; AI; AI adoption; predictive analytics; governance; oversight; ethics; equity</t>
  </si>
  <si>
    <t>Patterson, Brian/AAS-3091-2021; Afshar, Majid/AAD-8365-2019</t>
  </si>
  <si>
    <t>Patterson, Brian/0000-0002-4584-3808</t>
  </si>
  <si>
    <t>AUG 24 2022</t>
  </si>
  <si>
    <t>931439</t>
  </si>
  <si>
    <t>10.3389/fdgth.2022.931439</t>
  </si>
  <si>
    <t>http://dx.doi.org/10.3389/fdgth.2022.931439</t>
  </si>
  <si>
    <t>N0KX7</t>
  </si>
  <si>
    <t>36093386</t>
  </si>
  <si>
    <t>WOS:001034020100001</t>
  </si>
  <si>
    <t>Ungureanu, V</t>
  </si>
  <si>
    <t>This paper introduces the 3x2A Strategy, a conceptual framework for societal adaptation to Generative AI (GenAI) and large language models (LLMs). It maps six strategic dimensions- Automation, Augmentation, Alliance, Alignment, Adaptation, and Accountability-critical for fostering human-AI synergy. We apply the framework to education, healthcare, and scientific research, illustrating its role in guiding responsible integration and governance. The 3x2A Strategy contributes to foundational discourse on AI alignment and sociotechnical transformation, offering a structured approach to aligning GenAI advancements with societal needs, institutional structures, and long-term resilience.</t>
  </si>
  <si>
    <t>Ungureanu, Valeriu</t>
  </si>
  <si>
    <t>Ungureanu, V (corresponding author), Moldova State Univ, Fac Math &amp; Comp Sci, Mateev Str 60, MD-2009 Kishinev, Moldova.</t>
  </si>
  <si>
    <t>valeriu.ungureanu@usm.md</t>
  </si>
  <si>
    <t>Complex Bilateral Project Romania-Republic of Moldova, "Sensory Engagement Network for Shared Experiences (SENSE)" [PN-IV-PCB-RO-MD-2024-0392, ANCD 25.80013.0807.47ROMD]</t>
  </si>
  <si>
    <t>Complex Bilateral Project Romania-Republic of Moldova, "Sensory Engagement Network for Shared Experiences (SENSE)"</t>
  </si>
  <si>
    <t>This work was partially supported by the Complex Bilateral Project Romania-Republic of Moldova, "Sensory Engagement Network for Shared Experiences (SENSE) ", funded under UEFISCDI PN-IV-PCB-RO-MD-2024-0392 and ANCD 25.80013.0807.47ROMD. The author affirms that the research design, analysis, and conclusions are entirely his own. Generative AI tools (ChatGPT, Gemini, DeepSeek, and Grok) were employed solely for language refinement, stylistic improvements, and comparative reflections consistent with the paper's topic, with all outputs carefully reviewed and verified.</t>
  </si>
  <si>
    <t>[Ungureanu, Valeriu] Moldova State Univ, Fac Math &amp; Comp Sci, Mateev Str 60, MD-2009 Kishinev, Moldova</t>
  </si>
  <si>
    <t>Moldova State University</t>
  </si>
  <si>
    <t>The 3x2A Strategy for Societal Adaptation in the GenAI Era: A Framework for Human-AI Synergy</t>
  </si>
  <si>
    <t>COMPUTER SCIENCE JOURNAL OF MOLDOVA</t>
  </si>
  <si>
    <t>Generative AI; human-AI co-evolution; automa-tion and augmentation; alliance and alignment; adaptation and accountability; meta-skills; AI governance; societal transformation</t>
  </si>
  <si>
    <t>/W-1677-2017</t>
  </si>
  <si>
    <t>Ungureanu, Valeriu/0000-0001-5184-0040</t>
  </si>
  <si>
    <t>INST MATHEMATICS &amp; COMPUTER SCIENCE ACAD</t>
  </si>
  <si>
    <t>KISHINEV</t>
  </si>
  <si>
    <t>ACADEMIEI 5, CHISINAU, KISHINEV, 2028, MOLDOVA</t>
  </si>
  <si>
    <t>1561-4042</t>
  </si>
  <si>
    <t>COMPUT SCI J MOLD</t>
  </si>
  <si>
    <t>Comput. Sci. J. Mold.</t>
  </si>
  <si>
    <t>283</t>
  </si>
  <si>
    <t>301</t>
  </si>
  <si>
    <t>10.56415/csjm.v33.14</t>
  </si>
  <si>
    <t>http://dx.doi.org/10.56415/csjm.v33.14</t>
  </si>
  <si>
    <t>AZ8DU</t>
  </si>
  <si>
    <t>WOS:001660673600001</t>
  </si>
  <si>
    <t>Kibria, HB; Nahiduzzaman, M; Goni, MOF; Ahsan, M; Haider, J</t>
  </si>
  <si>
    <t>Diabetes is a chronic disease that continues to be a primary and worldwide health concern since the health of the entire population has been affected by it. Over the years, many academics have attempted to develop a reliable diabetes prediction model using machine learning (ML) algorithms. However, these research investigations have had a minimal impact on clinical practice as the current studies focus mainly on improving the performance of complicated ML models while ignoring their explainability to clinical situations. Therefore, the physicians find it difficult to understand these models and rarely trust them for clinical use. In this study, a carefully constructed, efficient, and interpretable diabetes detection method using an explainable AI has been proposed. The Pima Indian diabetes dataset was used, containing a total of 768 instances where 268 are diabetic, and 500 cases are non-diabetic with several diabetic attributes. Here, six machine learning algorithms (artificial neural network (ANN), random forest (RF), support vector machine (SVM), logistic regression (LR), AdaBoost, XGBoost) have been used along with an ensemble classifier to diagnose the diabetes disease. For each machine learning model, global and local explanations have been produced using the Shapley additive explanations (SHAP), which are represented in different types of graphs to help physicians in understanding the model predictions. The balanced accuracy of the developed weighted ensemble model was 90% with a F1 score of 89% using a five-fold cross-validation (CV). The median values were used for the imputation of the missing values and the synthetic minority oversampling technique (SMOTETomek) was used to balance the classes of the dataset. The proposed approach can improve the clinical understanding of a diabetes diagnosis and help in taking necessary action at the very early stages of the disease.</t>
  </si>
  <si>
    <t>Kibria, Hafsa Binte; Nahiduzzaman, Md; Goni, Md Omaer Faruq; Ahsan, Mominul; Haider, Julfikar</t>
  </si>
  <si>
    <t>Kibria, HB (corresponding author), Rajshahi Univ Engn &amp; Technol, Dept Elect &amp; Comp Engn, Rajshahi 6204, Bangladesh.; Haider, J (corresponding author), Manchester Metropolitan Univ, Dept Engn, Manchester M1 5GD, Lancs, England.</t>
  </si>
  <si>
    <t>hafsabintekibria@gmail.com; j.haider@mmu.ac.uk</t>
  </si>
  <si>
    <t>[Kibria, Hafsa Binte; Nahiduzzaman, Md; Goni, Md Omaer Faruq] Rajshahi Univ Engn &amp; Technol, Dept Elect &amp; Comp Engn, Rajshahi 6204, Bangladesh; [Ahsan, Mominul] Univ York, Dept Comp Sci, Deramore Lane, York YO10 5GH, N Yorkshire, England; [Haider, Julfikar] Manchester Metropolitan Univ, Dept Engn, Manchester M1 5GD, Lancs, England</t>
  </si>
  <si>
    <t>Rajshahi University of Engineering &amp; Technology (RUET); University of York - UK; Manchester Metropolitan University</t>
  </si>
  <si>
    <t>An Ensemble Approach for the Prediction of Diabetes Mellitus Using a Soft Voting Classifier with an Explainable AI</t>
  </si>
  <si>
    <t>diabetes mellitus; artificial intelligence (AI); machine learning (ML); explainable AI; ensemble classifier; soft voting</t>
  </si>
  <si>
    <t>Ahsan, Mominul/JGM-7528-2023; Haider, Julfikar/AED-0037-2022; Goni, Omaer Faruq/AAA-3674-2022; Nahiduzzaman/GWZ-7870-2022</t>
  </si>
  <si>
    <t>Ahsan, Mominul/0000-0002-7300-506X; Haider, Julfikar/0000-0001-7010-8285; Kibria, Hafsa Binte/0000-0003-4775-8639; Goni, Omaer Faruq/0000-0002-4491-4942; Nahiduzzaman/0000-0003-4126-0389</t>
  </si>
  <si>
    <t>7268</t>
  </si>
  <si>
    <t>10.3390/s22197268</t>
  </si>
  <si>
    <t>http://dx.doi.org/10.3390/s22197268</t>
  </si>
  <si>
    <t>5G8LD</t>
  </si>
  <si>
    <t>36236367</t>
  </si>
  <si>
    <t>WOS:000867242700001</t>
  </si>
  <si>
    <t>Chekini, Z; Dehghani, T; Khayami, R; Jafarian, AH; Farazestanian, M; Hassanzadeh, M; Pasdar, A</t>
  </si>
  <si>
    <t>Epithelial ovarian cancer (EOC) is a lethal gynecological malignancy. Ongoing research aimed to identify novel biomarkers and develop combined algorithms to improve diagnosis and prognosis prediction for EOC. RNA-seq related to EOC were obtained from the Recount 3 databases data. We categorized early, late stages versus control, all stages (I-IV) versus control, and early versus late stages for machine learning, deep learning model and explainable AI (XAI). The hub genes were selected by considering SHapley Additive exPlanations (SHAP) analysis. The expression of hub genes was validated in fresh tissue (34 EOC, and 33 benign neoplastic ovarian) and peripheral blood mononuclear cell (PBMC) from 39 EOC, and 33 benign neoplastic ovarian patients using real time-PCR. For late stage and also all stages versus control, three hub genes were selected including SGO1, VTA1, RBM5-AS1 were mainly involved in cell cycle, estrogen signaling and vesicle trafficking. SGO1, and VTA1 were increased significantly in both tissue and PBMC of EOC patients (p &lt; 0.05). RBM5-AS1 was significantly decreased in EOC tissue as well as PBMC compared to benign neoplastic ovarian patients (p &lt; 0.05). VTA1 and RBM5-AS1 show promise as both diagnostic and prognostic markers, while SGO1 may serve primarily as a diagnostic biomarker for EOC.</t>
  </si>
  <si>
    <t>Chekini, Zahra; Dehghani, Toktam; Khayami, Reza; Jafarian, Amir Hossein; Farazestanian, Marjaneh; Hassanzadeh, Malihe; Pasdar, Alireza</t>
  </si>
  <si>
    <t>Pasdar, A (corresponding author), Mashhad Univ Med Sci, Fac Med, Dept Med Genet &amp; Mol Med, Mashhad, Iran.; Pasdar, A (corresponding author), Univ Aberdeen, Div Appl Med, Med Sch, Foresterhill, Aberdeen AB25 2ZD, Scotland.; Pasdar, A (corresponding author), Mashhad Univ Med Sci, Bioinformat Res Ctr, Mashhad, Iran.</t>
  </si>
  <si>
    <t>PasdarA@mums.ac.ir</t>
  </si>
  <si>
    <t>Mashhad Medical Science University of Medical Science, research grant number [4011793]</t>
  </si>
  <si>
    <t>Mashhad Medical Science University of Medical Science, research grant number</t>
  </si>
  <si>
    <t>This project was financially supported by Mashhad Medical Science University of Medical Science, research grant number (4011793).</t>
  </si>
  <si>
    <t>[Chekini, Zahra; Khayami, Reza; Pasdar, Alireza] Mashhad Univ Med Sci, Fac Med, Dept Med Genet &amp; Mol Med, Mashhad, Iran; [Chekini, Zahra] Mashhad Univ Med Sci, Med Genet Res Ctr, Mashhad, Iran; [Dehghani, Toktam] Mashhad Univ Med Sci, Fac Med, Dept Med Informat, Mashhad, Iran; [Jafarian, Amir Hossein] Mashhad Univ Med Sci, Fac Med, Canc Mol Pathol Res Ctr, Mashhad, Iran; [Farazestanian, Marjaneh; Hassanzadeh, Malihe] Mashhad Univ Med Sci, Fac Med, Dept Obstet &amp; Gynecol, Mashhad, Iran; [Pasdar, Alireza] Univ Aberdeen, Div Appl Med, Med Sch, Foresterhill, Aberdeen AB25 2ZD, Scotland; [Pasdar, Alireza] Mashhad Univ Med Sci, Bioinformat Res Ctr, Mashhad, Iran</t>
  </si>
  <si>
    <t>Mashhad University of Medical Sciences; Mashhad University of Medical Sciences; Mashhad University of Medical Sciences; Mashhad University of Medical Sciences; Mashhad University of Medical Sciences; University of Aberdeen; Mashhad University of Medical Sciences</t>
  </si>
  <si>
    <t>Identification of novel biomarkers for epithelial ovarian cancer through machine learning and explainable artificial intelligence using in silico and in vitro analysis</t>
  </si>
  <si>
    <t>Epithelial ovarian cancer (EOC); Diagnostic biomarker; Prognostic biomarker; Machine learning; Deep learning model; Explainable AI (XAI)</t>
  </si>
  <si>
    <t>PROSTATE-CANCER; METASTASIS</t>
  </si>
  <si>
    <t>Dehghani, Toktam/AAF-1956-2019; Khayami, Reza/AAS-7192-2020</t>
  </si>
  <si>
    <t>NOV 25 2025</t>
  </si>
  <si>
    <t>41891</t>
  </si>
  <si>
    <t>10.1038/s41598-025-25901-9</t>
  </si>
  <si>
    <t>http://dx.doi.org/10.1038/s41598-025-25901-9</t>
  </si>
  <si>
    <t>H3180</t>
  </si>
  <si>
    <t>41290833</t>
  </si>
  <si>
    <t>WOS:001625424900004</t>
  </si>
  <si>
    <t>Sekaran, K; Alsamman, AM; Doss, CGP; Zayed, H</t>
  </si>
  <si>
    <t>The progressive, chronic nature of Alzheimer's disease (AD), a form of dementia, defaces the adulthood of elderly individuals. The pathogenesis of the condition is primarily unascertained, turning the treatment efficacy more arduous. Therefore, understanding the genetic etiology of AD is essential to identifying targeted therapeutics. This study aimed to use machine-learning techniques of expressed genes in patients with AD to identify potential biomarkers that can be used for future therapy. The dataset is accessed from the Gene Expression Omnibus (GEO) database (Accession Number: GSE36980). The subgroups (AD blood samples from frontal, hippocampal, and temporal regions) are individually investigated against non-AD models. Prioritized gene cluster analyses are conducted with the STRING database. The candidate gene biomarkers were trained with various supervised machine-learning (ML) classification algorithms. The interpretation of the model prediction is perpetrated with explainable artificial intelligence (AI) techniques. This experiment revealed 34, 60, and 28 genes as target biomarkers of AD mapped from the frontal, hippocampal, and temporal regions. It is identified ORAI2 as a shared biomarker in all three areas strongly associated with AD's progression. The pathway analysis showed that STIM1 and TRPC3 are strongly associated with ORAI2. We found three hub genes, TPI1, STIM1, and TRPC3, in the network of the ORAI2 gene that might be involved in the molecular pathogenesis of AD. Naive Bayes classified the samples of different groups by fivefold cross-validation with 100% accuracy. AI and ML are promising tools in identifying disease-associated genes that will advance the field of targeted therapeutics against genetic diseases.</t>
  </si>
  <si>
    <t>Sekaran, Karthik; Alsamman, Alsamman M.; Doss, C. George Priya; Zayed, Hatem</t>
  </si>
  <si>
    <t>Doss, CGP (corresponding author), Vellore Inst Technol VIT, Sch Biosci &amp; Technol, Dept Integrat Biol, Lab Integrat Genom, Vellore 632014, Tamil Nadu, India.; Zayed, H (corresponding author), Qatar Univ, Dept Biomed Sci Coll Hlth Sci, QU Hlth, Doha, Qatar.</t>
  </si>
  <si>
    <t>georgepriyadoss@vit.ac.in; hatem.zayed@qu.edu.qa</t>
  </si>
  <si>
    <t>Open Access funding provided by the Qatar National Library.</t>
  </si>
  <si>
    <t>[Sekaran, Karthik; Doss, C. George Priya] Vellore Inst Technol VIT, Sch Biosci &amp; Technol, Dept Integrat Biol, Lab Integrat Genom, Vellore 632014, Tamil Nadu, India; [Alsamman, Alsamman M.] Agr Genet Engn Res Inst, Dept Genome Mapping, Mol Genet &amp; Genome Mapping Lab, Giza, Egypt; [Zayed, Hatem] Qatar Univ, Dept Biomed Sci Coll Hlth Sci, QU Hlth, Doha, Qatar</t>
  </si>
  <si>
    <t>Vellore Institute of Technology (VIT); VIT Vellore; Egyptian Knowledge Bank (EKB); Agricultural Research Center - Egypt; Qatar University</t>
  </si>
  <si>
    <t>Bioinformatics investigation on blood-based gene expressions of Alzheimer's disease revealed ORAI2 gene biomarker susceptibility: An explainable artificial intelligence-based approach</t>
  </si>
  <si>
    <t>METABOLIC BRAIN DISEASE</t>
  </si>
  <si>
    <t>Alzheimer's; Artificial Intelligence; Biomarkers; Genetic Algorithm; Machine Learning; ORAI2; STIM2</t>
  </si>
  <si>
    <t>Alsamman, Alsamman/AAC-6126-2022; C, George/ABE-4676-2021; Sekaran, Karthik/AAM-5430-2020; Zayed, Hatem/R-1800-2019</t>
  </si>
  <si>
    <t>Sekaran, Karthik/0000-0002-1969-7632; Zayed, Hatem/0000-0001-8838-6638</t>
  </si>
  <si>
    <t>0885-7490</t>
  </si>
  <si>
    <t>1573-7365</t>
  </si>
  <si>
    <t>METAB BRAIN DIS</t>
  </si>
  <si>
    <t>Metab. Brain Dis.</t>
  </si>
  <si>
    <t>1297</t>
  </si>
  <si>
    <t>1310</t>
  </si>
  <si>
    <t>10.1007/s11011-023-01171-0</t>
  </si>
  <si>
    <t>http://dx.doi.org/10.1007/s11011-023-01171-0</t>
  </si>
  <si>
    <t>Endocrinology &amp; Metabolism; Neurosciences</t>
  </si>
  <si>
    <t>Endocrinology &amp; Metabolism; Neurosciences &amp; Neurology</t>
  </si>
  <si>
    <t>D4OP7</t>
  </si>
  <si>
    <t>36809524</t>
  </si>
  <si>
    <t>WOS:000936532100001</t>
  </si>
  <si>
    <t>Qian, Q; Wu, JR; Xu, Z; Sheng, XL; Ge, JF; Gong, Y; Qian, JY; Sha, W; Qian, JY</t>
  </si>
  <si>
    <t>This study aimed to evaluate the effectiveness of navigation nurse management (NNM) in orthopedic perioperative care and develop machine learning (ML) models to predict postoperative recovery quality. We sought to identify key factors influencing recovery outcomes in patients undergoing hip surgery and assess whether NNM intervention improves patient outcomes compared to standard care. This retrospective study included 216 patients who underwent orthopedic surgery for femoral neck fractures, femoral head necrosis, or hip joint disorders at Zhangjiagang Hospital between November 2023 and February 2025. The NNM model, comprising 6 core elements, guided nursing care. Data were analyzed using SPSS 26.0 and R 4.4.2. The dataset was randomly split into training (70%) and validation (30%) cohorts. In addition to logistic regression (LR) and nomogram construction, we applied 6 ML algorithms including random forest (RF), eXtreme gradient boosting, support vector machine, decision tree, Na &amp; iuml;ve Bayes, and LR. We evaluated model performance using area under the curve (AUC), sensitivity, specificity, precision, and F1 scores. SHapley Additive exPlanations (SHAP) analysis was employed to enhance model interpretability and identify key contributing factors. Among the 216 patients, 122 were classified as the high-quality recovery group and 94 as the poor recovery group. Multivariate LR identified postoperative first meal time, time to first ambulation (postoperative), Final Visual Analogue Scale (at discharge), and receipt of NNM as independent predictors. The nomogram achieved AUCs of 0.983 and 0.992 in training and validation sets, respectively. Among ML models, RF demonstrated the best performance with perfect scores across all metrics (AUC = 1.000, sensitivity = 100%, specificity = 100%, precision = 100%, F1 = 100%), followed by eXtreme gradient boosting (AUC = 0.998). SHAP analysis revealed that Final Visual Analogue Scale (at discharge) was the most influential factor, while NNM significantly reduced the risk of poor recovery quality. Patients managed under the NNM model demonstrated significantly better postoperative recovery quality compared to those who did not receive NNM. NNM improves postoperative recovery quality in orthopedic patients. RF algorithms showed better predictive accuracy than traditional methods for identifying high-risk patients. SHAP analysis improved model interpretability, supporting personalized care decisions.</t>
  </si>
  <si>
    <t>Qian, Qiu; Wu, Jingrong; Xu, Zhi; Sheng, Xiaolei; Ge, Jianfei; Gong, Yu; Qian, Jingyi; Sha, Wei; Qian, Jiayu</t>
  </si>
  <si>
    <t>Qian, JY (corresponding author), Soochow Univ, Zhangjiagang Hosp, Zhangjiagang Peoples Hosp 1, Dept Orthopaed Surg, 68 Jiyang West Rd, Zhangjiagang 215600, Jiangsu, Peoples R China.; Qian, JY (corresponding author), Soochow Univ, Zhangjiagang Hosp, Zhangjiagang Peoples Hosp 1, Emergency Intens Care Unit, 68 Jiyang West Rd, Zhangjiagang 215600, Jiangsu, Peoples R China.</t>
  </si>
  <si>
    <t>811191219@qq.com; sxlhappy2007@hotmail.com; 15850396048@163.com; 61217785@qq.com; 2224183819@qq.com; 570724660@qq.com; gejianfei0271@sina.com</t>
  </si>
  <si>
    <t>Suzhou Medical and Health Technology Innovation Project [SKYD20022048]; Special Project for Clinical Key Disease Diagnosis and Treatment Technologies of Suzhou City [LCZX202330]</t>
  </si>
  <si>
    <t>Suzhou Medical and Health Technology Innovation Project; Special Project for Clinical Key Disease Diagnosis and Treatment Technologies of Suzhou City</t>
  </si>
  <si>
    <t>Special Project for Clinical Key Disease Diagnosis and Treatment Technologies of Suzhou City (LCZX202330) and Suzhou Medical and Health Technology Innovation Project (SKYD20022048).</t>
  </si>
  <si>
    <t>[Wu, Jingrong; Xu, Zhi; Ge, Jianfei; Gong, Yu; Qian, Jingyi; Sha, Wei; Qian, Jiayu] Soochow Univ, Zhangjiagang Hosp, Zhangjiagang Peoples Hosp 1, Dept Orthopaed Surg, 68 Jiyang West Rd, Zhangjiagang 215600, Jiangsu, Peoples R China; [Sheng, Xiaolei] Zhangjiagang Fifth Peoples Hosp, Dept Orthoped, Zhangjiagang, Jiangsu, Peoples R China; [Qian, Jiayu] Soochow Univ, Zhangjiagang Hosp, Zhangjiagang Peoples Hosp 1, Emergency Intens Care Unit, 68 Jiyang West Rd, Zhangjiagang 215600, Jiangsu, Peoples R China</t>
  </si>
  <si>
    <t>Soochow University - China; Soochow University - China</t>
  </si>
  <si>
    <t>Orthopedic perioperative nursing under navigation nurse management: Machine learning-based risk prediction models for postoperative recovery quality and explainable artificial intelligence analysis</t>
  </si>
  <si>
    <t>enhanced recovery after surgery; machine learning; navigation nurse management; risk prediction; SHAP analysis</t>
  </si>
  <si>
    <t>OUTCOMES; ARTHROPLASTY; PAIN</t>
  </si>
  <si>
    <t>e46015</t>
  </si>
  <si>
    <t>10.1097/MD.0000000000046015</t>
  </si>
  <si>
    <t>http://dx.doi.org/10.1097/MD.0000000000046015</t>
  </si>
  <si>
    <t>9VV8S</t>
  </si>
  <si>
    <t>41239628</t>
  </si>
  <si>
    <t>WOS:001616253000020</t>
  </si>
  <si>
    <t>Mottaqi, M; Zhang, PY; Xie, L</t>
  </si>
  <si>
    <t>Alzheimer's disease (AD) is characterized by region- and patient-specific molecular heterogeneity, which hinders therapeutic design. In this study, we introduce PRISM-ML (PRecision-medicine using Interpretable Systems and Multiomics with Machine Learning), an open-source integrated analysis pipeline that combines interpretable machine learning with systems biology and electronic health records data mining to elucidate the molecular diversity of AD and predict promising drug repurposing opportunities. First, we integrated and harmonized transcriptomic (bulk RNA-seq) and genomic (genome-wide association study) data from 2105 brain samples, each with matched data from the same individual (1363 AD patients, 742 controls; 9 tissues), sourced from three independent studies. Random forest classifiers with SHapley Additive exPlanations identified patient-specific biomarkers; unsupervised clustering resolved 36 molecularly distinct subtissues (defined as clusters of samples within a brain tissue that share a specific expression pattern); and gene-gene coexpression networks prioritized 262 high-centrality bottleneck genes as putative regulators of dysregulated pathways. Next, knowledge graph-based drug repurposing predicted six Food and Drug Administration (FDA)-approved drugs that simultaneously target multiple bottleneck genes and multiple AD-relevant pathways. Notably, in a large US de-identified insurance-claims database (n = 364 733), exposure to promethazine, one of the candidate drugs, was associated with a 57%-62% lower incidence of AD versus an active antihistamine comparator (adjusted hazard ratio 0.38; inverse-probability weighted 0.43; both P &lt; .001), providing real-world support for its repurposing potential. In summary, PRISM-ML, as an explainable multiomics analysis pipeline, is readily transferable to other complex diseases, advancing precision medicine.</t>
  </si>
  <si>
    <t>Mottaqi, Mohammadsadeq; Zhang, Pengyue; Xie, Lei</t>
  </si>
  <si>
    <t>Zhang, PY (corresponding author), Indiana Univ Sch Med, Dept Biostat &amp; Hlth Data Sci, 410 West 10th St HITS 3000, Indianapolis, IN 46202 USA.; Xie, L (corresponding author), Northeastern Univ, Ctr Drug Discovery, 360 Huntington Ave, Boston, MA 02115 USA.; Zhang, PY (corresponding author), Northeastern Univ, Dept Pharmaceut Sci, 360 Huntington Ave, Boston, MA 02115 USA.</t>
  </si>
  <si>
    <t>zhangpe@iu.edu; lxie@iscb.org</t>
  </si>
  <si>
    <t>National Institute of General Medical Sciences of the National Institute of Health [R01GM122845]; National Institute on Aging of the National Institute of Health [R01AG057555, R21AG083302]; National Science Foundation [2226183]</t>
  </si>
  <si>
    <t>National Institute of General Medical Sciences of the National Institute of Health (United States Department of Health &amp; Human Services, National Institutes of Health (NIH) - USA, NIH National Institute of General Medical Sciences (NIGMS)); National Institute on Aging of the National Institute of Health; National Science Foundation (National Science Foundation (NSF))</t>
  </si>
  <si>
    <t>This project has been funded by the National Institute of General Medical Sciences of the National Institute of Health (R01GM122845), the National Institute on Aging of the National Institute of Health (R01AG057555, R21AG083302), and the National Science Foundation (2226183). The funders played no role in the study design, data collection, analysis, and interpretation of the data, or the writing of this manuscript.</t>
  </si>
  <si>
    <t>[Mottaqi, Mohammadsadeq; Xie, Lei] CUNY, Grad Ctr, Program Biochem, 65 Fifth Ave, New York, NY 10016 USA; [Zhang, Pengyue] Indiana Univ Sch Med, Dept Biostat &amp; Hlth Data Sci, 410 West 10th St HITS 3000, Indianapolis, IN 46202 USA; [Xie, Lei] Northeastern Univ, Ctr Drug Discovery, 360 Huntington Ave, Boston, MA 02115 USA; [Zhang, Pengyue] Northeastern Univ, Dept Pharmaceut Sci, 360 Huntington Ave, Boston, MA 02115 USA; [Xie, Lei] CUNY, Grad Ctr, Program Comp Sci, 365-5th Ave, New York, NY 10016 USA; [Xie, Lei] Cornell Univ, Helen &amp; Robert Appel Alzheimers Dis Res Inst, Feil Family Brain &amp; Mind Res Inst, Weill Cornell Med, 413 E 69th St, New York, NY 10065 USA</t>
  </si>
  <si>
    <t>City University of New York (CUNY) System; Indiana University System; Indiana University Bloomington; Northeastern University; Northeastern University; City University of New York (CUNY) System; Cornell University; Weill Cornell Medicine</t>
  </si>
  <si>
    <t>Integrating explainable artificial intelligence with multiomics systems biology and electronic health record data mining for personalized drug repurposing in Alzheimer's disease</t>
  </si>
  <si>
    <t>machine learning; computational biology; GWAS; Transcriptomics; personalized medicine; electronic health records</t>
  </si>
  <si>
    <t>MODULATION</t>
  </si>
  <si>
    <t>Zhang, Pengyue/AAV-1420-2021</t>
  </si>
  <si>
    <t>Mottaqi, MohammadSadeq/0000-0002-1398-7540</t>
  </si>
  <si>
    <t>bbaf623</t>
  </si>
  <si>
    <t>10.1093/bib/bbaf623</t>
  </si>
  <si>
    <t>http://dx.doi.org/10.1093/bib/bbaf623</t>
  </si>
  <si>
    <t>J4923</t>
  </si>
  <si>
    <t>41313603</t>
  </si>
  <si>
    <t>WOS:001627604300001</t>
  </si>
  <si>
    <t>Hao, JK; Kwapong, WR; Shen, T; Fu, HZ; Xu, YW; Lu, QK; Liu, SY; Zhang, J; Liu, YH; Zhao, YF; Zheng, YL; Frangi, AF; Zhang, ST; Qi, H; Zhao, YT</t>
  </si>
  <si>
    <t>Alzheimer's disease (AD) is a global healthcare challenge lacking a simple and affordable detection method. We propose a novel deep learning framework, Eye-AD, to detect Early-onset Alzheimer's Disease (EOAD) and Mild Cognitive Impairment (MCI) using OCTA images of retinal microvasculature and choriocapillaris. Eye-AD employs a multilevel graph representation to analyze intra- and inter-instance relationships in retinal layers. Using 5751 OCTA images from 1671 participants in a multi-center study, our model demonstrated superior performance in EOAD (internal data: AUC = 0.9355, external data: AUC = 0.9007) and MCI detection (internal data: AUC = 0.8630, external data: AUC = 0.8037). Furthermore, we explored the associations between retinal structural biomarkers in OCTA images and EOAD/MCI, and the results align well with the conclusions drawn from our deep learning interpretability analysis. Our findings provide further evidence that retinal OCTA imaging, coupled with artificial intelligence, will serve as a rapid, noninvasive, and affordable dementia detection.</t>
  </si>
  <si>
    <t>Hao, Jinkui; Kwapong, William R.; Shen, Ting; Fu, Huazhu; Xu, Yanwu; Lu, Qinkang; Liu, Shouyue; Zhang, Jiong; Liu, Yonghuai; Zhao, Yifan; Zheng, Yalin; Frangi, Alejandro F.; Zhang, Shuting; Qi, Hong; Zhao, Yitian</t>
  </si>
  <si>
    <t>Zhao, YT (corresponding author), Chinese Acad Sci, Ningbo Inst Mat Technol &amp; Engn, Lab Adv Theranost Mat &amp; Technol, Ningbo, Peoples R China.; Zhang, ST (corresponding author), Sichuan Univ, West China Hosp, Dept Neurol, Chengdu, Peoples R China.; Zhao, YT (corresponding author), Ningbo Univ, Dept Ophthalmol, Affiliated Peoples Hosp, Ningbo, Peoples R China.; Zhao, YT (corresponding author), Univ Liverpool, Dept Eye &amp; Vis Sci, Liverpool, England.; Qi, H (corresponding author), Peking Univ Third Hosp, Dept Ophthalmol, Beijing, Peoples R China.</t>
  </si>
  <si>
    <t>yitian.zhao@nimte.ac.cn; shutingzhang@scu.edu.cn; doctorqihong@163.com</t>
  </si>
  <si>
    <t>Youth Innovation Promotion Association of the Chinese Academy of Sciences (Youth Innovation Promotion Association CAS) [62422122, 62272444, 62371442, 62302488]; National Science Foundation Program of China [2021298]; Youth Innovation Promotion Association CAS [LR22F020008, LQ23F010007, LR24F010002, LZ23F010002]; Zhejiang Provincial Natural Science Foundation of China [2024C03101, 2024C03204]; Key research and development program of Zhejiang Province [2023S012]; Key Project of Ningbo Public Welfare Science and Technology [CiET1819\9]; Royal Academy of Engineering Chair INSILEX [EP\Y030494\1]; UKRI Frontier Research Guarantee INSILICO [NIHR203308]; National Institute for Health and Care Research (NIHR) Manchester Biomedical Research Centre (BRC)</t>
  </si>
  <si>
    <t>Youth Innovation Promotion Association of the Chinese Academy of Sciences (Youth Innovation Promotion Association CAS); National Science Foundation Program of China; Youth Innovation Promotion Association CAS; Zhejiang Provincial Natural Science Foundation of China (Natural Science Foundation of Zhejiang Province); Key research and development program of Zhejiang Province; Key Project of Ningbo Public Welfare Science and Technology; Royal Academy of Engineering Chair INSILEX; UKRI Frontier Research Guarantee INSILICO; National Institute for Health and Care Research (NIHR) Manchester Biomedical Research Centre (BRC)</t>
  </si>
  <si>
    <t>This work was supported in part by the National Science Foundation Program of China (62422122, 62272444, 62371442, 62302488), in part by the Youth Innovation Promotion Association CAS (2021298), in part by the Zhejiang Provincial Natural Science Foundation of China (LR22F020008, LQ23F010007, LR24F010002, LZ23F010002), in part by Key research and development program of Zhejiang Province (2024C03101, 2024C03204) and Key Project of Ningbo Public Welfare Science and Technology (2023S012). AFF acknowledges the support of the Royal Academy of Engineering Chair INSILEX (CiET1819\9), the UKRI Frontier Research Guarantee INSILICO (EP\Y030494\1). The research of AFF was carried out at the National Institute for Health and Care Research (NIHR) Manchester Biomedical Research Centre (BRC) (NIHR203308).</t>
  </si>
  <si>
    <t>[Hao, Jinkui; Liu, Shouyue; Zhang, Jiong; Zhao, Yitian] Chinese Acad Sci, Ningbo Inst Mat Technol &amp; Engn, Lab Adv Theranost Mat &amp; Technol, Ningbo, Peoples R China; [Kwapong, William R.; Zhang, Shuting] Sichuan Univ, West China Hosp, Dept Neurol, Chengdu, Peoples R China; [Shen, Ting] Zhejiang Univ, Dept Ophthalmol, Affiliated Hosp 2, Hangzhou, Peoples R China; [Fu, Huazhu] Agcy Sci Technol &amp; Res, Inst High Performance Comp, Singapore, Singapore; [Xu, Yanwu] South China Univ Technol, Sch Future Technol, Guangzhou, Peoples R China; [Lu, Qinkang; Zhao, Yitian] Ningbo Univ, Dept Ophthalmol, Affiliated Peoples Hosp, Ningbo, Peoples R China; [Liu, Yonghuai] Edge Hill Univ, Dept Comp Sci, Ormskirk, England; [Zhao, Yifan] Cranfield Univ, Sch Aerosp Transport &amp; Mfg, Bedford MK43 0AL, England; [Zheng, Yalin; Zhao, Yitian] Univ Liverpool, Dept Eye &amp; Vis Sci, Liverpool, England; [Frangi, Alejandro F.] Univ Manchester, Sch Hlth Sci, Div Informat Imaging &amp; Data Sci, Manchester, England; [Frangi, Alejandro F.] Univ Manchester, Sch Engn, Dept Comp Sci, Manchester, England; [Qi, Hong] Peking Univ Third Hosp, Dept Ophthalmol, Beijing, Peoples R China</t>
  </si>
  <si>
    <t>Chinese Academy of Sciences; Ningbo Institute of Materials Technology &amp; Engineering, CAS; Sichuan University; Zhejiang University; Agency for Science Technology &amp; Research (A*STAR); A*STAR - Institute of High Performance Computing (IHPC); South China University of Technology; Ningbo University; Edge Hill University; Cranfield University; University of Liverpool; University of Manchester; University of Manchester; Peking University</t>
  </si>
  <si>
    <t>Early detection of dementia through retinal imaging and trustworthy AI</t>
  </si>
  <si>
    <t>ALZHEIMERS ASSOCIATION WORKGROUPS; DIAGNOSTIC GUIDELINES; COGNITIVE IMPAIRMENT; NATIONAL INSTITUTE; DISEASE; RECOMMENDATIONS; PREVALENCE</t>
  </si>
  <si>
    <t>Xu, Yanwu/AAK-8156-2020; Zhao, Yitian/AAM-4907-2021; Liu, Yonghuai/ABF-3794-2020; Fu, Huazhu/A-1411-2014; Zheng, Yalin/N-6432-2017; Frangi, Alejandro/C-6500-2008; Zhao, Yifan/ADE-5116-2022; Kwapong, William/OOK-2741-2025</t>
  </si>
  <si>
    <t>Xu, Yanwu/0000-0002-1779-931X; Liu, Yonghuai/0000-0002-3774-2134; Fu, Huazhu/0000-0002-9702-5524; Frangi, Alejandro/0000-0002-2675-528X</t>
  </si>
  <si>
    <t>OCT 20 2024</t>
  </si>
  <si>
    <t>10.1038/s41746-024-01292-5</t>
  </si>
  <si>
    <t>http://dx.doi.org/10.1038/s41746-024-01292-5</t>
  </si>
  <si>
    <t>J3S7I</t>
  </si>
  <si>
    <t>39428420</t>
  </si>
  <si>
    <t>WOS:001336299800001</t>
  </si>
  <si>
    <t>Rozenblit, L; Labkoff, S; Safran, C</t>
  </si>
  <si>
    <t>Maris et al document important ethical challenges at the intersection of electronic health record data and artificial intelligence development, but existing governance frameworks designed for secondary data use are categorically insufficient for artificial intelligence model training, which creates persistent deployable artifacts that encode local clinical patterns as generalizable knowledge. Drawing on two decades of stewardship framework development, we propose extending governance from data stewardship to model stewardship.</t>
  </si>
  <si>
    <t>Rozenblit, Leon; Labkoff, Steven; Safran, Charles</t>
  </si>
  <si>
    <t>Rozenblit, L (corresponding author), Beth Israel Deaconess Med Ctr, Div Clin Informat, 133 Brookline Ave, HVMA Annex, Suite 2200, Boston, MA 02215 USA.</t>
  </si>
  <si>
    <t>lrozenbl@bidmc.harvard.edu</t>
  </si>
  <si>
    <t>[Rozenblit, Leon] QED Inst, New Haven, CT USA; [Rozenblit, Leon; Labkoff, Steven; Safran, Charles] Beth Israel Deaconess Med Ctr, Div Clin Informat, 133 Brookline Ave, HVMA Annex, Suite 2200, Boston, MA 02215 USA; [Labkoff, Steven] Luminant Consulting, Stamford, CT USA; [Safran, Charles] Harvard Med Sch, Dept Med, Boston, MA USA</t>
  </si>
  <si>
    <t>Harvard University; Harvard University Medical Affiliates; Beth Israel Deaconess Medical Center; Harvard University; Harvard Medical School</t>
  </si>
  <si>
    <t>From Data Stewardship to Model Stewardship: Extending Governance Frameworks for AI Era Health Data Use</t>
  </si>
  <si>
    <t>data stewardship; model stewardship; AI governance; electronic health records; decontextualization; secondary use; clinical tropism; health data ethics</t>
  </si>
  <si>
    <t>Labkoff, Steven/AAS-8619-2020</t>
  </si>
  <si>
    <t>e97859</t>
  </si>
  <si>
    <t>10.2196/97859</t>
  </si>
  <si>
    <t>http://dx.doi.org/10.2196/97859</t>
  </si>
  <si>
    <t>JN3YY</t>
  </si>
  <si>
    <t>42247623</t>
  </si>
  <si>
    <t>WOS:001793446800002</t>
  </si>
  <si>
    <t>Sarkar, O; Islam, MR; Syfullah, MK; Islam, MT; Ahamed, MF; Ahsan, M; Haider, J</t>
  </si>
  <si>
    <t>Lung-related diseases continue to be a leading cause of global mortality. Timely and precise diagnosis is crucial to save lives, but the availability of testing equipment remains a challenge, often coupled with issues of reliability. Recent research has highlighted the potential of Chest X-ray (CXR) images in identifying various lung diseases, including COVID-19, fibrosis, pneumonia, and more. In this comprehensive study, four publicly accessible datasets have been combined to create a robust dataset comprising 6650 CXR images, categorized into seven distinct disease groups. To effectively distinguish between normal and six different lung-related diseases (namely, bacterial pneumonia, COVID-19, fibrosis, lung opacity, tuberculosis, and viral pneumonia), a Deep Learning (DL) architecture called a Multi-Scale Convolutional Neural Network (MS-CNN) is introduced. The model is adapted to classify multiple numbers of lung disease classes, which is considered to be a persistent challenge in the field. While prior studies have demonstrated high accuracy in binary and limited-class scenarios, the proposed framework maintains this accuracy across a diverse range of lung conditions. The innovative model harnesses the power of combining predictions from multiple feature maps at different resolution scales, significantly enhancing disease classification accuracy. The approach aims to shorten testing duration compared to the state-of-the-art models, offering a potential solution toward expediting medical interventions for patients with lung-related diseases and integrating explainable AI (XAI) for enhancing prediction capability. The results demonstrated an impressive accuracy of 96.05%, with average values for precision, recall, F1-score, and AUC at 0.97, 0.95, 0.95, and 0.94, respectively, for the seven-class classification. The model exhibited exceptional performance across multi-class classifications, achieving accuracy rates of 100%, 99.65%, 99.21%, 98.67%, and 97.47% for two, three, four, five, and six-class scenarios, respectively. The novel approach not only surpasses many pre-existing state-of-the-art (SOTA) methodologies but also sets a new standard for the diagnosis of lung-affected diseases using multi-class CXR data. Furthermore, the integration of XAI techniques such as SHAP and Grad-CAM enhanced the transparency and interpretability of the model's predictions. The findings hold immense promise for accelerating and improving the accuracy and confidence of diagnostic decisions in the field of lung disease identification.</t>
  </si>
  <si>
    <t>Sarkar, Ovi; Islam, Md. Robiul; Syfullah, Md. Khalid; Islam, Md. Tohidul; Ahamed, Md. Faysal; Ahsan, Mominul; Haider, Julfikar</t>
  </si>
  <si>
    <t>Sarkar, O (corresponding author), Rajshahi Univ Engn &amp; Technol, Dept Elect &amp; Comp Engn, Rajshahi 6204, Bangladesh.; Haider, J (corresponding author), Manchester Metropolitan Univ, Dept Engn, Chester St, Manchester M1 5GD, England.</t>
  </si>
  <si>
    <t>robiulruet00@gmail.com; faysalahamedjishan@gmail.com; ovisarkareceian@gmail.com; mominul.ahsan2@gmail.com; j.haider@mmu.ac.uk; khalidsyfullah@gmail.com; tanzid1971@gmail.com</t>
  </si>
  <si>
    <t>[Sarkar, Ovi; Islam, Md. Robiul; Syfullah, Md. Khalid] Rajshahi Univ Engn &amp; Technol, Dept Elect &amp; Comp Engn, Rajshahi 6204, Bangladesh; [Islam, Md. Tohidul] Univ Rajshahi, Dept Informat &amp; Commun Engn, Rajshahi 6205, Bangladesh; [Ahamed, Md. Faysal] United Int Univ, Dept Comp Sci &amp; Engn, Dhaka 1212, Bangladesh; [Ahsan, Mominul] Univ York, Dept Comp Sci, Deramore Lane, York YO10 5GH, England; [Haider, Julfikar] Manchester Metropolitan Univ, Dept Engn, Chester St, Manchester M1 5GD, England</t>
  </si>
  <si>
    <t>Rajshahi University of Engineering &amp; Technology (RUET); University of Rajshahi; United International University (UIU); University of York - UK; Manchester Metropolitan University</t>
  </si>
  <si>
    <t>Multi-Scale CNN: An Explainable AI-Integrated Unique Deep Learning Framework for Lung-Affected Disease Classification</t>
  </si>
  <si>
    <t>COVID-19; chest X-ray (CXR) image; deep learning; multi-scale CNN; feature map; SHAP</t>
  </si>
  <si>
    <t>COVID-19 DETECTION; FEATURES</t>
  </si>
  <si>
    <t>Haider, Julfikar/AED-0037-2022; Islam, Robiul/GLQ-7211-2022; Ahsan, Mominul/JGM-7528-2023</t>
  </si>
  <si>
    <t>Haider, Julfikar/0000-0001-7010-8285; Sarkar, Ovi/0009-0009-1833-8062; Syfullah, Khalid/0000-0001-7771-4587; Ahamed, Faysal/0000-0002-7014-3205; Ahsan, Mominul/0000-0002-7300-506X; Islam, Tohidul/0009-0000-8764-6151</t>
  </si>
  <si>
    <t>10.3390/technologies11050134</t>
  </si>
  <si>
    <t>http://dx.doi.org/10.3390/technologies11050134</t>
  </si>
  <si>
    <t>W2LI3</t>
  </si>
  <si>
    <t>WOS:001089993000001</t>
  </si>
  <si>
    <t>Choo, CM; Malik, S; Feng, ML; Liu, N; Lwin, MO; Xu, H; Goh, WWB; Sung, JJY</t>
  </si>
  <si>
    <t>Regulatory frameworks ensure the trustworthiness of artificial intelligence in medicine (AI-MD). Yet, developers' perspectives on these frameworks remain underexplored. We surveyed 122 AI-MD developers online, examining their awareness, familiarity, and adoption of regulatory frameworks, alongside their views on ethical principles and stakeholder responsibilities. About half (57.4%, n = 70) were aware of any frameworks while reporting moderate familiarity. A third (33.6%, n = 41) indicated that their organizations had formally adopted such frameworks. Developers identified robustness as the most critical ethical principle and viewed themselves as primarily responsible for implementing regulatory standards. Independent t-tests indicated marginal and significant differences in awareness (p = 0.051) and familiarity (p &lt; 0.001), respectively, between developers from adopting and non-adopting organizations. Senior and junior developers differed significantly on both measures (p &lt; 0.05). These findings highlight developers' strong sense of professional accountability but also reveal limited familiarity and adoption, underscoring the need for greater education and organizational support to foster responsible AI-MD practices.</t>
  </si>
  <si>
    <t>Choo, Cameron M.; Malik, Shelly; Feng, Mengling; Liu, Nan; Lwin, May O.; Xu, Hong; Goh, Wilson W. B.; Sung, Joseph J. Y.</t>
  </si>
  <si>
    <t>Goh, WWB; Sung, JJY (corresponding author), Nanyang Technol Univ, Lee Kong Chian Sch Med, Singapore, Singapore.; Goh, WWB; Sung, JJY (corresponding author), Nanyang Technol Univ, Ctr AI Med, Singapore, Singapore.; Goh, WWB (corresponding author), Nanyang Technol Univ, Sch Biol Sci, Singapore, Singapore.; Goh, WWB (corresponding author), Nanyang Technol Univ, Ctr Biomed Informat, Singapore, Singapore.; Goh, WWB (corresponding author), Inst Mental Hlth, Singapore, Singapore.; Goh, WWB (corresponding author), Imperial Coll London, Fac Med, Dept Brain Sci, Div Neurol, London, England.</t>
  </si>
  <si>
    <t>josephsung@ntu.edu.sg; wilsongoh@ntu.edu.sg</t>
  </si>
  <si>
    <t>National Research Foundation, Singapore under its AI Singapore Programme [AISG3-GV-2021-009]</t>
  </si>
  <si>
    <t>National Research Foundation, Singapore under its AI Singapore Programme (National Research Foundation, Singapore)</t>
  </si>
  <si>
    <t>This research is supported by the National Research Foundation, Singapore, under its AI Singapore Programme (AISG3-GV-2021-009). The funder played no role in study design, data collection, analysis and interpretation of data, or the writing of this manuscript.</t>
  </si>
  <si>
    <t>[Choo, Cameron M.] Nanyang Technol Univ, Interdisciplinary Grad Programme, Neurosci, Singapore, Singapore; [Malik, Shelly; Lwin, May O.; Goh, Wilson W. B.; Sung, Joseph J. Y.] Nanyang Technol Univ, Lee Kong Chian Sch Med, Singapore, Singapore; [Malik, Shelly; Goh, Wilson W. B.; Sung, Joseph J. Y.] Nanyang Technol Univ, Ctr AI Med, Singapore, Singapore; [Feng, Mengling] Natl Univ Singapore, Saw Swee Hock Sch Publ Hlth, Singapore, Singapore; [Liu, Nan] Natl Univ Singapore, Duke NUS Med Sch, Singapore, Singapore; [Lwin, May O.] Nanyang Technol Univ, Wee Kim Wee Sch Commun &amp; Informat, Singapore, Singapore; [Xu, Hong] Nanyang Technol Univ, Sch Social Sci, Singapore, Singapore; [Goh, Wilson W. B.] Nanyang Technol Univ, Sch Biol Sci, Singapore, Singapore; [Goh, Wilson W. B.] Nanyang Technol Univ, Ctr Biomed Informat, Singapore, Singapore; [Goh, Wilson W. B.] Inst Mental Hlth, Singapore, Singapore; [Goh, Wilson W. B.] Imperial Coll London, Fac Med, Dept Brain Sci, Div Neurol, London, England</t>
  </si>
  <si>
    <t>Nanyang Technological University; Nanyang Technological University; Nanyang Technological University; National University of Singapore; National University of Singapore; Nanyang Technological University; Nanyang Technological University; Nanyang Technological University; Nanyang Technological University; Imperial College London</t>
  </si>
  <si>
    <t>Examining developer perspectives on medical AI regulatory frameworks</t>
  </si>
  <si>
    <t>MAY 8 2026</t>
  </si>
  <si>
    <t>542</t>
  </si>
  <si>
    <t>10.1038/s41746-026-02689-0</t>
  </si>
  <si>
    <t>http://dx.doi.org/10.1038/s41746-026-02689-0</t>
  </si>
  <si>
    <t>LB3AG</t>
  </si>
  <si>
    <t>42103977</t>
  </si>
  <si>
    <t>WOS:001820512000001</t>
  </si>
  <si>
    <t>Neville, KJ; Owen, D; Lematta, G; Dorton, SL; Winner, J; Barrett, E; Patterson, ES</t>
  </si>
  <si>
    <t>Humans are often the main source of resilience in work systems, responding to surprise events and variety in demands with resourcefulness, initiative, and flexibility that technologies generally lack. Meanwhile, artificial intelligence and automation technologies increasingly are developed to perform macrocognitive work such as planning and decision making in healthcare, transportation, national security, and other high-consequence domains. When developed without consideration for ways this work is performed to assure work system resilience, new technology risks compromising that resilience. We propose a conceptual framework of work system resilience, Transform with Resilience during Upgrades to Socio-Technical Systems (TRUSTS), that translates resilience concepts into work system requirements for technology development teams to consider. We developed TRUSTS in three phases: baseline framework development, specialization for technology development, and iterative refinement. We position the proposed framework relative to four influential bodies of research, describe early applications in technology development, and identify challenges and research needs.</t>
  </si>
  <si>
    <t>Neville, Kelly J.; Owen, Douglas; Lematta, Glenn; Dorton, Stephen L.; Winner, Jennifer; Barrett, Emily; Patterson, Emily S.</t>
  </si>
  <si>
    <t>Neville, KJ (corresponding author), MITRE Corp, Modeling &amp; Anal Tech Div, 3504 Lake Lynda Dr,Ste 410, Orlando, FL 32817 USA.</t>
  </si>
  <si>
    <t>kneville@mitre.org</t>
  </si>
  <si>
    <t>MITRE Independent Research and Development Program</t>
  </si>
  <si>
    <t>The authors disclosed receipt of the following financial support for the research, authorship, and/or publication of this article: This work was funded by MITRE's Independent Research and Development Program.</t>
  </si>
  <si>
    <t>[Neville, Kelly J.; Dorton, Stephen L.; Barrett, Emily] MITRE Corp, Modeling &amp; Anal Tech Div, Mclean, VA USA; [Owen, Douglas] Aalto Univ, Dept Energy &amp; Mech Engn, Espoo, Finland; [Owen, Douglas] Kotka Maritime Res Ctr, Kotka, Finland; [Owen, Douglas] Risk Pilot AB, Malmo, Sweden; [Lematta, Glenn] MITRE Corp, Software Engn Tech Div, Mclean, VA USA; [Winner, Jennifer] Air Force Res Lab, Warfighter Interact &amp; Readiness Div, Human Performance Wing 711, Dayton, OH USA; [Patterson, Emily S.] Univ Massachusetts Amherst, Coll Nursing, Marieb Ctr Nursing &amp; Engn Innovat, Amherst, MA USA; [Patterson, Emily S.] Univ Massachusetts Amherst, Coll Engn, Dept Mech &amp; Ind Engn, Amherst, MA USA</t>
  </si>
  <si>
    <t>Aalto University; University of Massachusetts System; University of Massachusetts Amherst; University of Massachusetts System; University of Massachusetts Amherst</t>
  </si>
  <si>
    <t>A Conceptual Framework of Work-System Resilience Enablers for Technology Development</t>
  </si>
  <si>
    <t>JOURNAL OF COGNITIVE ENGINEERING AND DECISION MAKING</t>
  </si>
  <si>
    <t>system resilience; sociotechnical systems; trustworthy AI; technology readiness; co-evolution; operational risk management; systems engineering; critical infrastructure</t>
  </si>
  <si>
    <t>PRACTITIONERS CYCLES; COMPLEXITY</t>
  </si>
  <si>
    <t>1555-3434</t>
  </si>
  <si>
    <t>2169-5032</t>
  </si>
  <si>
    <t>J COGN ENG DECIS MAK</t>
  </si>
  <si>
    <t>J. Cogn. Eng. Decis. Mak.</t>
  </si>
  <si>
    <t>10.1177/15553434261470484</t>
  </si>
  <si>
    <t>http://dx.doi.org/10.1177/15553434261470484</t>
  </si>
  <si>
    <t>Engineering, Industrial; Ergonomics; Psychology, Applied</t>
  </si>
  <si>
    <t>Engineering; Psychology</t>
  </si>
  <si>
    <t>MB5SI</t>
  </si>
  <si>
    <t>WOS:001838332700001</t>
  </si>
  <si>
    <t>Jeong, C</t>
  </si>
  <si>
    <t>This study re-examines the role of Explainable AI (XAI) within human-AI collaborative environments and proposes a design and evaluation framework for a human-AI collaboration system that integrates Large Language Models (LLMs) and state-of-the-art AI agent technology. The proposed methodology, which consists of an AI model, an explanation generation module, and a human-AI interface, enhances the adaptability and reliability of explanations. A key contribution of this research is the introduction of an LLM-XAI collaborative architecture that integrates personalized, adaptive explanations with a feedback-driven improvement mechanism. Notably, the system presents a novel paradigm for explanations that distinguishes it from conventional XAI methods by utilizing Chain-of-Thought reasoning traces, natural language explanations, and a multi-stage verification mechanism provided by Deep Research and LLM-based agents. The system defines core quality metrics such as explainability, transparency, reliability, interactivity, and adaptability, and concurrently develops a multi-dimensional evaluation framework to assess these metrics using both quantitative and qualitative data. This system is structured with a feedback loop that enables continuous learning and improvement while transparently explaining the AI's decision-making process. The quality of explanations is also assessed with quantitative metrics, and the system improves continuously through user feedback. This study also presents quantitative and qualitative evaluation metrics and user research methodologies to validate the system's effectiveness, which is expected to contribute to achieving trust-based human-AI collaboration. Furthermore, to demonstrate its practical applicability, a pilot implementation in a medical diagnosis support scenario is presented, offering an ideal model where humans and AI collaborate complementarily, thereby playing a crucial role in promoting the ethical use and social acceptance of AI systems.</t>
  </si>
  <si>
    <t>Jeong, Cheonsu</t>
  </si>
  <si>
    <t>Jeong, C (corresponding author), SAMSUNG SDS, Dept Hyper Automat Team, Olympic Ro 125, Seoul, South Korea.</t>
  </si>
  <si>
    <t>paripal@korea.ac.kr</t>
  </si>
  <si>
    <t>[Jeong, Cheonsu] SAMSUNG SDS, Dept Hyper Automat Team, Olympic Ro 125, Seoul, South Korea</t>
  </si>
  <si>
    <t>Samsung</t>
  </si>
  <si>
    <t>Design and Evaluation Methods for LLM-Based Explainable AI (XAI)-Based Human-AI Collaboration Systems</t>
  </si>
  <si>
    <t>Explainable Artificial Intelligence (XAI); Human-AI Collaboration (HAIC); Explanation generation module; XAI evaluation metrics</t>
  </si>
  <si>
    <t>Jeong, Cheonsu/JQX-2553-2023</t>
  </si>
  <si>
    <t>Jeong, Cheonsu/0000-0003-0751-3987</t>
  </si>
  <si>
    <t>4308</t>
  </si>
  <si>
    <t>4341</t>
  </si>
  <si>
    <t>9VL1W</t>
  </si>
  <si>
    <t>WOS:001615972900007</t>
  </si>
  <si>
    <t>Taleban, A; Sparapani, R; Zlochiver, S; Lu, Q; Widlansky, ME; Luo, J</t>
  </si>
  <si>
    <t>Background and Objective: Deep learning offers high diagnostic accuracy but often lacks interpretability, hindering clinical adoption for Electrocardiogram (ECG) analysis. This study aims to develop a clinically interpretable, U-Net-inspired deep learning framework for Atrial Fibrillation (AFib) detection that elucidates model decision-making through morphological and rhythmic feature extraction. Methods: We utilized a U-Net-inspired encoder-decoder architecture to analyze 12-lead ECGs as spatially structured inputs, capturing inter-lead relationships using the PTB-XL database. Model interpretability was assessed using layer-wise Gradient-weighted Class Activation Mapping (Grad-CAM) to visualize hierarchical feature focus. Additionally, we implemented RR interval variability assessment with heart rate stratification and group-specific threshold optimization to account for physiological variations. Results: On PTB-XL-Improved labels, the model achieved an Area Under the Curve (AUC) of 99.15%, Sensitivity of 97.81%, Specificity of 95.63%, and Precision (PPV) of 95.72%. Performance on the original PTB-XL annotations reached an AUC of 99.78%. Grad-CAM analysis confirmed hierarchical feature extraction, correctly localizing QRS complexes in over 97.5% of cases and P-wave and rhythm irregularities in over 93.1% of cases. Independent RR-interval variability analysis achieved AUCs of 95.5% (slow heart rate), 93.2% (normal), and 91.3% (fast) across three clinically stratified heart rate groups. Conclusions: This framework successfully combines high diagnostic performance with transparent, clinically aligned visual explanations. The principal contribution is not accuracy alone, but the demonstration that layer-wise explanations can be aligned with the clinical ECG reading sequence, from QRS localization to P-wave morphology. External validation remains necessary before broader clinical generalization can be claimed.</t>
  </si>
  <si>
    <t>Taleban, Amirsajjad; Sparapani, Rodney; Zlochiver, Sharone; Lu, Qiang; Widlansky, Michael E.; Luo, Jake</t>
  </si>
  <si>
    <t>Luo, J (corresponding author), Univ Wisconsin Milwaukee, Zilber Sch Publ Hlth, Hlth Informat Program, Milwaukee, WI 53211 USA.</t>
  </si>
  <si>
    <t>jakeluo@uwm.edu</t>
  </si>
  <si>
    <t>Research and Education Program Fund, a component of the Advancing a Healthier Wisconsin Endowment</t>
  </si>
  <si>
    <t>This work was supported, in part, by a grant from the Research and Education Program Fund, a component of the Advancing a Healthier Wisconsin Endowment. The Funding body had no role in the study design, data collection, analysis, interpretation of data, Writing of the manuscript, or decision to submit the article for publication.</t>
  </si>
  <si>
    <t>[Taleban, Amirsajjad; Sparapani, Rodney; Zlochiver, Sharone; Luo, Jake] Univ Wisconsin Milwaukee, Zilber Sch Publ Hlth, Hlth Informat Program, Milwaukee, WI 53211 USA; [Taleban, Amirsajjad; Sparapani, Rodney; Zlochiver, Sharone] Med Coll Wisconsin, Data Sci Inst, Milwaukee, WI USA; [Taleban, Amirsajjad; Sparapani, Rodney; Zlochiver, Sharone] Baxter Int Inc, Diagnost Cardiol, Greater Milwaukee, WI USA; [Lu, Qiang] China Univ Petr, Beijing Key Lab Petr Data Min, Beijing, Peoples R China; [Widlansky, Michael E.] Med Coll Wisconsin, Cardiovasc Res Ctr, Dept Med, Milwaukee, WI USA</t>
  </si>
  <si>
    <t>University of Wisconsin System; University of Wisconsin Milwaukee; Medical College of Wisconsin; China University of Petroleum; Medical College of Wisconsin</t>
  </si>
  <si>
    <t>Clinically-aligned explainable AI for atrial fibrillation detection: A U-Net inspired multi-lead ECG analysis framework</t>
  </si>
  <si>
    <t>Arrhythmia detection; Electrocardiography; Interpretable machine learning; Gradient-weighted class activation mapping; Heart rate variability; Convolutional encoder-decoder; PTB-XL</t>
  </si>
  <si>
    <t>ARRHYTHMIA DETECTION; STROKE PREVENTION; RHYTHM</t>
  </si>
  <si>
    <t>Sparapani, Rodney/AGL-9348-2022</t>
  </si>
  <si>
    <t>109474</t>
  </si>
  <si>
    <t>10.1016/j.cmpb.2026.109474</t>
  </si>
  <si>
    <t>http://dx.doi.org/10.1016/j.cmpb.2026.109474</t>
  </si>
  <si>
    <t>KF2YR</t>
  </si>
  <si>
    <t>42314562</t>
  </si>
  <si>
    <t>WOS:001805580500001</t>
  </si>
  <si>
    <t>Shah, SAH; Shah, STH; Khaled, R; Buccoliero, A; Shah, SBH; Di Terlizzi, A; Di Benedetto, G; Deriu, MA</t>
  </si>
  <si>
    <t>Skin cancer is among the most prevalent cancers globally, emphasizing the need for early detection and accurate diagnosis to improve outcomes. Traditional diagnostic methods, based on visual examination, are subjective, time-intensive, and require specialized expertise. Current artificial intelligence (AI) approaches for skin cancer detection face challenges such as computational inefficiency, lack of interpretability, and reliance on standalone CNN architectures. To address these limitations, this study proposes a comprehensive pipeline combining transfer learning, feature selection, and machine-learning algorithms to improve detection accuracy. Multiple pretrained CNN models were evaluated, with Xception emerging as the optimal choice for its balance of computational efficiency and performance. An ablation study further validated the effectiveness of freezing task-specific layers within the Xception architecture. Feature dimensionality was optimized using Particle Swarm Optimization, reducing dimensions from 1024 to 508, significantly enhancing computational efficiency. Machine-learning classifiers, including Subspace KNN and Medium Gaussian SVM, further improved classification accuracy. Evaluated on the ISIC 2018 and HAM10000 datasets, the proposed pipeline achieved impressive accuracies of 98.5% and 86.1%, respectively. Moreover, Explainable-AI (XAI) techniques, such as Grad-CAM, LIME, and Occlusion Sensitivity, enhanced interpretability. This approach provides a robust, efficient, and interpretable solution for automated skin cancer diagnosis in clinical applications.</t>
  </si>
  <si>
    <t>Shah, Syed Adil Hussain; Shah, Syed Taimoor Hussain; Khaled, Roa'a; Buccoliero, Andrea; Shah, Syed Baqir Hussain; Di Terlizzi, Angelo; Di Benedetto, Giacomo; Deriu, Marco Agostino</t>
  </si>
  <si>
    <t>Shah, STH; Deriu, MA (corresponding author), Politecn Torino, Dept Mech &amp; Aerosp Engn, PolitoBIOMed Lab, I-10129 Turin, Italy.</t>
  </si>
  <si>
    <t>taimoor.shah@polito.it; giacomo@7hc.tech; syedadilhussain.shah@gpi.it; marco.deriu@polito.it; bakirhussain6@gmail.com; angelo.diterlizzi@gpi.it; andrea.buccoliero@gpi.it; roaa.khaled@gm.uca.es</t>
  </si>
  <si>
    <t>European Union's Horizon 2020 research and innovation program under the Marie Sklodowska-Curie-Innovative Training Network 2020 [956394]; European Union</t>
  </si>
  <si>
    <t>European Union's Horizon 2020 research and innovation program under the Marie Sklodowska-Curie-Innovative Training Network 2020 (European Union (EU)); European Union (European Union (EU))</t>
  </si>
  <si>
    <t>The authors declare financial support was received for the research, authorship, and/or publication of this article. The present research work has been developed as part of the PARENT project, funded by the European Union's Horizon 2020 research and innovation program under the Marie Sklodowska-Curie-Innovative Training Network 2020, Grant Agreement No 956394 (https://parenth2020.com/ (accessed on 24 November 2024)).</t>
  </si>
  <si>
    <t>[Shah, Syed Adil Hussain; Buccoliero, Andrea; Di Terlizzi, Angelo] GPI SpA, Dept Res &amp; Dev R&amp;D, I-38123 Trento, Italy; [Shah, Syed Adil Hussain; Shah, Syed Taimoor Hussain; Deriu, Marco Agostino] Politecn Torino, Dept Mech &amp; Aerosp Engn, PolitoBIOMed Lab, I-10129 Turin, Italy; [Khaled, Roa'a] Univ Cadiz, Dept Comp Engn, Puerto Real 11519, Spain; [Buccoliero, Andrea] Univ Verona, Human Sci Dept, Lungadige Porta Vittoria 17, I-37129 Verona, Italy; [Shah, Syed Baqir Hussain] COMSATS Univ Islamabad CUI, Dept Comp Sci, Wah Campus, Wah 47000, Pakistan; [Di Benedetto, Giacomo] 7HC Srl, I-00198 Rome, Italy</t>
  </si>
  <si>
    <t>Polytechnic University of Turin; Universidad de Cadiz; University of Verona; COMSATS University Islamabad (CUI)</t>
  </si>
  <si>
    <t>Explainable AI-Based Skin Cancer Detection Using CNN, Particle Swarm Optimization and Machine Learning</t>
  </si>
  <si>
    <t>transfer learning; feature extraction; feature selection; particle swarm optimization; ablation; subspace KNN; medium Gaussian SVM; explainable-AI</t>
  </si>
  <si>
    <t>Buccoliero, Andrea/OBO-4777-2025; Shah, Syed Taimoor Hussain/PHO-5059-2026; Deriu, Marco Agostino/GPW-8179-2022; SHAH, SYED/AFN-7314-2022; /Q-5970-2019</t>
  </si>
  <si>
    <t>Buccoliero, Andrea/0009-0001-1042-8911; Shah, Syed Taimoor Hussain/0000-0002-6010-6777; Deriu, Marco Agostino/0000-0003-1918-1772</t>
  </si>
  <si>
    <t>332</t>
  </si>
  <si>
    <t>10.3390/jimaging10120332</t>
  </si>
  <si>
    <t>http://dx.doi.org/10.3390/jimaging10120332</t>
  </si>
  <si>
    <t>Q8A1R</t>
  </si>
  <si>
    <t>39728229</t>
  </si>
  <si>
    <t>WOS:001386827900001</t>
  </si>
  <si>
    <t>Yinusa, A; Faezipour, M</t>
  </si>
  <si>
    <t>Deep learning has significantly advanced automated medical imaging, particularly in lung cancer detection, yet vulnerability to adversarial manipulation continues to limit clinical reliability. This study investigates the impact of a 30% random-uniform label-flipping poisoning attack on Convolutional Neural Network (CNN) models trained using the IQ-OTH/NCCD dataset comprising 1190 CT images. A multi-strategy defense pipeline is proposed, integrating defensive distillation, Isolation Forest data sanitization, and a noise-tolerant loss function to enhance robustness against training data corruption. To ensure a valid evaluation framework, Synthetic Minority Oversampling Technique (SMOTE) was applied only to the clean training subset before any poisoning was introduced, preventing the propagation of corrupted labels and establishing a balanced and uncontaminated foundation for teacher training. A high-accuracy teacher model trained on this clean SMOTE-balanced dataset produces temperature-scaled soft labels that guide the Student model. The Student is then trained on a sanitized dataset filtered to remove anomalous or inconsistent samples, using Symmetric Cross-Entropy loss to reduce sensitivity to mislabeled data. Experimental results show that the pipeline maintains strong performance, achieving 99% accuracy on clean data and 95 to 96% accuracy under poisoning, while preserving stable precision, recall, and confidence calibration across all classes. These findings demonstrate that the proposed strategy effectively mitigates label-flipping poisoning, offering a reproducible path toward secure and trustworthy AI systems for medical imaging applications.</t>
  </si>
  <si>
    <t>Yinusa, Ahmeed; Faezipour, Misa</t>
  </si>
  <si>
    <t>Faezipour, M (corresponding author), Middle Tennessee State Univ, Dept Engn Technol, Murfreesboro, TN 37132 USA.</t>
  </si>
  <si>
    <t>misa.faezipour@mtsu.edu</t>
  </si>
  <si>
    <t>Data Science Institute at Middle Tennessee State University</t>
  </si>
  <si>
    <t>Acknowledgments This research was supported by the seed grant received from the Data Science Institute at Middle Tennessee State University.</t>
  </si>
  <si>
    <t>[Yinusa, Ahmeed] Middle Tennessee State Univ, Dept Computat &amp; Data Sci, Murfreesboro, TN 37132 USA; [Faezipour, Misa] Middle Tennessee State Univ, Dept Engn Technol, Murfreesboro, TN 37132 USA</t>
  </si>
  <si>
    <t>Middle Tennessee State University; Middle Tennessee State University</t>
  </si>
  <si>
    <t>Enhancing the robustness of CNN-based lung cancer detection models against label-flipping poison attacks using defensive distillation</t>
  </si>
  <si>
    <t>Label-flipping attacks; Defensive distillation; Adversarial robustness; Data sanitization; Symmetric cross-entropy loss; Lung cancer detection; Medical image analysis; Deep learning security</t>
  </si>
  <si>
    <t>Faezipour, Misa/0000-0002-7206-7429; YINUSA, AHMEED/0009-0002-0401-8737</t>
  </si>
  <si>
    <t>100637</t>
  </si>
  <si>
    <t>10.1016/j.array.2025.100637</t>
  </si>
  <si>
    <t>http://dx.doi.org/10.1016/j.array.2025.100637</t>
  </si>
  <si>
    <t>X5034</t>
  </si>
  <si>
    <t>WOS:001640673100001</t>
  </si>
  <si>
    <t>Raman, R; Pattnaik, D; Lathabai, HH; Kumar, C; Govindan, K; Nedungadi, P</t>
  </si>
  <si>
    <t>This investigation delves into Green AI and Sustainable AI literature through a dual-analytical approach, combining thematic analysis with BERTopic modeling to reveal both broad thematic clusters and nuanced emerging topics. It identifies three major thematic clusters: (1) Responsible AI for Sustainable Development, focusing on integrating sustainability and ethics within AI technologies; (2) Advancements in Green AI for Energy Optimization, centering on energy efficiency; and (3) Big Data-Driven Computational Advances, emphasizing AI's influence on socio-economic and environmental aspects. Concurrently, BERTopic modeling uncovers five emerging topics: Ethical Eco-Intelligence, Sustainable Neural Computing, Ethical Healthcare Intelligence, AI Learning Quest, and Cognitive AI Innovation, indicating a trend toward embedding ethical and sustainability considerations into AI research. The study reveals novel intersections between Sustainable and Ethical AI and Green Computing, indicating significant research trends and identifying Ethical Healthcare Intelligence and AI Learning Quest as evolving areas within AI's socio-economic and societal impacts. The study advocates for a unified approach to innovation in AI, promoting environmental sustainability and ethical integrity to foster responsible AI development. This aligns with the Sustainable Development Goals, emphasizing the need for ecological balance, societal welfare, and responsible innovation. This refined focus underscores the critical need for integrating ethical and environmental considerations into the AI development lifecycle, offering insights for future research directions and policy interventions.</t>
  </si>
  <si>
    <t>Raman, Raghu; Pattnaik, Debidutta; Lathabai, Hiran H.; Kumar, Chandan; Govindan, Kannan; Nedungadi, Prema</t>
  </si>
  <si>
    <t>Raman, R (corresponding author), Amrita Vishwa Vidyapeetham, Amrita Sch Business, Amritapuri 690525, Kerala, India.</t>
  </si>
  <si>
    <t>raghu@amrita.edu</t>
  </si>
  <si>
    <t>[Raman, Raghu] Amrita Vishwa Vidyapeetham, Amrita Sch Business, Amritapuri 690525, Kerala, India; [Pattnaik, Debidutta] Int Management Inst, Bhubaneswar, Odisha, India; [Lathabai, Hiran H.] Amrita Vishwa Vidyapeetham, Ctr Res Analyt &amp; Technol Educ CREATE, Amritapuri 690525, Kerala, India; [Kumar, Chandan] Amrita Vishwa Vidyapeetham, Amrita Sch Comp, Amaravati 522503, Andhra Pradesh, India; [Govindan, Kannan] Shanghai Maritime Univ, China Inst FTZ Supply Chain, Shanghai, Peoples R China; [Nedungadi, Prema] Amrita Vishwa Vidyapeetham, Amrita Sch Comp, Amritapuri 690525, Kerala, India; [Govindan, Kannan] Univ Adelaide, Inst Sustainabil Energy &amp; Resources, Ctr Sustainable Operat &amp; Resilient Supply Chains, Adelaide, Australia; [Govindan, Kannan] Univ Adelaide, Adelaide Business Sch, Adelaide, Australia; [Govindan, Kannan] Woxsen Univ, Sch Business, Sadasivpet, Telangana, India</t>
  </si>
  <si>
    <t>Amrita Vishwa Vidyapeetham; Amrita Vishwa Vidyapeetham Amritapuri; IMI Bhubaneswar; Amrita Vishwa Vidyapeetham; Amrita Vishwa Vidyapeetham Amritapuri; Amrita Vishwa Vidyapeetham; Shanghai Maritime University; Amrita Vishwa Vidyapeetham; Amrita Vishwa Vidyapeetham Amritapuri; Adelaide University; University of Adelaide; Adelaide University; University of Adelaide; Woxsen University</t>
  </si>
  <si>
    <t>Green and sustainable AI research: an integrated thematic and topic modeling analysis</t>
  </si>
  <si>
    <t>JOURNAL OF BIG DATA</t>
  </si>
  <si>
    <t>Green AI; Sustainable AI; BERTopic; Topic modeling; Keywords co-occurrence; Sustainable development goal; Ethics; Cognitive AI; Big data</t>
  </si>
  <si>
    <t>BIG DATA; ARTIFICIAL-INTELLIGENCE; CHALLENGES</t>
  </si>
  <si>
    <t>Kumar, Chandan/J-5744-2016; Pattnaik, Debidutta/GWU-6164-2022; Lathabai, Hiran/AAF-4552-2019; Raman, Raghu/AAL-9550-2020; Nedungadi, Prema/ODJ-1776-2025; govindan, kannan/M-5996-2017</t>
  </si>
  <si>
    <t>Kumar, Chandan/0000-0003-1212-8418; Pattnaik, Debidutta/0000-0001-6180-0499; Raman, Raghu/0000-0002-0851-9742; Nedungadi, Prema/0000-0001-8774-3541; govindan, kannan/0000-0002-6204-1196</t>
  </si>
  <si>
    <t>335</t>
  </si>
  <si>
    <t>2196-1115</t>
  </si>
  <si>
    <t>J BIG DATA-GER</t>
  </si>
  <si>
    <t>J. Big Data</t>
  </si>
  <si>
    <t>10.1186/s40537-024-00920-x</t>
  </si>
  <si>
    <t>http://dx.doi.org/10.1186/s40537-024-00920-x</t>
  </si>
  <si>
    <t>OI6U9</t>
  </si>
  <si>
    <t>WOS:001206689900001</t>
  </si>
  <si>
    <t>Elsharkawy, M; Sharafeldeen, A; Khalifa, F; Soliman, A; Elnakib, A; Ghazal, M; Sewelam, A; Thanos, A; Sandhu, HS; El-Baz, A</t>
  </si>
  <si>
    <t>We propose an automated, explainable artificial intelligence (xAI) system for age-related macular degeneration (AMD) diagnosis. Mimicking the physician's perceptions, the proposed xAI system is capable of deriving clinically meaningful features from optical coherence tomography (OCT) B-scan images to differentiate between a normal retina, different grades of AMD (early, intermediate, geographic atrophy (GA), inactive wet or active neovascular disease [exudative or wet AMD]), and non-AMD diseases. Particularly, we extract retinal OCT-based clinical imaging markers that are correlated with the progression of AMD, which include: (i) subretinal tissue, subretinal pigment epithelial tissue, intraretinal fluid, subretinal fluid, and choroidal hypertransmission detection using a DeepLabV3+ network; (ii) detection of merged retina layers using a novel convolutional neural network model; (iii) drusen detection based on 2D curvature analysis; (iv) estimation of retinal layers' thickness, and first-order and higher-order reflectivity features. Those clinical features are used to grade a retinal OCT in a hierarchical decision tree process. The first step looks for severe disruption of retinal layers' indicative of advanced AMD. These cases are analyzed further to diagnose GA, inactive wet AMD, active wet AMD, and non-AMD diseases. Less severe cases are analyzed using a different pipeline to identify OCT with AMD-specific pathology, which is graded as intermediate-stage or early-stage AMD. The remainder is classified as either being a normal retina or having other non-AMD pathology. The proposed system in the multi-way classification task, evaluated on 1285 OCT images, achieved 90.82% accuracy. These promising results demonstrated the capability to automatically distinguish between normal eyes and all AMD grades in addition to non-AMD diseases.</t>
  </si>
  <si>
    <t>Elsharkawy, Mohamed; Sharafeldeen, Ahmed; Khalifa, Fahmi; Soliman, Ahmed; Elnakib, Ahmed; Ghazal, Mohammed; Sewelam, Ashraf; Thanos, Aristomenis; Sandhu, Harpal S.; El-Baz, Ayman</t>
  </si>
  <si>
    <t>El-Baz, A (corresponding author), Univ Louisville, Dept Bioengn, Louisville, KY 40292 USA.</t>
  </si>
  <si>
    <t>ahmedsoli@gmail.com; aristhanos@gmail.com; ahmed.elnakib@psu.edu; harpal.sandhu@gmail.com; mohammed.ghazal@adu.ac.ae; a_sewelam_eg@mans.edu.eg; aselba01@louisville.edu; mohamed.elshar-kawy@louisville.edu; fahmikhalifa@mans.edu.eg; a.sharafeldeen@louisville.edu</t>
  </si>
  <si>
    <t>[Elsharkawy, Mohamed; Sharafeldeen, Ahmed; Soliman, Ahmed; Sandhu, Harpal S.; El-Baz, Ayman] Univ Louisville, Dept Bioengn, Louisville, KY 40292 USA; [Khalifa, Fahmi] Ayman Morgan State Univ, Elect &amp; Comp Engn Dept, Baltimore, MD 21251 USA; [Elnakib, Ahmed] Univ Louisville, Dept Bioengn, Louisville, KY 40292 USA; [Elnakib, Ahmed] Penn State Erie Behrend Coll, Sch Engn, Elect &amp; Comp Engn Dept, Erie, PA 16563 USA; [Ghazal, Mohammed] Abu Dhabi Univ, Elect &amp; Comp Engn Dept, Abu Dhabi 59911, U Arab Emirates; [Sewelam, Ashraf] Mansoura Univ, Dept Ophthalmol, Fac Med, Mansoura 35516, Egypt; [Thanos, Aristomenis] Legacy Devers Eye Inst, Portland, OR 97210 USA</t>
  </si>
  <si>
    <t>University of Louisville; University of Louisville; Pennsylvania Commonwealth System of Higher Education (PCSHE); Pennsylvania State University; Abu Dhabi University; Egyptian Knowledge Bank (EKB); Mansoura University; Devers Eye Institute</t>
  </si>
  <si>
    <t>A Clinically Explainable AI-Based Grading System for Age-Related Macular Degeneration Using Optical Coherence Tomography</t>
  </si>
  <si>
    <t>Retina; Diseases; Fluids; Feature extraction; Convolutional neural networks; Bioinformatics; Solid modeling; OCT; AMD; CNN; DeepLabV3+; Dry AMD; Wet AMD</t>
  </si>
  <si>
    <t>CLASSIFICATION; DISEASE</t>
  </si>
  <si>
    <t>Soliman, Ahmed/KGM-6501-2024; Khalifa, Fahmi/I-5663-2018; Elnakib, Ahmed/C-1326-2019; Elsharkawy, Mohamed/AAV-9439-2020; Sharafeldeen, Ahmed/AAH-6875-2021</t>
  </si>
  <si>
    <t>Soliman, Ahmed/0000-0002-1931-3416; Khalifa, Fahmi/0000-0003-3318-2851; Elnakib, Ahmed/0000-0001-6084-3622; Ghazal, Mohammed/0000-0002-9045-6698; Elsharkawy, Mohamed/0000-0001-9242-9709; Sharafeldeen, Ahmed/0000-0002-6838-8211; Sandhu, Harpal/0000-0002-5500-8910</t>
  </si>
  <si>
    <t>2079</t>
  </si>
  <si>
    <t>2090</t>
  </si>
  <si>
    <t>10.1109/JBHI.2024.3355329</t>
  </si>
  <si>
    <t>http://dx.doi.org/10.1109/JBHI.2024.3355329</t>
  </si>
  <si>
    <t>WX2W2</t>
  </si>
  <si>
    <t>38231804</t>
  </si>
  <si>
    <t>WOS:001258112900001</t>
  </si>
  <si>
    <t>Botes, WM; Lobban, G</t>
  </si>
  <si>
    <t>Background. The COVID-19 pandemic accelerated global telehealth adoption, yet South Africa (SA) continues to face barriers owing to outdated regulations, fragmented infrastructure, and limited integration of artificial intelligence (AI). While national frameworks acknowledge the role of AI, a dedicated strategy for its implementation in healthcare is absent. This study draws on international governance frameworks and comparative policy analysis to explore pathways for inclusive and effective AI-enabled telehealth in SA. Objectives. To assess current telehealth and AI policy landscapes in SA, identify implementation gaps, and provide actionable recommendations for aligning national strategies with international standards and healthcare needs. Methods. A qualitative policy analysis was conducted, reviewing SA regulatory instruments, including Health Professions Council of South Africa guidelines, the National AI Policy Framework and the National Health Insurance Act 20 of 2023, alongside the World Economic Forum (WEF)'s 2025 White Paper on AI in healthcare. A thematic comparative approach identified regulatory and infrastructural gaps, and proposed frameworks for sector-specific policy advancement. No human participants were included. Results. SA's revised Telehealth Guidelines (2021) remain restrictive and lack provisions for AI integration. The National AI Policy Framework outlines ethical AI governance but fails to detail healthcare-specific implementation. In contrast, the WEF framework offers a phased, stakeholder-driven model for AI adoption, emphasising data governance, digital infrastructure, and workforce training-critical elements currently missing in SA's approach. Conclusion. A national AI-in-healthcare roadmap, supported by regulatory reform, a dedicated oversight body, and investment in digital infrastructure, is essential for equitable telehealth expansion. Further research should focus on scalable models for rural and underserved populations.</t>
  </si>
  <si>
    <t>Botes, W. M.; Lobban, G.</t>
  </si>
  <si>
    <t>Botes, WM (corresponding author), Univ Texas Austin, Dept Psychol, Pestilli Neurosci Lab, Austin, TX 78712 USA.</t>
  </si>
  <si>
    <t>marietjiebotes1@gmail.com</t>
  </si>
  <si>
    <t>[Botes, W. M.] Univ Texas Austin, Dept Psychol, Pestilli Neurosci Lab, Austin, TX 78712 USA; [Lobban, G.] Zumbudda Pty Ltd, Johannesburg, South Africa</t>
  </si>
  <si>
    <t>University of Texas Austin; University of Texas System; University of Texas Austin</t>
  </si>
  <si>
    <t>Accelerating telehealth in South Africa: Bridging the gap between policy, AI innovation, and patient access</t>
  </si>
  <si>
    <t>SOUTH AFRICAN JOURNAL OF BIOETHICS AND LAW</t>
  </si>
  <si>
    <t>telehealth; artificial intelligence; AI; health policy; digital health governance; equitable healthcare access</t>
  </si>
  <si>
    <t>HEALTH &amp; MEDICAL PUBLISHING GROUP</t>
  </si>
  <si>
    <t>CAPE TOWN</t>
  </si>
  <si>
    <t>PRIVATE BAG X1, PINELANDS, CAPE TOWN, 7430, SOUTH AFRICA</t>
  </si>
  <si>
    <t>1999-7639</t>
  </si>
  <si>
    <t>S AFR J BIOETH LAW</t>
  </si>
  <si>
    <t>S. Afr. J. Bioeth. Law</t>
  </si>
  <si>
    <t>e3527</t>
  </si>
  <si>
    <t>10.7196/SAJBL.2026.v19i1.3527</t>
  </si>
  <si>
    <t>http://dx.doi.org/10.7196/SAJBL.2026.v19i1.3527</t>
  </si>
  <si>
    <t>Medical Ethics</t>
  </si>
  <si>
    <t>LJ2KX</t>
  </si>
  <si>
    <t>WOS:001825891800005</t>
  </si>
  <si>
    <t>Wadhwa, VM; Mahajan, A; Jena, T; Garg, J</t>
  </si>
  <si>
    <t>These days, mental health disorders are becoming a major problem, particularly for workers. Effective management and treatment of mental health illnesses depend on early and precise diagnosis. This study investigates how to enhance the interpretability of machine learning models in the prediction of mental illness by utilizing explainable artificial intelligence (XAI) techniques, namely SHAP (Shapley Additive Explanations) and LIME (Local Interpretable Model-agnostic Explanations). We used a dataset from a survey of IT companies that had the required variables in order to create a prediction model. Our results showed that important variables like age, privacy, and work-related distractions had a big impact on model predictions. SHAP values shed emphasis on the role of individual characteristics, emphasizing the significance of age, work interference, and privacy as key risk factors for mental illness. The dependent graphs showed a strong relationship between key characteristics and model output, highlighting the necessity of employee diagnosis and preventative care. The findings highlight the potential of XAI techniques in therapeutic settings, opening the door to more individualized diagnosis and better outcomes for patients with mental health conditions.</t>
  </si>
  <si>
    <t>Wadhwa, Vaishali Mehta; Mahajan, Akanksha; Jena, Tamanna; Garg, Jyoti</t>
  </si>
  <si>
    <t>Wadhwa, VM (corresponding author), Panipat Inst Engn &amp; Technol, Dept Comp Sci &amp; Engn, Panipat 132101, Haryana, India.</t>
  </si>
  <si>
    <t>drvaishaliwadhwa@gmail.com; er.aakanksha@yahoo.co.in; tamannasinghdeo@gmail.com; jyotigarg1055@gmail.com</t>
  </si>
  <si>
    <t>[Wadhwa, Vaishali Mehta; Mahajan, Akanksha; Jena, Tamanna; Garg, Jyoti] Panipat Inst Engn &amp; Technol, Dept Comp Sci &amp; Engn, Panipat 132101, Haryana, India; [Jena, Tamanna] Fairleigh Dickinson Univ, Silberman Sch Business, Vancouver, BC V6B 2P6, Canada; [Garg, Jyoti] Maharishi Markandeswar Deemed be Univ, Dept Comp Sci &amp; Engn, Ambala 133203, Haryana, India</t>
  </si>
  <si>
    <t>Panipat Institute of Engineering &amp; Technology; Fairleigh Dickinson University</t>
  </si>
  <si>
    <t>An explainable artificial intelligence-based approach for prediction and analysis of mental health disorder due to work pressure in the tech industry</t>
  </si>
  <si>
    <t>JOURNAL OF INFORMATION &amp; OPTIMIZATION SCIENCES</t>
  </si>
  <si>
    <t>Explainable AI; LIME; SHAP; Machine learning; Mental health disorder; Predictive nodeling</t>
  </si>
  <si>
    <t>Mehta, Vaishali/HOF-0198-2023</t>
  </si>
  <si>
    <t>TARU PUBLICATIONS</t>
  </si>
  <si>
    <t>G-159, PUSHKAR ENCLAVE, PASHCHIM VIHAR, NEW DELHI, 110 063, INDIA</t>
  </si>
  <si>
    <t>0252-2667</t>
  </si>
  <si>
    <t>2169-0103</t>
  </si>
  <si>
    <t>J INFORM OPTIM SCI</t>
  </si>
  <si>
    <t>J. Inform. Optim. Science</t>
  </si>
  <si>
    <t>1821</t>
  </si>
  <si>
    <t>1829</t>
  </si>
  <si>
    <t>10.47974/JIOS-2011</t>
  </si>
  <si>
    <t>http://dx.doi.org/10.47974/JIOS-2011</t>
  </si>
  <si>
    <t>8SK6G</t>
  </si>
  <si>
    <t>WOS:001596223900004</t>
  </si>
  <si>
    <t>Jagatheesaperumal, SK; Pham, QV; Ruby, R; Yang, ZH; Xu, CM; Zhang, ZY</t>
  </si>
  <si>
    <t>Explainable Artificial Intelligence (XAI) is transforming the field of Artificial Intelligence (AI) by enhancing the trust of end-users in machines. As the number of connected devices keeps on growing, the Internet of Things (IoT) market needs to be trustworthy for the end-users. However, existing literature still lacks a systematic and comprehensive survey work on the use of XAI for IoT. To bridge this lacking, in this paper, we address the XAI frameworks with a focus on their characteristics and support for IoT. We illustrate the widely-used XAI services for IoT applications, such as security enhancement, Internet of Medical Things (IoMT), Industrial IoT (IIoT), and Internet of City Things (IoCT). We also suggest the implementation choice of XAI models over IoT systems in these applications with appropriate examples and summarize the key inferences for future works. Moreover, we present the cutting-edge development in edge XAI structures and the support of sixth-generation (6G) communication services for IoT applications, along with key inferences. In a nutshell, this paper constitutes the first holistic compilation on the development of XAI-based frameworks tailored for the demands of future IoT use cases.</t>
  </si>
  <si>
    <t>Jagatheesaperumal, Senthil Kumar; Pham, Quoc-Viet; Ruby, Rukhsana; Yang, Zhaohui; Xu, Chunmei; Zhang, Zhaoyang</t>
  </si>
  <si>
    <t>Ruby, R (corresponding author), Shenzhen Univ, Coll Comp Sci &amp; Software Engn, Shenzhen 518060, Guangdong, Peoples R China.</t>
  </si>
  <si>
    <t>yang_zhaohui@zju.edu.cn; ruby@szu.edu.cn</t>
  </si>
  <si>
    <t>Mepco Incubation Centre, Sivakasi [SRG/Virudhunagar/21/2020]; Romica Technologies, Sivakasi, India [FR/Virudhunagar/42/2022]; National Research Foundation of Korea (NRF) - Korean Government (MSIT) [NRF-2019R1C1C1006143]; BK21 Four, Korean Southeast Center for the 4th Industrial Revolution Leader Education; National Natural Science Foundation of China [U20A20158, 61725104]; National Key Research and Development Program of China [2020YFB1807101, 2018YFB1801104]</t>
  </si>
  <si>
    <t>Mepco Incubation Centre, Sivakasi; Romica Technologies, Sivakasi, India; National Research Foundation of Korea (NRF) - Korean Government (MSIT) (National Research Foundation of Korea); BK21 Four, Korean Southeast Center for the 4th Industrial Revolution Leader Education (Ministry of Education (MOE), Republic of Korea); National Natural Science Foundation of China (National Natural Science Foundation of China (NSFC)); National Key Research and Development Program of China (National Key Research &amp; Development Program of China)</t>
  </si>
  <si>
    <t>The work of Senthil Kumar Jagatheesaperumal was supported in part by the Mepco Incubation Centre, Sivakasi, under Grant SRG/Virudhunagar/21/2020, and in part by Romica Technologies, Sivakasi, India, under Grant FR/Virudhunagar/42/2022. The work of Quoc-Viet Pham was supported in part by the National Research Foundation of Korea (NRF) Grant funded by the Korean Government (MSIT) under Grant NRF-2019R1C1C1006143, and in part by BK21 Four, Korean Southeast Center for the 4th Industrial Revolution Leader Education. The work of Zhaohui Yang and Zhaoyang Zhang was supported in part by the National Natural Science Foundation of China under Grant U20A20158 and Grant 61725104, and in part by the National Key Research and Development Program of China under Grant 2020YFB1807101 and Grant 2018YFB1801104.</t>
  </si>
  <si>
    <t>[Jagatheesaperumal, Senthil Kumar] Mepco Schlenk Engn Coll, Dept Elect &amp; Commun Engn, Sivakasi 626005, India; [Pham, Quoc-Viet] Pusan Natl Univ, Korean Southeast Ctr Ind Revolut Leadzer Educ 4, Pusan 46241, South Korea; [Ruby, Rukhsana] Shenzhen Univ, Coll Comp Sci &amp; Software Engn, Shenzhen 518060, Guangdong, Peoples R China; [Yang, Zhaohui; Zhang, Zhaoyang] Zhejiang Univ, Coll Informat Sci &amp; Elect Engn, Hangzhou 310027, Peoples R China; [Yang, Zhaohui; Zhang, Zhaoyang] Zhejiang Univ, Zhejiang Prov Key Lab Informat Proc, Commun &amp; Networking, Hangzhou 310007, Peoples R China; [Yang, Zhaohui] Zhejiang Lab, Res Inst Intelligent Networks, Hangzhou, Peoples R China; [Xu, Chunmei] Southeast Univ, Sch Informat Sci &amp; Engn, Nanjing 211189, Peoples R China</t>
  </si>
  <si>
    <t>Mepco Schlenk Engineering College; Pusan National University; Shenzhen University; Zhejiang University; Zhejiang University; Zhejiang Laboratory; Southeast University - China</t>
  </si>
  <si>
    <t>Explainable AI Over the Internet of Things (IoT): Overview, State-of-the-Art and Future Directions</t>
  </si>
  <si>
    <t>Artificial intelligence; deep learning; explainability; machine learnin</t>
  </si>
  <si>
    <t>BIG DATA ANALYTICS; INDUSTRY 4.0; ARTIFICIAL-INTELLIGENCE; WIRELESS NETWORKS; VISUAL ANALYTICS; ARCHITECTURE; COMMUNICATION; CHALLENGES; ARTIFACTS; TRUST</t>
  </si>
  <si>
    <t>Zhang, Zhaoyang/C-1446-2015; zhaohui, yang/R-1662-2017; Pham, Viet Quoc/AAG-2266-2021; Jagatheesaperumal, Senthil Kumar/S-9258-2019</t>
  </si>
  <si>
    <t>Zhang, Zhaoyang/0000-0003-2346-6228; Pham, Viet Quoc/0000-0002-9485-9216; Jagatheesaperumal, Senthil Kumar/0000-0002-9516-0327</t>
  </si>
  <si>
    <t>2106</t>
  </si>
  <si>
    <t>2136</t>
  </si>
  <si>
    <t>10.1109/OJCOMS.2022.3215676</t>
  </si>
  <si>
    <t>http://dx.doi.org/10.1109/OJCOMS.2022.3215676</t>
  </si>
  <si>
    <t>6J6EV</t>
  </si>
  <si>
    <t>WOS:000886914800005</t>
  </si>
  <si>
    <t>Dinçel, N; Büyükkeçeci, M; Hekimoglu, CK; Onur, D; Mir, S; Sofuoglu, I; Ozmen, D; Kirmizitas, E; Cetinkaya, D</t>
  </si>
  <si>
    <t>Purpose To develop and evaluate a machine learning-based approach for the interpretation of uroflowmetry in pediatric lower urinary tract dysfunction, aiming to reduce interobserver variability and improve diagnostic consistency while maintaining clinical interpretability.Methods In this single-center retrospective study, 2663 pediatric uroflowmetry records (age 2-18 years, July 2019-March 2024) were analyzed. LUTD subtypes were assigned to the International Children's Continence Society terminology. Two settings were evaluated: three-class (overactive bladder (OAB), dysfunctional voiding (DV), normal (N)) and four-class (adding DV-OAB). Eight predictors (four numerical, four categorical) were used. Seven ML models (Decision Trees, Naive Bayes, Support Vector Machine, Efficiently Trained Linear Classifiers (Logistic Regression), Gaussian Kernel, Ensemble Classifiers, and Artificial Neural Networks) were trained with Bayesian hyperparameter optimization using stratified tenfold cross-validation on a 90-10% train-test split. Weighted accuracy, precision, recall, and F1-score were reported. Feature importance was quantified with Shapley Additive Explanations (SHAP). Reporting followed TRIPOD-AI.Results In the three-class setting, the ensemble classifier achieved the best test performance (accuracy 86.09%, F1 86.03%) and all models exceeded 82% test accuracy. In the four-class setting, test accuracy dropped to 72.56-78.95%, and most models failed to predict the DV-OAB class owing to its low prevalence (2.55%). SHAP identified bladder capacity as the dominant feature for OAB, pelvic floor activity for DV, and residual volume as a secondary DV feature. Sex showed a limited predictive contribution compared with the other clinical predictors.Conclusions Explainable ML enables interpretable classification of pediatric LUTD subtypes from uroflowmetry data across a wide age range, including children under 5 years. External multicenter validation is required before clinical deployment.</t>
  </si>
  <si>
    <t>Dincel, Nida; Buyukkececi, Mustafa; Hekimoglu, Caner Kivanc; Onur, Dersan; Mir, Sermet; Sofuoglu, Ilhan; Ozmen, Derya; Kirmizitas, Ezgi; Cetinkaya, Deniz</t>
  </si>
  <si>
    <t>Cetinkaya, D (corresponding author), Bournemouth Univ, Sch Comp &amp; Engn, Poole House P324,Talbot Campus, Poole BH12 5BB, England.</t>
  </si>
  <si>
    <t>dcetinkaya@bournemouth.ac.uk</t>
  </si>
  <si>
    <t>Health Institutes of Trkiye (TSEB) [2026-B1-01-52339]</t>
  </si>
  <si>
    <t>Health Institutes of Trkiye (TSEB)</t>
  </si>
  <si>
    <t>This study was supported by the Health Institutes of Turkiye (TUSEB), under Grant No. 2026-B1-01-52339.</t>
  </si>
  <si>
    <t>[Dincel, Nida; Ozmen, Derya; Kirmizitas, Ezgi] Univ Hlth Sci, Dr Behcet Uz Childrens Hosp, Izmir, Turkiye; [Hekimoglu, Caner Kivanc] Yasar Univ, Dept Comp Engn, Izmir, Turkiye; [Onur, Dersan] Univ Hlth Sci, Izmir Tepecik Training &amp; Res Hosp, Izmir, Turkiye; [Mir, Sermet] Ravensbourne Univ London, London, England; [Sofuoglu, Ilhan] Yasar Univ, Dept Software Engn, Izmir, Turkiye; [Cetinkaya, Deniz] Bournemouth Univ, Sch Comp &amp; Engn, Poole House P324,Talbot Campus, Poole BH12 5BB, England</t>
  </si>
  <si>
    <t>Izmir Dr Behcet Uz Children's Disease &amp; Surgery Training &amp; Research Hospital; University of Health Sciences Turkey; Yasar University; University of Health Sciences Turkey; Izmir Tepecik Training &amp; Research Hospital; Ravensbourne University London; Yasar University</t>
  </si>
  <si>
    <t>Prediction of pediatric lower urinary tract dysfunction using uroflowmetry data and machine learning with explainable AI techniques</t>
  </si>
  <si>
    <t>INTERNATIONAL UROLOGY AND NEPHROLOGY</t>
  </si>
  <si>
    <t>Pediatric; Uroflowmetry; Lower urinary tract dysfunction; Explainable artificial intelligence; Machine learning algorithms</t>
  </si>
  <si>
    <t>0301-1623</t>
  </si>
  <si>
    <t>1573-2584</t>
  </si>
  <si>
    <t>INT UROL NEPHROL</t>
  </si>
  <si>
    <t>Int. Urol. Nephrol.</t>
  </si>
  <si>
    <t>10.1007/s11255-026-05342-7</t>
  </si>
  <si>
    <t>http://dx.doi.org/10.1007/s11255-026-05342-7</t>
  </si>
  <si>
    <t>MV3SZ</t>
  </si>
  <si>
    <t>42611124</t>
  </si>
  <si>
    <t>WOS:001851778600001</t>
  </si>
  <si>
    <t>Hasasneh, A; Masri, S; Tadj, C</t>
  </si>
  <si>
    <t>The early detection and diagnosis of neonatal problems are critical to ensuring that an infant receives timely medical attention, which greatly enhances health outcomes. In this study, we propose a novel deep learning framework that listens to an infant's cry to identify and diagnose six separate conditions: one being healthy and the other five comprising sepsis, respiratory distress syndrome, jaundice, hyperbilirubinemia, and vomiting. The study utilizes a rich dataset of infant cry recordings from which key acoustic features such as spectrograms, Mel-spectrograms, and Gammatone Frequency Cepstral Coefficients (GFCCs) are extracted. A sophisticated Vision Transformer (ViT) model was developed and meticulously fine-tuned to achieve an impressive 99% classification accuracy through cross-validation. To enhance the model's interpretability, powerful explainable artificial intelligence (XAI) methods such as LRP, LIME, and attention imaging were implemented to clarify the reasoning behind the model's outputs. Through cross-validation tests, the model's trustworthiness and extensive generalizability were assessed. The findings underscore the promising capabilities of employing transformer-based deep learning frameworks along with multimodal acoustic features and explanatory methods to improve cry analysis in infants and their usable scopes in pediatric medicine.</t>
  </si>
  <si>
    <t>Hasasneh, Ahmad; Masri, Sari; Tadj, Chakib</t>
  </si>
  <si>
    <t>Hasasneh, A (corresponding author), Arab Amer Univ, Fac Grad Studies, Dept Nat Engn &amp; Technol Sci, Ramallah, Palestine.</t>
  </si>
  <si>
    <t>ahmad.hasasneh@aaup.edu</t>
  </si>
  <si>
    <t>[Hasasneh, Ahmad; Masri, Sari] Arab Amer Univ, Fac Grad Studies, Dept Nat Engn &amp; Technol Sci, Ramallah, Palestine; [Tadj, Chakib] Univ Quebec, Ecole Technol Super, Dept Elect Engn, Montreal, PQ H3C 1K3, Canada</t>
  </si>
  <si>
    <t>Arab American University; University of Quebec; University of Quebec Montreal; Ecole de Technologie Superieure - Canada</t>
  </si>
  <si>
    <t>Unveiling Hidden Patterns in Infant Cry Audio: A Multi-Feature Vision Transformer Approach With Explainable AI</t>
  </si>
  <si>
    <t>Infant cry classification; vision transformer (ViT); explainable AI (XAI); explainable AI (XAI); layer-wise relevance propagation (LRP); layer-wise relevance propagation (LRP); local interpretable model-agnostic explanations (LIME); local interpretable model-agnostic explanations (LIME); feature extraction; feature extraction; spectrogram; spectrogram; Gammatone frequency cepstral coefficients (GFCC); Gammatone frequency cepstral coefficients (GFCC); mel-Spectrogram; mel-Spectrogram; multi-feature audio representation; multi-feature audio representation; multi-feature audio representation</t>
  </si>
  <si>
    <t>MORTALITY</t>
  </si>
  <si>
    <t>Hasasneh, Ahmad/JDV-5486-2023</t>
  </si>
  <si>
    <t>Masri, Sari/0009-0000-1592-2540</t>
  </si>
  <si>
    <t>161103</t>
  </si>
  <si>
    <t>161115</t>
  </si>
  <si>
    <t>10.1109/ACCESS.2025.3609459</t>
  </si>
  <si>
    <t>http://dx.doi.org/10.1109/ACCESS.2025.3609459</t>
  </si>
  <si>
    <t>7OI2D</t>
  </si>
  <si>
    <t>WOS:001575778800010</t>
  </si>
  <si>
    <t>Kodipyaka, N; Suganya, G; Johnson, DR</t>
  </si>
  <si>
    <t>Background and objective: Lung cancer is the top cause of cancer-related death, globally. The morphological complexity of tumours, intra-tumoural heterogeneity and limited interpretability of current imaging systems all contribute to the difficulty of early and reliable detection of tumours. This paper introduces LungCraft, a diagnostic framework composed of 3D medical modelling, quantitative radiomics and explainable artificial intelligence (XAI) for lung adenocarcinoma classification, using computed tomography (CT) scans as input. Methods: LungCraft uses a hybrid deep learning architecture (HybridNET) which has a combination of layers that use 3D convolutional layers for volumetric feature learning and 2D convolutional layers for contextual refinement. Sixty-one TCIA CT volumes were used for internal validation, while the LIDC-IDRI and NSCLC-Radiomics datasets were kept as held-out test sets for external validation. The spatial and feature level interpretability is given by Grad-CAM and KernelSHAP. Unlike previous methods which focussed on achieving one or more of these, LungCraft's main strength is that it brings these in a systematic way as part of an integrated pipeline that includes a two-stage feature-level fusion strategy, dual spatial and feature level explainability and interactive 3D tumour visualization. Results: On internal test set, LungCraft was able to classify with an accuracy of 91.3% and an AUC of 0.93, whereas on external cohorts it was able to classify with an accuracy of 88.7% and an AUC of 0.91 (LIDC-IDRI) and 89.6% and 0.92 (NSCLC-Radiomics). 95% confidence intervals are given for all measurements. The results are statistically significant (p &lt; 0.01) when compared with the results of the baseline architecture. Conclusion: LungCraft achieves accurate and interpretable diagnosis of lung adenocarcinoma, with demonstrated external generalisation and has a potential use as an AI assistant in clinical decision making which is subject to formal prospective validation.</t>
  </si>
  <si>
    <t>Kodipyaka, Nithin; Suganya, G.; Johnson, Deepika Roselind</t>
  </si>
  <si>
    <t>Johnson, DR (corresponding author), Vellore Inst Technol, Sch Comp Sci &amp; Engn, Chennai, India.</t>
  </si>
  <si>
    <t>deepikaroselind.j@vit.ac.in</t>
  </si>
  <si>
    <t>[Kodipyaka, Nithin; Suganya, G.; Johnson, Deepika Roselind] Vellore Inst Technol, Sch Comp Sci &amp; Engn, Chennai, India</t>
  </si>
  <si>
    <t>LungCraft: a hybrid 3D-2D deep learning and radiomics framework with explainable AI for precision diagnosis of lung cancer</t>
  </si>
  <si>
    <t>3D modelling; CT visualization; explainable AI; grad-CAM; HybridNET; lung adenocarcinoma; lung-cancer diagnosis; quantitative imaging biomarkers</t>
  </si>
  <si>
    <t>CONVOLUTIONAL NEURAL-NETWORK; CLASSIFICATION; NODULES</t>
  </si>
  <si>
    <t>JUN 23 2026</t>
  </si>
  <si>
    <t>1853361</t>
  </si>
  <si>
    <t>10.3389/frai.2026.1853361</t>
  </si>
  <si>
    <t>http://dx.doi.org/10.3389/frai.2026.1853361</t>
  </si>
  <si>
    <t>KR4ZG</t>
  </si>
  <si>
    <t>42415845</t>
  </si>
  <si>
    <t>WOS:001813863500001</t>
  </si>
  <si>
    <t>Mahaswetha, S; Bhatnagar, S</t>
  </si>
  <si>
    <t>Despite the great advances in the clinical diagnosing system, breast cancer is still the most common and fatal disease to woman all over the world, which indicates that there is still a urgent demand of precise and explainable diagnosis system. In this work, we propose a segmentation-guided knowledge distillation framework, which combines the high accuracy of deep learning and clinical explanation ability for breast cancer detection on ultrasound images. The proposed method utilizes a teacher-student framework, and the ResNet-50 teacher is capable of transferring high-level diagnostic representations to the MobileNetV2 student model. Segmentation masks are used as an auxiliary input to guide the student to attend to the tumor areas during training and to improve the relevance of features. This combination provides a good balance for knowledge transfer with low computational complexity. Tested on the BUSI ultrasound dataset, the model outperformed traditional CNN and transfer learning baseline with an overall accuracy and F1-score of 94%. Furthermore, scalability studies demonstrated robust results for reduced fractions of the dataset with real-time inference at more than 200 FPS. The results suggest that distillation of segmentation to the classification task, in the proposed framework improves diagnostic ability and enhances the model explainability, hence it leads to robust and trustworthy AI solutions for breast cancer screening.</t>
  </si>
  <si>
    <t>Mahaswetha, S.; Bhatnagar, Shaleen</t>
  </si>
  <si>
    <t>Bhatnagar, S (corresponding author), Manipal Acad Higher Educ, Manipal Inst Technol Bengaluru, Manipal, India.</t>
  </si>
  <si>
    <t>shaleen.bhatnagar@manipal.edu; mahaswetha.mitblr2023@learner.manipal.edu</t>
  </si>
  <si>
    <t>[Mahaswetha, S.; Bhatnagar, Shaleen] Manipal Acad Higher Educ, Manipal Inst Technol Bengaluru, Manipal, India</t>
  </si>
  <si>
    <t>Segmentation-guided knowledge distillation framework for interpretable breast cancer classification</t>
  </si>
  <si>
    <t>Breast cancer classification; Knowledge distillation; Teacher-student network; Segmentation-guided learning; Medical image analysis</t>
  </si>
  <si>
    <t>APR 24 2026</t>
  </si>
  <si>
    <t>676</t>
  </si>
  <si>
    <t>10.1007/s42452-026-08618-w</t>
  </si>
  <si>
    <t>http://dx.doi.org/10.1007/s42452-026-08618-w</t>
  </si>
  <si>
    <t>JD9QW</t>
  </si>
  <si>
    <t>WOS:001787049800001</t>
  </si>
  <si>
    <t>Zhou, DH; Song, ZY; Chen, ZC; Huang, XT; Ji, CM; Kumari, S; Chen, CM; Kumar, S</t>
  </si>
  <si>
    <t>The great success of Convolutional Neural Networks has driven their widespread use in Industry 5.0, especially in safety-critical applications where model robustness is essential. While adversarial training is commonly used to make models more robust, it often changes how the model fuses features, leading to complex trade-offs and making its behavior harder to understand. This lack of transparency contradicts the demand for interpretable and trustworthy artificial intelligence systems in modern industry, where applications like autonomous driving and intelligent medical systems require model interpretability to assign post-accident responsibility and support legal and liability decisions. Our work introduces an innovative approach to enhance the interpretability of adversarially trained Convolutional Neural Networks, providing detailed and quantifiable insights through a six-dimensional semantic framework. This framework, which examines objects, parts, scenes, materials, textures, and colors, offers fine-grained explanations that closely mirror human cognitive processes. We conduct extensive experiments across multiple classical models, and the results reveal that adversarial training induces structure-dependent changes in feature preferences, offering insights into the trade-off between standard and robust accuracy in adversarially trained Convolutional Neural Networks. These findings provide rational support for the use of artificial intelligence in real-world applications and promote the development and implementation of explainable artificial intelligence in modern industries.</t>
  </si>
  <si>
    <t>Zhou, Dehua; Song, Ziyu; Chen, Zicong; Huang, Xianting; Ji, Congming; Kumari, Saru; Chen, Chien-Ming; Kumar, Sachin</t>
  </si>
  <si>
    <t>Chen, CM (corresponding author), Nanjing Univ Informat Sci Technol, Nanjing, Peoples R China.</t>
  </si>
  <si>
    <t>tzhoudh@jnu.edu.cn; hhhxtw02@stu2021.jnu.edu.cn; imsachingupta@rediffmail.com; congminji689@stu2022.jnu.edu.cn; saru@ieee.org; szycs@stu2022.jnu.edu.cn; chenzicong2022@stu2022.jnu.edu.cn</t>
  </si>
  <si>
    <t>National Key R&amp;D Program of China [2022YFC3303200]; GuangDong Basic and Applied Basic Research Foundation [2023A1515012111]; Shenzhen-Hong Kong-Macao Science and Technology Plan Project (Category C Project) [SGDX20210823103537030]</t>
  </si>
  <si>
    <t>National Key R&amp;D Program of China (National Key Research &amp; Development Program of China); GuangDong Basic and Applied Basic Research Foundation (Guangdong Basic and Applied Basic Research Foundation); Shenzhen-Hong Kong-Macao Science and Technology Plan Project (Category C Project)</t>
  </si>
  <si>
    <t>It is partially supported by National Key R&amp;D Program of China (Grant No. 2022YFC3303200) , GuangDong Basic and Applied Basic Research Foundation (Grant No. 2023A1515012111) , Shenzhen-Hong Kong-Macao Science and Technology Plan Project (Category C Project: SGDX20210823103537030) ,</t>
  </si>
  <si>
    <t>[Zhou, Dehua; Song, Ziyu; Chen, Zicong; Huang, Xianting; Ji, Congming] Jinan Univ, Coll Informat Sci &amp; Technol, Guangzhou, Peoples R China; [Kumari, Saru] Chaudhary Charan Singh Univ, Dept Math, Meerut 250001, India; [Chen, Chien-Ming] Nanjing Univ Informat Sci Technol, Nanjing, Peoples R China; [Kumar, Sachin] Galgotias Coll Engn &amp; Technol, Dept Comp Sci &amp; Engn, Greater Noida 201310, India</t>
  </si>
  <si>
    <t>Jinan University; Chaudhary Charan Singh University; Nanjing University of Information Science &amp; Technology; Galgotias College of Engineering &amp; Technology (GCET)</t>
  </si>
  <si>
    <t>Advancing explainability of adversarial trained Convolutional Neural Networks for robust engineering applications</t>
  </si>
  <si>
    <t>Convolutional Neural Networks; Explainability; Visual representations; Adversarial training; Implementation and application of artificial intelligence</t>
  </si>
  <si>
    <t>Kumar, Sachin/ABU-5986-2022; Kumari, Saru/K-2038-2019; Chen, Chien-Ming/W-2133-2019; Song, Ziyu/MZX-0421-2025</t>
  </si>
  <si>
    <t>Kumar, Sachin/0000-0002-5324-2156; Chen, Chien-Ming/0000-0002-6502-472X; Chen, Zicong/0000-0003-4438-8740; Huang, Xianting/0009-0002-1375-0065</t>
  </si>
  <si>
    <t>140</t>
  </si>
  <si>
    <t>109681</t>
  </si>
  <si>
    <t>10.1016/j.engappai.2024.109681</t>
  </si>
  <si>
    <t>http://dx.doi.org/10.1016/j.engappai.2024.109681</t>
  </si>
  <si>
    <t>P3O9K</t>
  </si>
  <si>
    <t>WOS:001377055700001</t>
  </si>
  <si>
    <t>Velpula, VK; Sharma, D; Sharma, LD; Roy, A; Bhuyan, MK; Alfarhood, S; Safran, M</t>
  </si>
  <si>
    <t>Glaucoma is an eye disease that damages the optic nerve as a result of vision loss, it is the leading cause of blindness worldwide. Due to the time-consuming, inaccurate, and manual nature of traditional methods, automation in glaucoma detection is important. This paper proposes an explainable artificial intelligence (XAI) based model for automatic glaucoma detection using pre-trained convolutional neural networks (PCNNs) and machine learning classifiers (MLCs). PCNNs are used as feature extractors to obtain deep features that can capture the important visual patterns and characteristics from fundus images. Using extracted features MLCs then classify glaucoma and healthy images. An empirical selection of the CNN and MLC parameters has been made in the performance evaluation. In this work, a total of 1,865 healthy and 1,590 glaucoma images from different fundus datasets were used. The results on the ACRIMA dataset show an accuracy, precision, and recall of 98.03%, 97.61%, and 99%, respectively. Explainable artificial intelligence aims to create a model to increase the user's trust in the model's decision-making process in a transparent and interpretable manner. An assessment of image misclassification has been carried out to facilitate future investigations.This diagram provides the Workflow diagram of the proposed system using CNN and machine learning classifiers (SVM and KNN). image</t>
  </si>
  <si>
    <t>Velpula, Vijaya Kumar; Sharma, Diksha; Sharma, Lakhan Dev; Roy, Amarjit; Bhuyan, Manas Kamal; Alfarhood, Sultan; Safran, Mejdl</t>
  </si>
  <si>
    <t>Roy, A (corresponding author), Ghani Khan Choudhury Inst Engn Technol, Dept Elect Engn, Maligram 732141, W Bengal, India.</t>
  </si>
  <si>
    <t>royamarjit90@gmail.com</t>
  </si>
  <si>
    <t>King Saud University, Riyadh, Saudi Arabia [RSPD2024R1027]</t>
  </si>
  <si>
    <t>King Saud University, Riyadh, Saudi Arabia, Grant/Award Number: RSPD2024R1027</t>
  </si>
  <si>
    <t>[Velpula, Vijaya Kumar] MLR Inst Technol, Dept Elect &amp; Commun Engn, Hyderabad, India; [Sharma, Diksha] Cent Univ Jharkhand, Dept Nanosci &amp; Technol, Ranchi, India; [Sharma, Lakhan Dev] VIT AP Univ, Sch Elect Engn, Amaravati, Andhra Prades, India; [Roy, Amarjit] Ghani Khan Choudhury Inst Engn Technol, Dept Elect Engn, Maligram 732141, W Bengal, India; [Bhuyan, Manas Kamal] Indian Inst Technol Guwahati, Dept Elect &amp; Elect Engn, Gauhati, Assam, India; [Alfarhood, Sultan; Safran, Mejdl] King Saud Univ, Coll Comp &amp; Informat Sci, Dept Comp Sci, Riyadh, Saudi Arabia</t>
  </si>
  <si>
    <t>MLR Institute of Technology; Central University of Jharkhand; VIT-AP University; Indian Institute of Technology System (IIT System); Indian Institute of Technology (IIT) - Guwahati; King Saud University</t>
  </si>
  <si>
    <t>Glaucoma detection with explainable AI using convolutional neural networks based feature extraction and machine learning classifiers</t>
  </si>
  <si>
    <t>IET IMAGE PROCESSING</t>
  </si>
  <si>
    <t>convolutional neural nets; image classification; medical image processing</t>
  </si>
  <si>
    <t>CLASSIFICATION; DIAGNOSIS; TEXTURE; DISC</t>
  </si>
  <si>
    <t>Alfarhood, Sultan/HIK-0580-2022; SHARMA, LAKHAN/D-4578-2019; Safran, Mejdl/HMU-9371-2023</t>
  </si>
  <si>
    <t>Sharma, Diksha/0009-0002-8302-8633; Velpula, Vijaya Kumar/0000-0001-7317-3613</t>
  </si>
  <si>
    <t>1751-9659</t>
  </si>
  <si>
    <t>1751-9667</t>
  </si>
  <si>
    <t>IET IMAGE PROCESS</t>
  </si>
  <si>
    <t>IET Image Process.</t>
  </si>
  <si>
    <t>3827</t>
  </si>
  <si>
    <t>3853</t>
  </si>
  <si>
    <t>10.1049/ipr2.13211</t>
  </si>
  <si>
    <t>http://dx.doi.org/10.1049/ipr2.13211</t>
  </si>
  <si>
    <t>Computer Science, Artificial Intelligence; Engineering, Electrical &amp; Electronic; Imaging Science &amp; Photographic Technology</t>
  </si>
  <si>
    <t>Computer Science; Engineering; Imaging Science &amp; Photographic Technology</t>
  </si>
  <si>
    <t>L9F4I</t>
  </si>
  <si>
    <t>WOS:001293373900001</t>
  </si>
  <si>
    <t>Pe, S; Dagliati, A; Parimbelli, E; Guerra, BMV; Sozzi, S; Bellazzi, R; Nicora, G</t>
  </si>
  <si>
    <t>Background: Human Activity Recognition (HAR) and exercise assessment models are increasingly used in healthcare to support clinical evaluation, rehabilitation, and remote monitoring. However, their real-world applicability critically depends on the ability to generalize across unseen subjects, whose movement patterns may differ substantially due to inter-individual variability. Despite this, many studies adopt random noncrosssubject (NCS) data splits, where samples from the same individual appear in both training and test sets, potentially leading to overly optimistic and clinically misleading performance estimates. Objective: We investigate (i) how NCS and cross-subject (CS) splits affect performance estimation across machine learning and deep learning models under tasks of increasing complexity, (ii) how data splitting and differences between training and test sets contribute to predictive variance and stability. Methods: Experiments were performed using a large-scale HAR benchmark dataset (NTU RGB+D 120) and a rehabilitation-specific dataset (IntelliRehabDS). A total of 12 machine learning and deep learning models were trained across both tasks, and their performance was estimated and compared using a simulation-based approach. Predictive variance decomposition, via Generalized Linear Mixed-Effects models, was applied to link the split strategy and differences in training and test instances to model output stability. Results: NCS splits consistently overestimated model performances, with discrepancies increasing alongside task and model complexity. DL architectures, in particular, showed markedly higher NCS performance compared to CS splits, generally with statistical significance. Variance decomposition revealed that greater subject difference between training and test sets often enhances predictive instability, while CS splitting reduces variance by promoting more generalizable representations. Conclusions: Improper dataset splits can mislead model evaluation, exaggerate generalization capabilities, and undermine clinical trust. Our study provides empirical evidence for computer vision-based rehabilitation models and offers methodological guidance for robust evaluation practices, supporting reproducible and trustworthy AI deployment in rehabilitation and broader healthcare applications.</t>
  </si>
  <si>
    <t>Pe, Samuele; Dagliati, Arianna; Parimbelli, Enea; Guerra, Bruna Maria Vittoria; Sozzi, Stefania; Bellazzi, Riccardo; Nicora, Giovanna</t>
  </si>
  <si>
    <t>Pe, S (corresponding author), Univ Pavia, Dept Elect Comp &amp; Biomed Engn, Via Adolfo Ferrata 5, I-27100 Pavia, Italy.</t>
  </si>
  <si>
    <t>samuele.pe01@universitadipavia.it</t>
  </si>
  <si>
    <t>Italian Ministry of Research [PNC0000007]</t>
  </si>
  <si>
    <t>Italian Ministry of Research (Ministry of Education, Universities and Research (MIUR))</t>
  </si>
  <si>
    <t>S. P. is a PhD student enrolled in the National PhD program in Artificial Intelligence, XXXIX cycle, course on health and life sciences, organized by Universita Campus Bio-Medico di Roma. This work was supported by the Italian Ministry of Research, under the complementary actions to the NRRP "Fit4MedRob-Fit for Medical Robotics" Grant (# PNC0000007) .</t>
  </si>
  <si>
    <t>[Pe, Samuele; Dagliati, Arianna; Parimbelli, Enea; Guerra, Bruna Maria Vittoria; Sozzi, Stefania; Bellazzi, Riccardo; Nicora, Giovanna] Univ Pavia, Dept Elect Comp &amp; Biomed Engn, Via Adolfo Ferrata 5, I-27100 Pavia, Italy; [Parimbelli, Enea] Univ Ottawa, Telfer Sch Management, Ottawa, ON K1N 6N5, Canada</t>
  </si>
  <si>
    <t>University of Pavia; University of Ottawa</t>
  </si>
  <si>
    <t>How improper dataset split hinders model generalizability: a systematic comparison in Human activity recognition and exercise evaluation tasks</t>
  </si>
  <si>
    <t>Cross-subject; Bias-variance tradeoff; Machine learning; Deep learning; Kinect camera</t>
  </si>
  <si>
    <t>Dagliati, Arianna/I-7119-2019; Stefania, Sozzi/K-3924-2016; Parimbelli, Enea/AAE-2140-2020; Guerra, Bruna Maria Vittoria/AAD-7014-2021</t>
  </si>
  <si>
    <t>Parimbelli, Enea/0000-0003-0679-828X; Guerra, Bruna Maria Vittoria/0000-0002-5169-4431</t>
  </si>
  <si>
    <t>216</t>
  </si>
  <si>
    <t>106464</t>
  </si>
  <si>
    <t>10.1016/j.ijmedinf.2026.106464</t>
  </si>
  <si>
    <t>http://dx.doi.org/10.1016/j.ijmedinf.2026.106464</t>
  </si>
  <si>
    <t>HX8PV</t>
  </si>
  <si>
    <t>42097112</t>
  </si>
  <si>
    <t>WOS:001765270100001</t>
  </si>
  <si>
    <t>Liu, L; Tang, L; Dai, MQ; Ding, XH; Wu, LL; Ke, X; Luo, JM; Liu, N</t>
  </si>
  <si>
    <t>Background: Late-life depression is a global health concern with heterogeneous risk factors across populations. This study aimed to develop and validate a machine learning model for depression prediction in older adults using harmonized data from the United States and China. Methods: We harmonized data from the Health and Retirement Study (HRS, n = 6865) and China Health and Retirement Longitudinal Study (CHARLS, n = 4476) for adults aged &gt;= 60 years. Depression was assessed using validated scales in both cohorts. The Boruta algorithm was used for feature selection. 17 machine learning algorithms were evaluated, with HRS data split into training (70 %) and internal validation (30 %), and CHARLS data used for external validation. Model performance was assessed using AUC, decision curve analysis, calibration plots, and SHapley Additive Explanations (SHAP). Results: The Gradient Boosting Machine (GBM) model achieved the best performance, with AUCs of 0.752 (95 % CI: 0.735-0.768) in HRS training, 0.763 (95 % CI: 0.737-0.788) in HRS validation, and 0.717 (95 % CI: 0.702-0.732) in CHARLS validation. The model showed good calibration and positive net benefit across relevant clinical thresholds. SHAP analysis identified self-rated health, functional dependency, self-rated memory, arthritis, and ADL score as top predictors with consistent effects across populations. Conclusion: We developed a robust and interpretable machine learning model for predicting late-life depression that generalizes across culturally distinct populations. The results highlight both common predictive factors and the need for population-specific considerations in clinical application.</t>
  </si>
  <si>
    <t>Liu, Lu; Tang, Lei; Dai, Menqin; Ding, Xianghong; Wu, Liling; Ke, Xiong; Luo, Jiaming; Liu, Nian</t>
  </si>
  <si>
    <t>Luo, JM (corresponding author), North Sichuan Med Coll, Affiliated Hosp, Mental Hlth Ctr, 1 South Maoyuan Rd, Nanchong 637000, Peoples R China.; Liu, N (corresponding author), North Sichuan Med Coll, Affiliated Hosp, Dept Radiol, 1 South Maoyuan Rd, Nanchong 637000, Peoples R China.</t>
  </si>
  <si>
    <t>jiamingluo@nsmc.edu.cn; liunian@nsmc.edu.cn</t>
  </si>
  <si>
    <t>Sichuan Science and Technology Program [2024ZYD0272, 2024NSFSC2017]; Natural Science Foundation of North Sichuan Medical College [CBY24-QDA11]; Innovative Experimental Project of North Sichuan Medical College [CXSY25-10]</t>
  </si>
  <si>
    <t>Sichuan Science and Technology Program; Natural Science Foundation of North Sichuan Medical College; Innovative Experimental Project of North Sichuan Medical College</t>
  </si>
  <si>
    <t>This study was also supported by the Sichuan Science and Technology Program [grant numbers 2024ZYD0272, 2024NSFSC2017] , the Natural Science Foundation of North Sichuan Medical College [grant number CBY24-QDA11] and the Innovative Experimental Project of North Sichuan Medical College [grant number CXSY25-10] .</t>
  </si>
  <si>
    <t>[Liu, Lu; Tang, Lei; Dai, Menqin; Ding, Xianghong; Luo, Jiaming] North Sichuan Med Coll, Affiliated Hosp, Mental Hlth Ctr, 1 South Maoyuan Rd, Nanchong 637000, Peoples R China; [Liu, Lu; Tang, Lei; Dai, Menqin; Ding, Xianghong; Luo, Jiaming] North Sichuan Med Coll, Sch Psychiat, Nanchong, Peoples R China; [Tang, Lei] Jinan Univ, Affiliated Hosp 1, Sleep Med Ctr, Dept Psychiat, Guangzhou, Peoples R China; [Liu, Lu; Dai, Menqin; Wu, Liling; Ke, Xiong; Luo, Jiaming] North Sichuan Med Coll, Key Lab Digital Intelligent Dis Surveillance &amp; Hlt, Nanchong, Peoples R China; [Liu, Nian] North Sichuan Med Coll, Affiliated Hosp, Dept Radiol, 1 South Maoyuan Rd, Nanchong 637000, Peoples R China; [Wu, Liling] Capital Med Univ, Beijing Anzhen Nanchong Hosp, Dept Pharm,Nanchong Key Lab Individualized Drug Th, Clin Coll 2,North Sichuan Med Coll, Nanchong 637000, Peoples R China; [Wu, Liling] Nanchong Cent Hosp, Nanchong 637000, Peoples R China</t>
  </si>
  <si>
    <t>North Sichuan Medical University; North Sichuan Medical University; Jinan University; North Sichuan Medical University; North Sichuan Medical University; North Sichuan Medical University; Capital Medical University; North Sichuan Medical University</t>
  </si>
  <si>
    <t>Transcultural prediction model for late-life depression based on multi-cohort machine learning and explainable AI</t>
  </si>
  <si>
    <t>Depression; Older adults; Machine learning; Transcultural psychiatry; Explainable artificial intelligence</t>
  </si>
  <si>
    <t>CHINA HEALTH; OLDER-ADULTS; RETIREMENT; VALIDATION; SYMPTOMS; PROFILE</t>
  </si>
  <si>
    <t>Wu, Li-Ling/ADT-8124-2022; Luo, Jiaming/NLN-5579-2025; Liu, Nian/MTE-5997-2025</t>
  </si>
  <si>
    <t>JAN 1 2026</t>
  </si>
  <si>
    <t>392</t>
  </si>
  <si>
    <t>120169</t>
  </si>
  <si>
    <t>10.1016/j.jad.2025.120169</t>
  </si>
  <si>
    <t>http://dx.doi.org/10.1016/j.jad.2025.120169</t>
  </si>
  <si>
    <t>7AZ8L</t>
  </si>
  <si>
    <t>40882851</t>
  </si>
  <si>
    <t>WOS:001566746500007</t>
  </si>
  <si>
    <t>Hoffmann, J; Rheude, A; Neubauer, A; Brendel, C; Thrun, MC</t>
  </si>
  <si>
    <t>Introduction Inflammatory conditions in patients have various causes and require different treatments. Bacterial infections are treated with antibiotics, while these medications are ineffective against viral infections. Autoimmune diseases and graft-versus-host disease (GVHD) after allogeneic stem cell transplantation, require immunosuppressive therapies such as glucocorticoids, which may be contraindicated in other inflammatory states. In this study, we employ a combination of straightforward blood tests to devise an explainable artificial intelligence (XAI) for distinguishing between bacterial infections, viral infections, and autoimmune diseases/graft-versus-host disease.Patients and methods We analysed peripheral blood from 80 patients with inflammatory conditions and 38 controls. Complete blood count, CRP analysis, and a rapid flow cytometric test for myeloid activation markers CD169, CD64, and HLA-DR were utilized. A two-step XAI distinguished firstly with C5.0 rules pruned by ABC analysis between controls and inflammatory conditions and secondly between the types of inflammatory conditions with a new bivariate decision tree using the Simpson impurity function.Results Inflammatory conditions were distinguished using an XAI, achieving an overall accuracy of 81.0% (95%CI 72 - 87%). Bacterial infection (N = 30), viral infection (N = 26), and autoimmune diseases/GVHD (N = 24) were differentiated with accuracies of 90.3%, 80.0%, and 79.0%, respectively. The most critical parameter for distinguishing between controls and inflammatory conditions was the expression of CD64 on neutrophils. Monocyte count and expression of CD169 were most crucial for the classification within the inflammatory conditions.Conclusion Treatment decisions for inflammatory conditions can be effectively guided by XAI rules, straightforward to implement and based on promptly acquired blood parameters.</t>
  </si>
  <si>
    <t>Hoffmann, Joerg; Rheude, Anne; Neubauer, Andreas; Brendel, Cornelia; Thrun, Michael C.</t>
  </si>
  <si>
    <t>Hoffmann, J (corresponding author), Philipps Univ Marburg, Univ Hosp Giessen &amp; Marburg, Dept Hematol Oncol &amp; Immunol, Marburg, Germany.</t>
  </si>
  <si>
    <t>hoffmanx@staff.uni-marburg.de</t>
  </si>
  <si>
    <t>Europaeische Fonds fuer regionale Entwicklung (EFRE) [62033243, 20007349]; Jose Carreras Leukaemia Foundation [AH 06-01]</t>
  </si>
  <si>
    <t>Europaeische Fonds fuer regionale Entwicklung (EFRE); Jose Carreras Leukaemia Foundation</t>
  </si>
  <si>
    <t>The author(s) declare financial support was received for the research, authorship, and/or publication of this article. This study was supported in part by the "Europaische Fonds fuer regionale Entwicklung" (EFRE) (62033243#20007349). This work was supported in part by the Jose Carreras Leukaemia Foundation under Grant AH 06-01.</t>
  </si>
  <si>
    <t>[Hoffmann, Joerg; Rheude, Anne; Neubauer, Andreas; Brendel, Cornelia] Philipps Univ Marburg, Univ Hosp Giessen &amp; Marburg, Dept Hematol Oncol &amp; Immunol, Marburg, Germany; [Thrun, Michael C.] Philipps Univ Marburg, Databion Math &amp; Comp Sci, Marburg, Germany</t>
  </si>
  <si>
    <t>Philipps University Marburg; University Hospital of Giessen &amp; Marburg; Philipps University Marburg</t>
  </si>
  <si>
    <t>Development of an explainable AI system using routine clinical parameters for rapid differentiation of inflammatory conditions</t>
  </si>
  <si>
    <t>FRONTIERS IN IMMUNOLOGY</t>
  </si>
  <si>
    <t>explainable AI; inflammation; CD64; CD169; infection</t>
  </si>
  <si>
    <t>VERSUS-HOST-DISEASE; INFECTION; EXPRESSION; SEPSIS</t>
  </si>
  <si>
    <t>1664-3224</t>
  </si>
  <si>
    <t>FRONT IMMUNOL</t>
  </si>
  <si>
    <t>Front. Immunol.</t>
  </si>
  <si>
    <t>MAR 6 2024</t>
  </si>
  <si>
    <t>1364954</t>
  </si>
  <si>
    <t>10.3389/fimmu.2024.1364954</t>
  </si>
  <si>
    <t>http://dx.doi.org/10.3389/fimmu.2024.1364954</t>
  </si>
  <si>
    <t>Immunology</t>
  </si>
  <si>
    <t>LM3F3</t>
  </si>
  <si>
    <t>38510238</t>
  </si>
  <si>
    <t>WOS:001187171300001</t>
  </si>
  <si>
    <t>Prakash, SS; Subhajini, AC</t>
  </si>
  <si>
    <t>Diabetes is a chronic metabolic condition that manifests early as high blood sugar levels brought on by the body's incapacity to properly metabolize or use insulin. The increasing incidence of diabetes worldwide highlights the urgent need for early detection and prediction methods to enable timely management and intervention. This study proposes a four-phase optimized lightweight convolutional pyramid squeeze attention (LwCPSA) model for diabetes prediction. The log-sinh with adaptive Box-Cox transformation is used to handle outliers, normalize data, and improve model robustness, ensuring accurate diabetes prediction. The LwCPSA model enhances multi-scale feature extraction, and the improved gold rush optimization (GRO) fine-tunes model parameters to improve accuracy while reducing computational complexity. The improved GRO is used to further tune the LwCPSA parameters, which lowers computing complexity. SHAP-based explainability is utilized to identify the most influential features contributing to diabetes prediction, providing transparent insights into how the model weighs different risk factors, such as glucose levels, BMI, and HbA1c, to make accurate predictions. The proposed method is implemented using Python. The proposed approach achieves remarkable results, with an F1-score of 99.47%, an accuracy of 99.65%, a precision of 99.45%, a recall of 99.23%, a specificity of 99.56%, and so on. These findings improve prediction accuracy and provide a flexible, scalable approach for diabetes prediction, which greatly increases the effectiveness of medical applications. Furthermore, the proposed approach has the potential to improve diabetes diagnosis and treatment outcomes by enabling early and accurate prediction, ultimately reducing the risk of complications and improving patient quality of life.</t>
  </si>
  <si>
    <t>Prakash, S. Sai; Subhajini, A. C.</t>
  </si>
  <si>
    <t>Prakash, SS (corresponding author), Noorul Islam Ctr Higher Educ, Dept Comp Applicat, Kumaracoil 629180, Tamil Nadu, India.</t>
  </si>
  <si>
    <t>jinijeslin@gmail.com; saiprakash.niche@gmail.com</t>
  </si>
  <si>
    <t>[Prakash, S. Sai; Subhajini, A. C.] Noorul Islam Ctr Higher Educ, Dept Comp Applicat, Kumaracoil 629180, Tamil Nadu, India</t>
  </si>
  <si>
    <t>An Efficient Prediction and Analysis of Diabetics Based on Hybrid Convolutional Pyramid Squeeze Attention Network with Explainable AI</t>
  </si>
  <si>
    <t>INTERNATIONAL JOURNAL OF PATTERN RECOGNITION AND ARTIFICIAL INTELLIGENCE</t>
  </si>
  <si>
    <t>Diabetes prediction; convolutional pyramid squeeze neural network; computational efficiency; improved gold rush optimization</t>
  </si>
  <si>
    <t>Prakash, Sai/ODL-9687-2025</t>
  </si>
  <si>
    <t>0218-0014</t>
  </si>
  <si>
    <t>1793-6381</t>
  </si>
  <si>
    <t>INT J PATTERN RECOGN</t>
  </si>
  <si>
    <t>Int. J. Pattern Recognit. Artif. Intell.</t>
  </si>
  <si>
    <t>SEP 30 2025</t>
  </si>
  <si>
    <t>10.1142/S0218001425570125</t>
  </si>
  <si>
    <t>http://dx.doi.org/10.1142/S0218001425570125</t>
  </si>
  <si>
    <t>6GO4C</t>
  </si>
  <si>
    <t>WOS:001532881900001</t>
  </si>
  <si>
    <t>Guthrie, JD; Shankarnarayan, SA; Charlebois, DA</t>
  </si>
  <si>
    <t>Antimicrobial resistance is a growing concern, with pathogenic fungi making a substantial contribution to untreatable life-threatening infections across the globe. Artificial intelligence is increasingly used in microbiology and antimicrobial resistance research, with promise to improve clinical diagnostics and infectious disease treatments. However, how AI models make predictions remains largely unknown, which is a major hurdle for human trust and regulatory approval. We train vision transformers (Swin Transformer-Tiny and Vision Transformer-Base 16) and convolutional neural networks (DenseNet121 and InceptionV3) to quickly and accurately identify pathogenic yeast species from microscopy images. Using explainable AI (Occlusion Sensitivity and Grad-CAM), we identify biologically relevant features (organelle, cell interior, cell wall, budding patterns/scars, and optical patterns) and irrelevant image features (background artifacts) these high-performance computer vision models may be using for pathogenic yeast classification. These findings improve AI-based microscopy classification of pathogenic yeast species and advance our understanding of the visual features these models rely on to make predictions.</t>
  </si>
  <si>
    <t>Guthrie, Joshua D.; Shankarnarayan, Shamanth A.; Charlebois, Daniel A.</t>
  </si>
  <si>
    <t>Charlebois, DA (corresponding author), Univ Alberta, Dept Phys, Edmonton, AB, Canada.; Charlebois, DA (corresponding author), Univ Alberta, Dept Biomed Engn, Edmonton, AB, Canada.</t>
  </si>
  <si>
    <t>dcharleb@ualberta.ca</t>
  </si>
  <si>
    <t>Alberta Innovates Accelerating Innovations into Care - Concepts [AICE-Concepts 597389]; uman Frontier Science Program [RGEC30/2024]</t>
  </si>
  <si>
    <t>Alberta Innovates Accelerating Innovations into Care - Concepts; uman Frontier Science Program</t>
  </si>
  <si>
    <t>This research was funded by grants to D.A.C. from the Human Frontier Science Program (RGEC30/2024) and the Alberta Innovates Accelerating Innovations into Care - Concepts program (AICE-Concepts 597389). We thank Dr. Tanis Dingle at the Alberta Precision Laboratories - Public Health Laboratory and Dr. Amrita Bharat at the Public Health Agency of Canada - National Microbiology Laboratory for providing the pathogenic yeast species isolates, Asst. Prof. Michael Manhart for suggesting the use of principal component analysis, and Prof. Randy Goebel for helpful discussions on explainable AI.</t>
  </si>
  <si>
    <t>[Guthrie, Joshua D.; Shankarnarayan, Shamanth A.; Charlebois, Daniel A.] Univ Alberta, Dept Phys, Edmonton, AB, Canada; [Charlebois, Daniel A.] Univ Alberta, Dept Biomed Engn, Edmonton, AB, Canada</t>
  </si>
  <si>
    <t>University of Alberta; University of Alberta</t>
  </si>
  <si>
    <t>Peering Inside the Black Box: Explainable AI to Interpret Advanced Computer Vision Fungal Pathogen Prediction</t>
  </si>
  <si>
    <t>Explainable AI; Computer vision; Pathogenic yeast classification</t>
  </si>
  <si>
    <t>RAPID IDENTIFICATION; CLASSIFICATION</t>
  </si>
  <si>
    <t>/R-8264-2016</t>
  </si>
  <si>
    <t>APR 18 2026</t>
  </si>
  <si>
    <t>18293</t>
  </si>
  <si>
    <t>10.1038/s41598-026-48015-2</t>
  </si>
  <si>
    <t>http://dx.doi.org/10.1038/s41598-026-48015-2</t>
  </si>
  <si>
    <t>JL6EL</t>
  </si>
  <si>
    <t>42000833</t>
  </si>
  <si>
    <t>WOS:001792240000001</t>
  </si>
  <si>
    <t>Khan, M; Kurada, SB; Menshawi, AM; Malik, V; Altaf, MM</t>
  </si>
  <si>
    <t>Skin cancer poses a significant global health threat, where timely and accurate diagnosis is crucial for improving patient outcomes. Although deep learning methods have demonstrated considerable success in dermatological image analysis, their black-box nature limits clinical adoption due to a lack of transparency and interpretability. To overcome this difficulty, it is suggested that an explainable artificial intelligence (XAI) framework can be applied using an optimal encoder-decoder architecture, which enhances the accuracy of dermatology-specific skin cancer diagnostics and offers better assistance to dermatologists. The specified model is tested on the benchmark dermoscopic image datasets, such as the ISIC archive and the HAM10000. To extract rich and hierarchical features of skin lesion images, the encoder uses pre-trained backbones, which are ResNet-50 and EfficientNet-B4. It uses a tailored decoder, based on U-Net and SegNet design, to recover lesion segmentation maps and give multi-class lesions classification. Nature-based novel bioluminescent oceanic optimization (BOO) algorithm is proposed to be used in feature selection, which determines the most significant features. A squeeze attention network (SAttNet) emphasizes features around the edges of lesions, thus narrowing the scope of the model and enhancing the accuracy of the diagnosis. Explainability is achieved through a multi-level post-hoc strategy: Gradient-weighted Class Activation Mapping (Grad-CAM) highlights critical regions within the encoder's feature maps; SHapley Additive explanations (SHAP) quantifies the contribution of individual features to the prediction; and local interpretable model-agnostic explanations (LIME) generates localized, human-understandable explanations for diagnostic output. The results show outstanding performance, achieved classification accuracies of 99.956% and 99.644% on the ISIC and HAM10000 datasets, respectively.</t>
  </si>
  <si>
    <t>Khan, Mudassir; Kurada, Sai; Menshawi, Alaa; Malik, Varun; Altaf, Meteb</t>
  </si>
  <si>
    <t>Khan, M (corresponding author), King Khalid Univ, Coll Comp Sci, Appl Coll Tanumah, Dept Comp Sci, Abha, Saudi Arabia.</t>
  </si>
  <si>
    <t>mkmiyob@kku.edu.sa</t>
  </si>
  <si>
    <t>King Khalid University, Saudi Arabia</t>
  </si>
  <si>
    <t>King Khalid University, Saudi Arabia (King Khalid University)</t>
  </si>
  <si>
    <t>This research work was funded by King Khalid University, Saudi Arabia.</t>
  </si>
  <si>
    <t>[Khan, Mudassir] King Khalid Univ, Coll Comp Sci, Appl Coll Tanumah, Dept Comp Sci, Abha, Saudi Arabia; [Kurada, Sai] Arizona State Univ, Tempe, AZ 85281 USA; [Menshawi, Alaa] Imam Mohammad Ibn Saud Islamic Univ IMSIU, Coll Comp &amp; Informat Sci, Informat Syst Dept, Riyadh, Saudi Arabia; [Malik, Varun] Chitkara Univ, Inst Engn &amp; Technol, Rajpura, India; [Altaf, Meteb] King Abdulaziz City Sci &amp; Technol, Disabil Res Inst, Hlth Sect, Riyadh, Saudi Arabia</t>
  </si>
  <si>
    <t>King Khalid University; Arizona State University; Arizona State University-Tempe; Imam Mohammad Ibn Saud Islamic University (IMSIU); Chitkara University, Punjab; King Abdulaziz City for Science &amp; Technology</t>
  </si>
  <si>
    <t>Novel bioluminescent oceanic optimization with explainable AI for accurate skin cancer diagnosis and enhanced dermatologist support</t>
  </si>
  <si>
    <t>JOURNAL OF KING SAUD UNIVERSITY SCIENCE</t>
  </si>
  <si>
    <t>Bioluminescent oceanic optimization; Decoder; Dermatologist; Encoder; Explainable AI; Skin cancer; Skin cancer diagnosis</t>
  </si>
  <si>
    <t>Altaf, Meteb/AAB-3563-2019; Menshawi, Alaa/MSW-4068-2025; Khan, Dr. Mudassir/AAJ-9590-2020</t>
  </si>
  <si>
    <t>SCIENTIFIC SCHOLAR LLC</t>
  </si>
  <si>
    <t>PITTSFORD</t>
  </si>
  <si>
    <t>50, WOODGREEN DR, PITTSFORD, NY 14534 USA</t>
  </si>
  <si>
    <t>1018-3647</t>
  </si>
  <si>
    <t>2213-686X</t>
  </si>
  <si>
    <t>J KING SAUD UNIV SCI</t>
  </si>
  <si>
    <t>J. King Saud Univ. Sci.</t>
  </si>
  <si>
    <t>11832025</t>
  </si>
  <si>
    <t>10.25259/JKSUS_1183_2025</t>
  </si>
  <si>
    <t>http://dx.doi.org/10.25259/JKSUS_1183_2025</t>
  </si>
  <si>
    <t>EQ2DK</t>
  </si>
  <si>
    <t>WOS:001707122200011</t>
  </si>
  <si>
    <t>Vyas, R; Pandey, RK</t>
  </si>
  <si>
    <t>Pneumonia remains a significant cause of death worldwide. Deep learning (DL) models for interpreting chest Xrays (CXR) have the potential to improve diagnosis. Still, the lack of clear evidence about their clinical readiness makes it difficult to assess their true state. A comprehensive review is needed to synthesize current knowledge and outline a path for successful adoption. Following PRISMA guidelines, we conducted an in-depth review of relevant databases for research using deep learning to analyze public chest X-ray datasets for pneumonia detection. From 12,450 records, 73 studies were selected for analysis. The main results focused on model performance metrics (such as AUC and accuracy) and the use of Explainable AI (XAI). Our review reveals a significant variation in performance driven by differences in dataset properties. Models achieve over 98% accuracy on small, well-labeled datasets, but show lower AUC scores (0.7-0.8) on larger, poorly labeled ones. Although CNNs are the most common architecture, XAI studies indicate that high performance can be misleading. Models often rely on dataset-specific biases, known as "shortcut learning," rather than capturing generalizable clinical features. As a result, benchmark scores alone are unreliable indicators of true performance. Despite high accuracy on test benchmarks, the clinical application of DL models is limited by poor generalization and reproducibility. The prevalence of shortcut learning highlights the shortcomings of standard metrics alone. Future efforts should focus on thorough validation, including XAI analysis and prospective clinical trials, to develop trustworthy AI systems for clinical use.</t>
  </si>
  <si>
    <t>Vyas, Rupali; Pandey, Rajendra Kumar</t>
  </si>
  <si>
    <t>Vyas, R (corresponding author), Natl Inst Technol, Dept Comp Sci &amp; Engn, Raipur, CG, India.</t>
  </si>
  <si>
    <t>rupalivyas1996@gmail.com; rajendrapandey.95@live.com</t>
  </si>
  <si>
    <t>[Vyas, Rupali] Natl Inst Technol, Dept Comp Sci &amp; Engn, Raipur, CG, India; [Pandey, Rajendra Kumar] CSVTU, Technol Specializat AI &amp;ML, Bhilai, CG, India</t>
  </si>
  <si>
    <t>Deep learning for pneumonia detection from X-ray: A systematic review of models, datasets, and clinical translation challenges</t>
  </si>
  <si>
    <t>Chest X-ray; Convolutional neural networks; Deep learning; Explainable AI; Medical imaging; Pneumonia diagnosis; Systematic review</t>
  </si>
  <si>
    <t>Vyas, Rupali/MIO-0210-2025; Pandey, Rajendra Kumar/HJG-7580-2022</t>
  </si>
  <si>
    <t>Vyas, Rupali/0009-0006-1382-1141; Pandey, Rajendra Kumar/0000-0002-5394-0333</t>
  </si>
  <si>
    <t>109272</t>
  </si>
  <si>
    <t>10.1016/j.bspc.2025.109272</t>
  </si>
  <si>
    <t>http://dx.doi.org/10.1016/j.bspc.2025.109272</t>
  </si>
  <si>
    <t>X6447</t>
  </si>
  <si>
    <t>WOS:001640814700001</t>
  </si>
  <si>
    <t>Dawood, T; Chen, C; Sidhu, BS; Ruijsink, B; Gould, J; Porter, B; Elliott, MK; Mehta, V; Rinaldi, CA; Puyol-Antón, E; Razavi, R; King, AP</t>
  </si>
  <si>
    <t>Quantifying uncertainty of predictions has been identified as one way to develop more trustworthy artificial intelligence (AI) models beyond conventional reporting of performance metrics. When considering their role in a clinical decision support setting, AI classification models should ideally avoid confident wrong predictions and maximise the confidence of correct predictions. Models that do this are said to be well calibrated with regard to confidence. However, relatively little attention has been paid to how to improve calibration when training these models, i.e. to make the training strategy uncertainty-aware. In this work we: (i) evaluate three novel uncertainty-aware training strategies with regard to a range of accuracy and calibration performance measures, comparing against two state-of-the-art approaches, (ii) quantify the data (aleatoric) and model (epistemic) uncertainty of all models and (iii) evaluate the impact of using a model calibration measure for model selection in uncertainty-aware training, in contrast to the normal accuracy-based measures. We perform our analysis using two different clinical applications: cardiac resynchronisation therapy (CRT) response prediction and coronary artery disease (CAD) diagnosis from cardiac magnetic resonance (CMR) images. The best-performing model in terms of both classification accuracy and the most common calibration measure, expected calibration error (ECE) was the Confidence Weight method, a novel approach that weights the loss of samples to explicitly penalise confident incorrect predictions. The method reduced the ECE by 17% for CRT response prediction and by 22% for CAD diagnosis when compared to a baseline classifier in which no uncertainty-aware strategy was included. In both applications, as well as reducing the ECE there was a slight increase in accuracy from 69% to 70% and 70% to 72% for CRT response prediction and CAD diagnosis respectively. However, our analysis showed a lack of consistency in terms of optimal models when using different calibration measures. This indicates the need for careful consideration of performance metrics when training and selecting models for complex high risk applications in healthcare.</t>
  </si>
  <si>
    <t>Dawood, Tareen; Chen, Chen; Sidhu, Baldeep S.; Ruijsink, Bram; Gould, Justin; Porter, Bradley; Elliott, Mark K.; Mehta, Vishal; Rinaldi, Christopher A.; Puyol-Anton, Esther; Razavi, Reza; King, Andrew P.</t>
  </si>
  <si>
    <t>Dawood, T (corresponding author), Kings Coll London, Sch Biomed Engn &amp; Imaging Sci, London, England.</t>
  </si>
  <si>
    <t>tareen.dawood@kcl.ac.uk</t>
  </si>
  <si>
    <t>Kings DRIVE Health CDT for Data-Driven Health; National Institute for Health Research (NIHR) Biomedical Research Centre at Guy's and St Thomas' NHS Foundation Trust and King's College London, United Kingdom; Wellcome Trust, United Kingdom [WT203148/Z/16/Z.]; EPSRC, United Kingdom through the SmartHeart Programme Grant [EP/P001009/1]; EPSRCUK Biobank Resource [17806]</t>
  </si>
  <si>
    <t>Kings DRIVE Health CDT for Data-Driven Health; National Institute for Health Research (NIHR) Biomedical Research Centre at Guy's and St Thomas' NHS Foundation Trust and King's College London, United Kingdom; Wellcome Trust, United Kingdom (Wellcome Trust); EPSRC, United Kingdom through the SmartHeart Programme Grant; EPSRCUK Biobank Resource</t>
  </si>
  <si>
    <t>This work was supported by the Kings DRIVE Health CDT for Data-Driven Health and further funded/supported by the National Institute for Health Research (NIHR) Biomedical Research Centre at Guy's and St Thomas' NHS Foundation Trust and King's College London, United Kingdom. Additionally this research was funded in whole, or in part, by the Wellcome Trust, United Kingdom WT203148/Z/16/Z. For the purpose of open access, the author has applied a CC BY public copy-right licence to any author accepted manuscript version arising from this submission. The work was also supported by the EPSRC, United Kingdom through the SmartHeart Programme Grant (EP/P001009/1) . This research has been conducted using the UK Biobank Resource under Application Number 17806. The views expressed in this paper are those of the authors and not necessarily those of the NHS, EPSRC, the NIHR or the Department of Health and Social Care.</t>
  </si>
  <si>
    <t>[Dawood, Tareen; Sidhu, Baldeep S.; Ruijsink, Bram; Gould, Justin; Porter, Bradley; Elliott, Mark K.; Mehta, Vishal; Rinaldi, Christopher A.; Puyol-Anton, Esther; Razavi, Reza; King, Andrew P.] Kings Coll London, Sch Biomed Engn &amp; Imaging Sci, London, England; [Sidhu, Baldeep S.; Ruijsink, Bram; Gould, Justin; Porter, Bradley; Elliott, Mark K.; Mehta, Vishal; Rinaldi, Christopher A.] Guys &amp; St Thomas Hosp, London, England; [Chen, Chen] Imperial Coll London, Dept Comp, BioMedIA Grp, London, England</t>
  </si>
  <si>
    <t>University of London; King's College London; Guy's &amp; St Thomas' NHS Foundation Trust; Imperial College London</t>
  </si>
  <si>
    <t>Uncertainty aware training to improve deep learning model calibration for classification of cardiac MR images</t>
  </si>
  <si>
    <t>Uncertainty; Calibration; AI; Reliability; Trust; CRT; CAD</t>
  </si>
  <si>
    <t>King, Andrew/A-6552-2009; Chen, Chen/AAM-1881-2021; Elliott, Mark/GWC-6204-2022</t>
  </si>
  <si>
    <t>Mehta, Vishal/0000-0001-6140-068X; Puyol Anton, Esther/0000-0002-9789-6629; Razavi, Reza/0000-0003-1065-3008; King, Andrew/0000-0002-9965-7015; Sidhu, Baldeep/0000-0002-1999-7360; Chen, Chen/0000-0002-3525-9755; Elliott, Mark/0000-0003-2805-3043; Ruijsink, Bram/0000-0001-8313-5709; Rinaldi, Christopher/0000-0002-3930-1957</t>
  </si>
  <si>
    <t>102861</t>
  </si>
  <si>
    <t>10.1016/j.media.2023.102861</t>
  </si>
  <si>
    <t>http://dx.doi.org/10.1016/j.media.2023.102861</t>
  </si>
  <si>
    <t>M1BB6</t>
  </si>
  <si>
    <t>37327613</t>
  </si>
  <si>
    <t>WOS:001027558900001</t>
  </si>
  <si>
    <t>Nedbal, C; Gauhar, V; Adithya, S; Naik, N; Gite, S; Sevalia, H; Castellani, D; Gregori, A; Panthier, F; Tanidir, Y; Shrestha, A; Sridharan, V; Singh, A; Soebhali, B; Lakmichi, MA; Hamri, SB; Somani, BK</t>
  </si>
  <si>
    <t>Aim and objective Flexible ureteroscopy (fURS) is a well-established modality for managing urolithiasis in patients with congenital renal anomalies such as horseshoe kidneys (HK), malrotated kidneys (MK), and pelvic ectopic kidneys (PEK). Still, these anatomical variants present unique challenges that complicate stone clearance and procedural planning. We aim to apply machine learning (ML) and explainable artificial intelligence (XAI) techniques to identify predictors of stone-free status (SFS) following fURS in patients with anomalous kidneys. Methods We retrospectively analysed adult patients with HK, MK, or EK who underwent fURS and laser lithotripsy for renal stones at a tertiary referral center. A ML model incorporating clinical and intraoperative variables was developed to predict SFS. SHAP (SHapley Additive exPlanations) values and decision tree analysis were used to interpret feature importance and model behaviour. Results A total of 569 cases were analysed between 2017 and 2021, with a female: male ratio of 3:1. Regarding anatomical anomalies, 50.62% had HSK, 22.67% had PEK and 26.71% had MK. Most of the patients presented with multiple (59.58%), small (76.80%) and soft stones (56.94%). MK showed the highest SFS rates, suggesting this is the most favourable anomaly for fURS. The presence of residual fragments at the end of the procedure was the strongest negative predictor of SFS, followed by longer operative time and older patient age. PEK exhibited the greatest heterogeneity in outcomes. SHAP analysis provided individualized and global insights into feature contributions. Conclusion Explainable AI offers a transparent and clinically meaningful approach to predicting SFS in patients with renal anomalies undergoing fURS. These insights can guide preoperative risk stratification and inform surgical strategy in a domain where standardised evidence is lacking.</t>
  </si>
  <si>
    <t>Nedbal, Carlotta; Gauhar, Vineet; Adithya, Sairam; Naik, Nithesh; Gite, Shilpa; Sevalia, Het; Castellani, Daniele; Gregori, Andrea; Panthier, Frederic; Tanidir, Yiloren; Shrestha, Anil; Sridharan, Vikram; Singh, Abhishek; Soebhali, Boyke; Lakmichi, Mohamed Amine; Hamri, Saeed Biin; Somani, Bhaskar Kumar</t>
  </si>
  <si>
    <t>Nedbal, C (corresponding author), European Assoc Urol, Endourol Sect, Arnhem, Netherlands.; Nedbal, C (corresponding author), IRCSS San Gerardo, Monza, Italy.</t>
  </si>
  <si>
    <t>University Politecnica delle Marche within the CRUI-CARE Agreement</t>
  </si>
  <si>
    <t>Open access funding provided by University Politecnica delle Marche within the CRUI-CARE Agreement.</t>
  </si>
  <si>
    <t>[Nedbal, Carlotta] Polytech Univ Le Marche, Ancona, Italy; [Nedbal, Carlotta; Gauhar, Vineet; Castellani, Daniele; Panthier, Frederic; Somani, Bhaskar Kumar] European Assoc Urol, Endourol Sect, Arnhem, Netherlands; [Gauhar, Vineet] Ng Teng Fong Gen Hosp, Urol, Singapore, Singapore; [Adithya, Sairam; Gite, Shilpa; Sevalia, Het] Symbiosis Inst Technol, Engn, Pune, India; [Naik, Nithesh] Manipal Acad Higher Educ, Engn, Manipal, India; [Castellani, Daniele] Azienda Osped Univ Osped Riuniti Ancona, Ancona, Italy; [Nedbal, Carlotta; Gregori, Andrea] IRCSS San Gerardo, Monza, Italy; [Panthier, Frederic] Sorbonne Univ, Tenon Hosp, GRC Urolithiasis 20, Paris, France; [Panthier, Frederic] Arts &amp; Metiers ParisTech, PIMM, CNRS, UMR 8006, Paris, France; [Tanidir, Yiloren] Marmara Univ, Dept Urol, Sch Med, Istanbul, Turkiye; [Shrestha, Anil] Bir Hosp, Natl Acad Med Sci, Dept Urol, Kathmandu, Nepal; [Sridharan, Vikram] Sree Paduka Special Hosp, Dept Urol, Tiruchirappalli, India; [Singh, Abhishek] Muljibhai Patel Urol Hosp, Nadiad, Gujarat, India; [Soebhali, Boyke] Muliawarman Univ, Abdul Wahab Sjahranie Hosp Med Fac, Dept Urol, Samarinda, Indonesia; [Lakmichi, Mohamed Amine] Univ Fed Parana, Hosp Clin, Sch Med, Dept Urol, Curitiba, Brazil; [Hamri, Saeed Biin] King Abdullah Int Med Res Ctr, Dept Surg, Riyadh, Saudi Arabia; [Somani, Bhaskar Kumar] Univ Hosp Southampton NHS Fdn Trust, Southampton, England</t>
  </si>
  <si>
    <t>Symbiosis International University; Symbiosis Institute of Technology (SIT); Manipal Academy of Higher Education (MAHE); San Gerardo Hospital; Assistance Publique Hopitaux Paris (APHP); Sorbonne Universite; Hopital Universitaire Tenon - APHP; Centre National de la Recherche Scientifique (CNRS); Arts et Metiers Institute of Technology; heSam Universite; CNRS - Institute for Engineering &amp; Systems Sciences (INSIS); Conservatoire National Arts &amp; Metiers (CNAM); Marmara University; Universidade Federal do Parana; King Saud Bin Abdulaziz University for Health Sciences; King Abdullah International Medical Research Center (KAIMRC); University of Southampton; University Hospital Southampton NHS Foundation Trust</t>
  </si>
  <si>
    <t>Flexible ureteroscopy in renal anomalies: an explainable AI model for surgical outcome prediction from EAU endourology</t>
  </si>
  <si>
    <t>Ureteroscopy; Renal anomalies; Machine learning; Predictive model; Stone free rate; Explainable AI</t>
  </si>
  <si>
    <t>KIDNEY</t>
  </si>
  <si>
    <t>Nedbal, Carlotta/MIP-9298-2025; Castellani, Daniele/B-1501-2019; Somani, B./I-8429-2019; Naik, Nithesh/W-5086-2019; Panthier, Frederic/HLH-8436-2023; Tanidir, Yiloren/S-8213-2016; Gauhar, Vineet/ABC-9201-2021; Singh, Abhishek/IXH-7418-2023; Gite, Shilpa/AAR-2331-2020</t>
  </si>
  <si>
    <t>Nedbal, Carlotta/0000-0003-2031-347X; Castellani, Daniele/0000-0001-7354-9190</t>
  </si>
  <si>
    <t>SEP 2 2025</t>
  </si>
  <si>
    <t>530</t>
  </si>
  <si>
    <t>10.1007/s00345-025-05904-x</t>
  </si>
  <si>
    <t>http://dx.doi.org/10.1007/s00345-025-05904-x</t>
  </si>
  <si>
    <t>6UL1K</t>
  </si>
  <si>
    <t>40892093</t>
  </si>
  <si>
    <t>WOS:001562284000004</t>
  </si>
  <si>
    <t>Wen, J; Zhang, TM; Ye, SR; Li, C; Han, RB; Huang, R; Shen, BR; Chen, AJ; Li, QH</t>
  </si>
  <si>
    <t>BackgroundPatients with transient ischemic attack (TIA) face a significantly increased risk of stroke. However, TIA screening and early detection rates are low, especially in developing countries. This study aims to develop an inclusive and practical TIA risk prediction model using machine learning (ML) that performs well in both hospital and resource-limited clinic settings. This model is essential for initiating the first ML-enabled learning health system (LHS) unit designed for routine and equitable TIA screening and early detection across broad populations.MethodsEmploying a novel protocol, this study first standardized data from a hospital's electronic medical records (EMR) to construct inclusive TIA risk prediction ML models using a data-centric approach. Subsequently, a quantitative distribution of TIA risk factors was applied in feature engineering to reduce the number of variables for a practical ML model. This refined model initiated a TIA ML-LHS unit that is capable of continuously updating with new EMR data from hospitals and clinics. Additionally, the practical model underwent external validation using data from another hospital.ResultsThe inclusive 150-variable ML models, derived from all available EMR variables for TIA, achieved a recall of 0.868 and an accuracy of 0.886 in predicting TIA risk. Further feature engineering produced a practical XGBoost model with 20 variables, maintaining acceptable performance of 0.855 recall and 0.796 accuracy. The initialized TIA ML-LHS unit, based on the practical model, achieved performance metrics of 0.830 recall, 0.726 precision, 0.816 ROC-AUC, and 0.812 accuracy. The model also performed well in external validation, confirming its effectiveness with patient data from different clinical settings.ConclusionsThis study developed the first inclusive and practical TIA XGBoost model from full hospital EHR and initiated the first TIA risk prediction ML-LHS unit. This TIA model, which requires only 20 variables, enables the ML-LHS to serve not only patients in hospitals but also those in resource-limited clinics. These results have significant implications for expanding risk-based TIA screening in community and rural clinics, thereby enhancing early detection of TIA among underserved populations and improving health equity. The novel protocol used in this study is also applicable for initiating ML-LHS units for various preventable diseases, providing a new system-level approach to responsible AI development and applications.</t>
  </si>
  <si>
    <t>Wen, Jian; Zhang, Tianmei; Ye, Shangrong; Li, Cheng; Han, Ruobing; Huang, Ran; Shen, Bairong; Chen, Anjun; Li, Qinghua</t>
  </si>
  <si>
    <t>Wen, J; Li, QH (corresponding author), Guilin Med Univ, Affiliated Hosp, Dept Neurol, 15 Lequn Rd, Guilin 541000, Guangxi, Peoples R China.; Chen, AJ (corresponding author), ELHS Inst, Hlth Syst Sci, Palo Alto, CA 94306 USA.</t>
  </si>
  <si>
    <t>qhli1999@glmc.edu.cn; ajchen@web2express.org; wenjian2400@163.com</t>
  </si>
  <si>
    <t>Guangxi Provicial Science and Technology Bureau (China) [20190219-2]; Guangxi Provicial Science and Technology Bureau (China) [AB23026017, AB24010167]; Sichuan Provincial Science and Technology Bureau (China) [2020YFQ0019]</t>
  </si>
  <si>
    <t>Guangxi Provicial Science and Technology Bureau (China); Guangxi Provicial Science and Technology Bureau (China); Sichuan Provincial Science and Technology Bureau (China)</t>
  </si>
  <si>
    <t>This work was supported by the Guilin Municipal Science and Technology Bureau (China) [grant number 20190219-2], the Guangxi Provicial Science and Technology Bureau (China) [grant numbers AB23026017 and AB24010167] and the Sichuan Provincial Science and Technology Bureau (China) [grant number 2020YFQ0019].</t>
  </si>
  <si>
    <t>[Wen, Jian; Zhang, Tianmei; Ye, Shangrong; Li, Cheng; Han, Ruobing; Li, Qinghua] Guilin Med Univ, Affiliated Hosp, Dept Neurol, 15 Lequn Rd, Guilin 541000, Guangxi, Peoples R China; [Huang, Ran; Shen, Bairong] West China Hosp, 2222 Xingchuan Rd, Chengdu 610212, Sichuan, Peoples R China; [Chen, Anjun] ELHS Inst, Hlth Syst Sci, Palo Alto, CA 94306 USA</t>
  </si>
  <si>
    <t>Guilin Medical University; Sichuan University</t>
  </si>
  <si>
    <t>Development of transient ischemic attack risk prediction model suitable for initializing a learning health system unit using electronic medical records</t>
  </si>
  <si>
    <t>Transient ischemic attack; Machine learning; Learning health system; Electronic medical records; Risk prediction; Screening; Early detection; Responsible AI</t>
  </si>
  <si>
    <t>STROKE; VALIDATION; TOOL; TIA</t>
  </si>
  <si>
    <t>Shen, Bairong/W-1254-2019</t>
  </si>
  <si>
    <t>Chen, Anjun/0000-0003-4209-8301</t>
  </si>
  <si>
    <t>DEC 18 2024</t>
  </si>
  <si>
    <t>10.1186/s12911-024-02767-x</t>
  </si>
  <si>
    <t>http://dx.doi.org/10.1186/s12911-024-02767-x</t>
  </si>
  <si>
    <t>P9K6A</t>
  </si>
  <si>
    <t>39696228</t>
  </si>
  <si>
    <t>WOS:001381008600001</t>
  </si>
  <si>
    <t>Muhammad, D; Salman, M; Keles, A; Bendechache, M</t>
  </si>
  <si>
    <t>Acute Lymphoblastic Leukemia (ALL) is a life-threatening malignancy characterized by its aggressive progression and detrimental effects on the hematopoietic system. Early and accurate diagnosis is paramount to optimizing therapeutic interventions and improving clinical outcomes. This study introduces a novel diagnostic framework that synergizes the EfficientNet-B7 architecture with Explainable Artificial Intelligence (XAI) methodologies to address challenges in performance, computational efficiency, and explainability. The proposed model achieves improved diagnostic performance, with accuracies exceeding 96% on the Taleqani Hospital dataset and 95.50% on the C-NMC-19 and Multi-Cancer datasets. Rigorous evaluation across multiple metrics-including Area Under the Curve (AUC), mean Average Precision (mAP), Accuracy, Precision, Recall, and F1-score-demonstrates the model's robustness and establishes its superiority over state-of-the-art architectures namely VGG-19, InceptionResNetV2, ResNet50, DenseNet50 and AlexNet . Furthermore, the framework significantly reduces computational overhead, achieving up to 40% faster inference times, thereby enhancing its clinical applicability. To address the opacity inherent in Deep learning (DL) models, the framework integrates advanced XAI techniques, including Gradient-weighted Class Activation Mapping (Grad-CAM), Class Activation Mapping (CAM), Local Interpretable Model-Agnostic Explanations (LIME), and Integrated Gradients (IG), providing transparent and explainable insights into model predictions. This fusion of high diagnostic precision, computational efficiency, and explainability positions the proposed framework as a transformative tool for ALL diagnosis, bridging the gap between cutting-edge AI technologies and practical clinical deployment.</t>
  </si>
  <si>
    <t>Muhammad, Dost; Salman, Muhammad; Keles, Ayse; Bendechache, Malika</t>
  </si>
  <si>
    <t>Muhammad, D (corresponding author), Univ Galway, CRT AI Res Ctr, Sch Comp Sci, Galway, Ireland.; Muhammad, D (corresponding author), Univ Galway, ADAPT Res Ctr, Sch Comp Sci, Galway, Ireland.</t>
  </si>
  <si>
    <t>d.muhammad1@universityofgalway.ie</t>
  </si>
  <si>
    <t>Science Foundation Ireland [18/CRT/6223, 13/RC/2106/\]; College of Science and Enginnering, UOG</t>
  </si>
  <si>
    <t>Science Foundation Ireland (Science Foundation Ireland (SFI)); College of Science and Enginnering, UOG</t>
  </si>
  <si>
    <t>This research was supported by Science Foundation Ireland under grant numbers 18/CRT/6223 (SFI Centre for Research Training in Artificial Intelligence), 13/RC/2106/\documentclass[12pt]{minimal} \usepackage{amsmath} \usepackage{wasysym} \usepackage{amsfonts} \usepackage{amssymb} \usepackage{amsbsy} \usepackage{mathrsfs} \usepackage{upgreek} \setlength{\oddsidemargin}{-69pt} \begin{document}$$P\_2$$\end{document} (ADAPT Centre),13/RC/2094/\documentclass[12pt]{minimal} \usepackage{amsmath} \usepackage{wasysym} \usepackage{amsfonts} \usepackage{amssymb} \usepackage{amsbsy} \usepackage{mathrsfs} \usepackage{upgreek} \setlength{\oddsidemargin}{-69pt} \begin{document}$$P\_2$$\end{document} (Lero Centre) and College of Science and Enginnering, UOG. For the purpose of Open Access, the author has applied a CC BY public copyright licence to any Author Accepted Manuscript version arising from this submission.</t>
  </si>
  <si>
    <t>[Muhammad, Dost] Univ Galway, CRT AI Res Ctr, Sch Comp Sci, Galway, Ireland; [Muhammad, Dost] Univ Galway, ADAPT Res Ctr, Sch Comp Sci, Galway, Ireland; [Salman, Muhammad] Univ Malakand, Dept Software Engn, Malakand, Pakistan; [Keles, Ayse; Bendechache, Malika] Univ Galway, ADAPT Res Ctr, Sch Comp Sci, Galway, Ireland</t>
  </si>
  <si>
    <t>Ollscoil na Gaillimhe-University of Galway; Ollscoil na Gaillimhe-University of Galway; University of Malakand; Ollscoil na Gaillimhe-University of Galway</t>
  </si>
  <si>
    <t>ALL diagnosis: can efficiency and transparency coexist? An explainble deep learning approach</t>
  </si>
  <si>
    <t>Explainable artificial intelligence; XAI for medical diagnosis; EXplainble medical imaging; ALL detection; Decision support system; Responsible AI</t>
  </si>
  <si>
    <t>KELES, Ayse/NHP-0243-2025; Muhammad, Dost/OTG-9126-2025</t>
  </si>
  <si>
    <t>KELES, Ayse/0000-0001-8760-412X; Muhammad, Dost/0000-0001-9186-6392; Bendechache, Malika/0000-0003-0069-1860</t>
  </si>
  <si>
    <t>APR 14 2025</t>
  </si>
  <si>
    <t>12812</t>
  </si>
  <si>
    <t>10.1038/s41598-025-97297-5</t>
  </si>
  <si>
    <t>http://dx.doi.org/10.1038/s41598-025-97297-5</t>
  </si>
  <si>
    <t>1KC0N</t>
  </si>
  <si>
    <t>40229347</t>
  </si>
  <si>
    <t>WOS:001466904300006</t>
  </si>
  <si>
    <t>Abu Assab, M; Al Bahar, F; Abu Dayyih, W; Alazazmeh, BM; Assaf, SW; Abed, A; Alrasheed, HA; Zakaraya, Z</t>
  </si>
  <si>
    <t>Highlights What are the main findings? Healthcare professionals in Jordan expressed cautious but constructive views toward AI-assisted clinical decision-making. Trust in AI was conditional and depended on local validation, transparency, institutional endorsement, and clear accountability. Participants supported AI as an adjunct to clinical judgement, particularly for screening, risk flagging, and information support. Medication-related safety emerged as a cross-cutting concern, particularly where AI recommendations could influence dosing, drug interactions, polypharmacy, or therapeutic monitoring. Participants linked safe AI implementation to governance, ethical data practices, workforce training, local validation, and equitable digital infrastructure. What are the implications of the main findings? AI implementation in Jordanian healthcare should be approached as supervised clinical decision support rather than autonomous decision-making. Participants' accounts suggest the need for local validation, clear accountability procedures, ethical data governance, and institutional policies defining how AI outputs are used, documented, challenged, or overridden. Interprofessional AI training is needed to help healthcare professionals critically appraise AI outputs, recognise limitations, and avoid over-reliance. Where AI tools influence medication-related decisions, medication-safety expertise, including pharmacist input where appropriate, should be considered.Highlights What are the main findings? Healthcare professionals in Jordan expressed cautious but constructive views toward AI-assisted clinical decision-making. Trust in AI was conditional and depended on local validation, transparency, institutional endorsement, and clear accountability. Participants supported AI as an adjunct to clinical judgement, particularly for screening, risk flagging, and information support. Medication-related safety emerged as a cross-cutting concern, particularly where AI recommendations could influence dosing, drug interactions, polypharmacy, or therapeutic monitoring. Participants linked safe AI implementation to governance, ethical data practices, workforce training, local validation, and equitable digital infrastructure. What are the implications of the main findings? AI implementation in Jordanian healthcare should be approached as supervised clinical decision support rather than autonomous decision-making. Participants' accounts suggest the need for local validation, clear accountability procedures, ethical data governance, and institutional policies defining how AI outputs are used, documented, challenged, or overridden. Interprofessional AI training is needed to help healthcare professionals critically appraise AI outputs, recognise limitations, and avoid over-reliance. Where AI tools influence medication-related decisions, medication-safety expertise, including pharmacist input where appropriate, should be considered.Abstract Background/Objectives: Artificial intelligence (AI) is increasingly used in clinical decision-support systems, yet its adoption in low- and middle-income countries, including Jordan, remains limited and underexplored. Understanding how healthcare professionals perceive AI-assisted clinical decision-making is essential for safe and contextually appropriate implementation. This study explored healthcare professionals' perceptions of AI-assisted clinical decision-making in Jordan, with particular attention to trust, accuracy, accountability, professional judgement, digital literacy, and health-system readiness.Medication-related safety and prescribing concerns were examined as secondary cross-cutting issues where they emerged from participants' accounts. Methods: A qualitative study was conducted using semi-structured, in-depth interviews with 22 purposively sampled healthcare professionals from public, private, and university-affiliated healthcare institutions in Amman, Irbid, and Zarqa. Participants included physicians, nurses, pharmacists, and allied health professionals with varied specialties and levels of seniority. Data were analysed using Braun and Clarke's reflexive thematic analysis. Member checking, peer debriefing, reflexive memos, and audit trails were used to enhance trustworthiness, and reporting followed the Consolidated Criteria for Reporting Qualitative Research (COREQ). Results: Eight overarching themes were identified: conditional trust in AI-assisted clinical decision-making; concerns regarding accuracy and confident algorithmic errors; accountability and professional responsibility; AI as an adjunct rather than a substitute for clinical judgement; the influence of experience, specialty, and digital literacy on AI acceptance; Jordanian health-system readiness; privacy, confidentiality, and algorithmic bias; and training requirements for safe AI use. Medication-related safety emerged as a cross-cutting concern, particularly in relation to dosing, polypharmacy, drug-drug and drug-herb interactions, and the risk of over-reliance on AI-generated recommendations. Conclusions: Healthcare professionals in Jordan expressed cautious but constructive views toward AI-assisted clinical decision-making. AI was perceived as potentially useful when used to support, rather than replace, professional judgement. Participants' accounts suggest that safe implementation depends on local validation, clear accountability frameworks, ethical data governance, interprofessional training, and careful consideration of medication-safety expertise where AI tools influence prescribing or therapeutic decisions. These findings highlight the importance of context-sensitive AI governance strategies that support trustworthy, accountable, and professionally supervised AI adoption in healthcare.</t>
  </si>
  <si>
    <t>Abu Assab, Mohammad; Al Bahar, Fares; Abu Dayyih, Wael; Alazazmeh, Buthaina Mohammad; Assaf, Sewar W.; Abed, Anas; Alrasheed, Hayam A.; Zakaraya, Zainab</t>
  </si>
  <si>
    <t>Zakaraya, Z (corresponding author), Al Ahliyya Amman Univ, Fac Pharm, Dept Biopharmaceut &amp; Clin Pharm, Amman 19328, Jordan.</t>
  </si>
  <si>
    <t>assafsewar01@yahoo.com; buthainamohammad999@gmail.com; mabuassab@zu.edu.jo; falbahar@zu.edu.jo; wabudayyih@mutah.edu.jo; a.abed@ammanu.edu.jo; haalrasheed@pnu.edu.sa; z.zakaraya@ammanu.edu.jo</t>
  </si>
  <si>
    <t>Princess Nourah bint Abdulrahman University [PNURSP2026R485]</t>
  </si>
  <si>
    <t>This research was funded by Princess Nourah bint Abdulrahman University through Princess Nourah bint Abdulrahman University Researchers Supporting Project Number (PNURSP2026R485), Princess Nourah bint Abdulrahman University, Riyadh, Saudi Arabia.</t>
  </si>
  <si>
    <t>[Abu Assab, Mohammad; Al Bahar, Fares] Zarqa Univ, Fac Pharm, Clin Pharm Dept, Zarqa 13132, Jordan; [Abu Dayyih, Wael; Alazazmeh, Buthaina Mohammad; Assaf, Sewar W.] Mutah Univ, Fac Pharm, Al Karak 61710, Jordan; [Abed, Anas; Zakaraya, Zainab] Al Ahliyya Amman Univ, Fac Pharm, Dept Biopharmaceut &amp; Clin Pharm, Amman 19328, Jordan; [Alrasheed, Hayam A.] Princess Nourah Bint Abdulrahman Univ, Coll Pharm, Dept Pharm Practice, POB 84428, Riyadh 11671, Saudi Arabia</t>
  </si>
  <si>
    <t>Zarqa University; Mutah University; Al-Ahliyya Amman University; Princess Nourah bint Abdulrahman University</t>
  </si>
  <si>
    <t>Healthcare Professionals' Perceptions of AI-Assisted Clinical Decision-Making in Jordan: A Qualitative Study of Trust, Accountability, System Readiness, and Professional Practice</t>
  </si>
  <si>
    <t>artificial intelligence; clinical decision support; qualitative research; healthcare professionals; Jordan; trust; accountability; health-system readiness; medication safety; LMIC</t>
  </si>
  <si>
    <t>ARTIFICIAL-INTELLIGENCE; INTERVIEW; FUTURE</t>
  </si>
  <si>
    <t>Abu Assab, Mohammad/AAY-2547-2021; AlRasheed, Hayam/JHU-7883-2023; Abed, Anas/OOK-1737-2025; ZAKARAYA, ZAINAB/PUE-7149-2026</t>
  </si>
  <si>
    <t>JUN 15 2026</t>
  </si>
  <si>
    <t>1724</t>
  </si>
  <si>
    <t>10.3390/healthcare14121724</t>
  </si>
  <si>
    <t>http://dx.doi.org/10.3390/healthcare14121724</t>
  </si>
  <si>
    <t>KA5ZA</t>
  </si>
  <si>
    <t>42354582</t>
  </si>
  <si>
    <t>WOS:001802399800001</t>
  </si>
  <si>
    <t>Xiao, F; Diao, KQ; Li, CY; Gong, YP; Li, BJN; Chen, JL; Fu, XQ; Xie, JY</t>
  </si>
  <si>
    <t>The integration of artificial intelligence (AI) assistance in the workplace raises concerns about its reliability in complex decision-making tasks. While AI systems can make mistakes, human oversight, particularly human gatekeeping correction, is often proposed as a solution to mitigate errors. However, it remains unclear whether humans can effectively identify and correct AI errors, especially in critical and nuanced decisions like medical decision-making. In this study, we investigate the effects of AI assistance accuracy on diagnostic work performance using Traditional Chinese Medicine (TCM) as an example. Our results show that incorrect AI outputs harm doctors' decision-making and reduce diagnostic accuracy. Additionally, we explore the role of human factors, such as engagement in long logical thinking, resistance to AI, and professional expertise. These findings challenge the feasibility of relying on human oversight and provide new insights into the practical implications of AI-assisted decision-making in the workplace.</t>
  </si>
  <si>
    <t>Xiao, Fei; Diao, Keqing; Li, Chenyang; Gong, Yaping; Li, Beijinni; Chen, Jiali; Fu, Xiu-Qiong; Xie, Jian Yan</t>
  </si>
  <si>
    <t>Li, CY (corresponding author), Hong Kong Univ Sci &amp; Technol Guangzhou, 1 Du Xue Rd, Guangzhou 511453, Peoples R China.</t>
  </si>
  <si>
    <t>chenyangli@hkust-gz.edu.cn</t>
  </si>
  <si>
    <t>The Hong Kong University of Science and Technology (Guang Zhou) [Red Bird Master Scholarship]</t>
  </si>
  <si>
    <t>The Hong Kong University of Science and Technology (Guang Zhou)</t>
  </si>
  <si>
    <t>This work was supported by The Hong Kong University of Science and Technology (Guang Zhou): [Grant Number Red Bird Master Scholarship].</t>
  </si>
  <si>
    <t>[Xiao, Fei; Li, Chenyang] Hong Kong Univ Sci &amp; Technol Guangzhou, Thrust Innovat Policy &amp; Entrepreneurship, Guangzhou, Peoples R China; [Diao, Keqing; Li, Beijinni] Hong Kong Univ Sci &amp; Technol Guangzhou, Coll Future Technol, Guangzhou, Peoples R China; [Gong, Yaping] Hong Kong Univ Sci &amp; Technol, Sch Business &amp; Management, Hong Kong, Peoples R China; [Chen, Jiali] Jinan Univ, Coll Life Sci &amp; Technol, Dept Food Sci &amp; Engn, Guangzhou, Peoples R China; [Chen, Jiali] UNSW Sydney, Fac Engn, Sch Chem Engn, Kensington, Australia; [Fu, Xiu-Qiong] Hong Kong Baptist Univ, Sch Chinese Med, Hong Kong, Peoples R China; [Xie, Jian Yan] Taishan Hosp Tradit Chinese Med, Jiangmen, Peoples R China</t>
  </si>
  <si>
    <t>Hong Kong University of Science &amp; Technology (Guangzhou); Hong Kong University of Science &amp; Technology (Guangzhou); Hong Kong University of Science &amp; Technology; Jinan University; University of New South Wales Sydney; Hong Kong Baptist University</t>
  </si>
  <si>
    <t>When AI is wrong: the limits of human oversight in AI-assisted diagnostic decision-making</t>
  </si>
  <si>
    <t>BEHAVIOUR &amp; INFORMATION TECHNOLOGY</t>
  </si>
  <si>
    <t>Human oversight; AI accuracy; human-AI collaboration; decision-making; Traditional Chinese medicine</t>
  </si>
  <si>
    <t>ARTIFICIAL-INTELLIGENCE; RESISTANCE; INNOVATION</t>
  </si>
  <si>
    <t>Fu, Xiu-Qiong/0000-0002-1458-9720</t>
  </si>
  <si>
    <t>0144-929X</t>
  </si>
  <si>
    <t>1362-3001</t>
  </si>
  <si>
    <t>BEHAV INFORM TECHNOL</t>
  </si>
  <si>
    <t>Behav. Inf. Technol.</t>
  </si>
  <si>
    <t>10.1080/0144929X.2026.2666286</t>
  </si>
  <si>
    <t>http://dx.doi.org/10.1080/0144929X.2026.2666286</t>
  </si>
  <si>
    <t>Computer Science, Cybernetics; Ergonomics</t>
  </si>
  <si>
    <t>HW5LP</t>
  </si>
  <si>
    <t>WOS:001764378400001</t>
  </si>
  <si>
    <t>Lysen, F; Wyatt, S</t>
  </si>
  <si>
    <t>The rapidly expanding field of artificial intelligence (AI) is often accompanied by calls for parallel research on its societal implications. For research about AI in healthcare, this translates to some form of patient engagement. In this article, we question whether patient engagement and participation really contribute to responsible AI. We first summarise existing critiques of patient participation. We review the critiques of the critiques, themselves motivated by the wish to contribute, and not to leave the field solely to computer- and data scientists. In the final section, we express our doubts about the possibilities for developing positive, generative interventions, and explore 'refusal' and 'hesitation' as forms of critique and engagement. The conclusion presents a checklist for refusing patient participation, an addition to the growing repertoire of tools for patient participation and responsible innovation. The article draws on and contributes to the STS tradition of creative and speculative writing.</t>
  </si>
  <si>
    <t>Lysen, Flora; Wyatt, Sally</t>
  </si>
  <si>
    <t>Lysen, F (corresponding author), Maastricht Univ, FASoS, POB 616, NL-6200 MD Maastricht, Netherlands.</t>
  </si>
  <si>
    <t>flora.lysen@maastrichtuniversity.nl</t>
  </si>
  <si>
    <t>Dutch Research Council [406, DI.19.089]; Dutch Research Council</t>
  </si>
  <si>
    <t>Dutch Research Council; Dutch Research Council</t>
  </si>
  <si>
    <t>We are grateful to Mareike Smolka, Tess Doezema and Lucien van Schomberg, the guest editors for this special issue, for their patience in waiting for our first draft, and for their helpful feedback. We would also like to thank the anonymous reviewers and Karin Jongsma for their constructive suggestions. Our project partners, Annelien Bredenoord, Jojanneke Drogt, Karin Jongsma, Megan Milota and Shoko Vos, have provided valuable support and advice throughout the project (funded by the Dutch Research Council, grant no. 406.DI.19.089). All mistakes, errors and clumsy formulations remain our responsibility.</t>
  </si>
  <si>
    <t>[Lysen, Flora; Wyatt, Sally] Maastricht Univ, Fac Arts &amp; Social Sci, Maastricht, Netherlands; [Lysen, Flora] Maastricht Univ, FASoS, POB 616, NL-6200 MD Maastricht, Netherlands</t>
  </si>
  <si>
    <t>Maastricht University; Maastricht University</t>
  </si>
  <si>
    <t>Refusing participation: hesitations about designing responsible patient engagement with artificial intelligence in healthcare</t>
  </si>
  <si>
    <t>JOURNAL OF RESPONSIBLE INNOVATION</t>
  </si>
  <si>
    <t>Artificial intelligence (AI); creative non-fiction; methods; participation; patients; refusal</t>
  </si>
  <si>
    <t>SCIENCE</t>
  </si>
  <si>
    <t>Lysen, Flora/0000-0003-0590-0668; Wyatt, Sally/0000-0001-6663-1591</t>
  </si>
  <si>
    <t>2329-9460</t>
  </si>
  <si>
    <t>2329-9037</t>
  </si>
  <si>
    <t>J RESPONSIBLE INNOV</t>
  </si>
  <si>
    <t>J. Responsible Innov.</t>
  </si>
  <si>
    <t>DEC 31 2024</t>
  </si>
  <si>
    <t>2300161</t>
  </si>
  <si>
    <t>10.1080/23299460.2023.2300161</t>
  </si>
  <si>
    <t>http://dx.doi.org/10.1080/23299460.2023.2300161</t>
  </si>
  <si>
    <t>Ethics; History &amp; Philosophy Of Science; Management; Social Issues</t>
  </si>
  <si>
    <t>Social Sciences - Other Topics; History &amp; Philosophy of Science; Business &amp; Economics; Social Issues</t>
  </si>
  <si>
    <t>GF7U3</t>
  </si>
  <si>
    <t>WOS:001151324100001</t>
  </si>
  <si>
    <t>gold; Green Published</t>
  </si>
  <si>
    <t>Lanfranchi, G; Marino, R; Gembillo, G; Santoro, D; Villari, M</t>
  </si>
  <si>
    <t>Purpose- Digital transformation in health care is frequently delayed by resistance, which is typically conceptualized as a barrier to AI adoption. This study aims to reframe resistance as a knowledge-generating signal, examining how it shapes organizational learning and knowledge governance during AI implementation in high-stakes, regulated settings. Design/methodology/approach- The study draws on a canonical action research program conducted within the eHealth Network: Artificial Intelligence and Innovative ICT Tools Oriented toward Digital Diagnostics project. Empirical material was collected across nephrology, hepatology and diabetology through 55 interdisciplinary meetings, 17 semistructured interviews and extensive project documentation, enabling longitudinal analysis of how knowledge is produced, negotiated and institutionalized during AI implementation. Findings- The findings show that resistance operates as diagnostic signal, revealing misalignments across conceptual, representational and evidential knowledge proximities. These tensions trigger the development of boundary infrastructures, including shared vocabularies, standardized test datasets and interdisciplinary routines, through which knowledge is created, validated and governed across professional communities. The analysis identifies two socio-technical mechanisms that mediate these knowledge tensions: federated learning, which functions as a knowledge-governance capability balancing data sovereignty with institutional learning and explainable AI, which, when institutionalized through clinical explanation rounds, supports collective sensemaking and embeds interpretability into everyday decision-making routines. Originality/value- The study contributes to the knowledge management and information systems literature by reconceptualizing resistance as a generative constraint for governing knowledge in AI-enabled organizations. It advances understanding of how socio-technical mechanisms can transform resistance into an asset for organizational learning under epistemic pluralism, offering insights applicable beyond health care to other regulated and knowledge-intensive domains.</t>
  </si>
  <si>
    <t>Lanfranchi, Giuseppe; Marino, Roberto; Gembillo, Guido; Santoro, Domenico; Villari, Massimo</t>
  </si>
  <si>
    <t>Lanfranchi, G (corresponding author), Univ Messina, Dept Math &amp; Comp Sci Phys Sci &amp; Earth Sci, Messina, Italy.; Lanfranchi, G (corresponding author), City St George Univ London, Bayes Business Sch, London, England.</t>
  </si>
  <si>
    <t>roberto.marino@unime.it; domenico.santoro@unime.it; guido.gembillo@unime.it; gilanfranchi@unime.it; massimo.villari@unime.it</t>
  </si>
  <si>
    <t>Italian Ministry of Health [CUP: E63C22001410001]</t>
  </si>
  <si>
    <t>Italian Ministry of Health (Ministry of Health, Italy)</t>
  </si>
  <si>
    <t>This research was conducted within the framework of the RAIdD (eHealth Network: Artificial Intelligence and Innovative ICT Tools Oriented toward Digital Diagnostics) project, funded by the Italian Ministry of Health (CUP: E63C22001410001).</t>
  </si>
  <si>
    <t>[Lanfranchi, Giuseppe; Marino, Roberto; Villari, Massimo] Univ Messina, Dept Math &amp; Comp Sci Phys Sci &amp; Earth Sci, Messina, Italy; [Lanfranchi, Giuseppe] City St George Univ London, Bayes Business Sch, London, England; [Gembillo, Guido; Santoro, Domenico] Univ Messina, Dept Med &amp; Surg, Messina, Italy</t>
  </si>
  <si>
    <t>University of Messina; University of Messina</t>
  </si>
  <si>
    <t>When resistance becomes knowledge: governing health-care AI through federated learning and explainable AI</t>
  </si>
  <si>
    <t>VINE JOURNAL OF INFORMATION AND KNOWLEDGE MANAGEMENT SYSTEMS</t>
  </si>
  <si>
    <t>Artificial intelligence; Knowledge governance; Federated learning; Explainable AI; Boundary infrastructures; Action research; Health-care organizations</t>
  </si>
  <si>
    <t>INFORMATION-TECHNOLOGY; USER ACCEPTANCE; SYSTEMS</t>
  </si>
  <si>
    <t>Gembillo, Guido/AAO-7675-2020; santoro, domenico/P-7902-2014; Lanfranchi, Giuseppe/NKP-0738-2025</t>
  </si>
  <si>
    <t>2059-5891</t>
  </si>
  <si>
    <t>2059-5905</t>
  </si>
  <si>
    <t>VINE J INF KNOWL MAN</t>
  </si>
  <si>
    <t>VINE J. INF. KNOWL. MANAG. SYST.</t>
  </si>
  <si>
    <t>10.1108/VJIKMS-01-2026-0010</t>
  </si>
  <si>
    <t>http://dx.doi.org/10.1108/VJIKMS-01-2026-0010</t>
  </si>
  <si>
    <t>Information Science &amp; Library Science; Management</t>
  </si>
  <si>
    <t>Information Science &amp; Library Science; Business &amp; Economics</t>
  </si>
  <si>
    <t>LO0VI</t>
  </si>
  <si>
    <t>WOS:001829174000001</t>
  </si>
  <si>
    <t>Zhang, J; Xie, YF; Zou, W</t>
  </si>
  <si>
    <t>Ensuring that Large Language Models align with human values of honesty is a critical challenge, particularly due to the scarcity of labeled data for distinguishing known versus unknown knowledge boundaries. We propose a weak-to-strong generalization framework utilizing Group Relative Policy Optimization (GRPO). Unlike standard supervised fine-tuning or prompt engineering, our framework trains a lightweight "honest head" to rank response candidates based on multifaceted honesty scores. Crucially, we employ GRPO to optimize this head, leveraging group-relative advantages and PPO-style clipping to robustly learn from noisy, relative honesty signals. The weak honest head then guides the self-labeling of unlabeled data to fine-tune strong LLMs. Experiments on PopQA, SQuAD, Non-AmbigQA, and a domain-specific military medical dataset demonstrate that our framework significantly outperforms strong baselines, including Direct Preference Optimization (DPO), in honesty alignment.</t>
  </si>
  <si>
    <t>Zhang, Jie; Xie, Yunfan; Zou, Wen</t>
  </si>
  <si>
    <t>Zou, W (corresponding author), Chinese PLA Ctr Dis Control &amp; Prevent, Beijing 100038, Peoples R China.</t>
  </si>
  <si>
    <t>pipi_zwm@163.com; zhangjie44@whu.edu.cn; yunfanxie@whu.edu.cn</t>
  </si>
  <si>
    <t>National Social Science Fund of China [24ZD321]</t>
  </si>
  <si>
    <t>National Social Science Fund of China (National Social Science Fund of China (NSSFC))</t>
  </si>
  <si>
    <t>This study was funded by the National Social Science Fund of China (Grant No. 24&amp;ZD321).</t>
  </si>
  <si>
    <t>[Zhang, Jie; Xie, Yunfan] Wuhan Univ, Sch Cyber Sci &amp; Engn Dept, Bayi Rd, Wuhan 430072, Peoples R China; [Zou, Wen] Chinese PLA Ctr Dis Control &amp; Prevent, Beijing 100038, Peoples R China</t>
  </si>
  <si>
    <t>Weak-to-Strong Honesty Alignment via Group-Relative Policy Optimization</t>
  </si>
  <si>
    <t>honesty alignment; trustworthy AI; weak-to-strong learning; Group Relative Policy Optimization; large language models; self-labeling</t>
  </si>
  <si>
    <t>JAN 30 2026</t>
  </si>
  <si>
    <t>10.3390/math14030503</t>
  </si>
  <si>
    <t>http://dx.doi.org/10.3390/math14030503</t>
  </si>
  <si>
    <t>DN9HE</t>
  </si>
  <si>
    <t>WOS:001687910300001</t>
  </si>
  <si>
    <t>Karim, MR; Islam, T; Lange, C; Rebholz-Schuhmann, D; Decker, S</t>
  </si>
  <si>
    <t>Artificial intelligence (AI) systems are increasingly used in health and personalized care. However, the adoption of data-driven approaches in many clinical settings has been hampered due to their inability to perform in a reliable and safe manner to leverage accurate and trustworthy diagnoses. A critical and challenging usage scenario for AI is aiding the treatment of cancerous conditions. Providing accurate diagnosis for cancer is a challenging problem in precision oncology. Although machine learning (ML)-based approaches are very effective at cancer susceptibility prediction and subsequent treatment recommendations, ML models can be vulnerable to adversarial attacks. Since adversarially weak models can lead to wrong clinical recommendations, such vulnerabilities is critical - especially when AI-guided systems are used to aid medical doctors. Therefore, it is indispensable that healthcare professionals employ trustworthy AI tools for predicting and assessing disease risks and progression. In this paper, we propose an adversary-aware multimodal convolutional autoencoder (MCAE) model for cancer susceptibility prediction from multi-omics data consisting of copy number variations (CNVs), miRNA expression, and gene expression (GE). Based on different representational learning techniques, the MCAE model learns multimodal feature representations from multi-omics data, followed by classifying the patient cohorts into different cancer types on multimodal embedding space that exhibit similar characteristics in end-to-end setting. To make the MCAE model robust to adversaries and to provide consistent diagnosis, we formulate robustness as a property, such that predictions remain stable with regard to small variations in the input. We study different adversarial attacks scenarios and take both proactive and reactive measures (e.g., adversarial retraining and identification of adversarial inputs). Experiment results show that the MCAE model based on latent representation concatenation (LRC) exhibits high confidence at predicting cancer types, giving an average precision and Matthews correlation coefficient (MCC) scores of 0.9625 and 0.8453, respectively and shows higher robustness when compared with state-of-the-art approaches against different attack scenarios w.r.t. ERM and CLEVER scores. Overall, our study suggests that a well-fitted and adversarially robust model can provide consistent and reliable diagnosis for cancer.</t>
  </si>
  <si>
    <t>Karim, Md Rezaul; Islam, Tanhim; Lange, Christoph; Rebholz-Schuhmann, Dietrich; Decker, Stefan</t>
  </si>
  <si>
    <t>Karim, MR (corresponding author), Fraunhofer Inst Appl Informat Technol FIT, D-53757 St Augustin, Germany.; Karim, MR (corresponding author), Rhein Westfal TH Aachen, Comp Sci Informat Syst &amp; Databases 5, D-52074 Aachen, Germany.</t>
  </si>
  <si>
    <t>rezaul.karim@fit.fraunhofer.de</t>
  </si>
  <si>
    <t>[Karim, Md Rezaul; Islam, Tanhim; Lange, Christoph; Decker, Stefan] Fraunhofer Inst Appl Informat Technol FIT, D-53757 St Augustin, Germany; [Karim, Md Rezaul; Lange, Christoph; Decker, Stefan] Rhein Westfal TH Aachen, Comp Sci Informat Syst &amp; Databases 5, D-52074 Aachen, Germany; [Rebholz-Schuhmann, Dietrich] ZB MED Informat Ctr Life Sci, D-50931 Cologne, Germany; [Rebholz-Schuhmann, Dietrich] Univ Cologne, Fac Med, D-50931 Cologne, Germany</t>
  </si>
  <si>
    <t>Fraunhofer Gesellschaft; Fraunhofer Germany; Fraunhofer Applied Information Technology; RWTH Aachen University; University of Cologne</t>
  </si>
  <si>
    <t>Adversary-Aware Multimodal Neural Networks for Cancer Susceptibility Prediction From Multiomics Data</t>
  </si>
  <si>
    <t>Cancer; Predictive models; Germanium; Data models; Training; Neural networks; Robustness; Cancer genomics; cancer type prediction; adversarial machine learning; out-of-distribution detection; deep learning; representation learning; multimodal information fusion</t>
  </si>
  <si>
    <t>EXPRESSION; PRECISION; FUSION</t>
  </si>
  <si>
    <t>Decker, Stefan/D-5589-2017</t>
  </si>
  <si>
    <t>Islam, Tanhim/0000-0003-3182-1138; Karim, Rezaul/0000-0001-6804-9183</t>
  </si>
  <si>
    <t>54386</t>
  </si>
  <si>
    <t>54409</t>
  </si>
  <si>
    <t>10.1109/ACCESS.2022.3175816</t>
  </si>
  <si>
    <t>http://dx.doi.org/10.1109/ACCESS.2022.3175816</t>
  </si>
  <si>
    <t>1N6NB</t>
  </si>
  <si>
    <t>WOS:000800768900001</t>
  </si>
  <si>
    <t>Liang, Q; Zhao, JD; Yang, F; Chen, XJ; Song, Y; Shi, ZW; Pang, QJ</t>
  </si>
  <si>
    <t>Objectives BMI and age are associated with the risk of osteoporosis (OP). The dynamic facial aging process involves changes in skin, muscle, fat, and facial bone structures, with facial skeletal aging affecting facial contours through volumetric reduction and morphological alterations. This study aims to develop and validate an explainable AI predictive model for opportunistic osteoporosis screening based on facial images. Background Effective identification of populations at risk for low bone mass and osteoporosis is crucial for implementing individualized screening strategies and subsequent orthopedic care. Although artificial intelligence technology demonstrates broad prospects and excellent performance in disease prediction using imaging data, its application in osteoporosis risk prediction utilizing facial data remains insufficiently explored and developed. We propose an explainable artificial intelligence (XAI) deep learning model named Face2Bone for osteoporosis risk prediction and opportunistic screening of at-risk populations based on 2D facial images. In this study, we conducted proof-of-concept validation by establishing predictive models and integrating XAI methods to identify and comparatively analyze facial phenotypic factors associated with osteoporosis. Methods An observational study of 1167 patients undergoing DXA (in March-August 2024) was conducted at Ningbo No.2 Hospital. Standardization for facial images and the collection of clinical data were performed. A preprocessing pipeline was created to remove the background noise from the facial images. A hybrid deep learning model was constructed with a pre-trained FaceNet, a custom Frequency Sparse Attention (FSA) module, aTransformer and CNN backbones, and a Kolmogorov-Arnold Networks (KAN) as the classifier. The models' interpretability was analyzed using SHAP and CRAFT interpretation methods. Results The Face2Bone model demonstrated superior performance in the validation set, achieving accuracy, precision, recall, and F1-score of 92.85%, 92.94%, 92.85%, and 92.83%, respectively, with an AUC of 98.56%, outperforming mainstream models including VGG, ViT, and ResNet. The model maintained excellent classification performance and calibration across both male and female subgroups (ECE= 0.027, Brier score = 0.050, all subgroup Hosmer-Lemeshow test P-values &gt; 0.05). Explainability analysis using SHAP and CRAFT revealed, for the first time, significant facial image characteristics across three bone mass states (normal, osteopenia, osteoporosis), confirming morphological consistency between model classifications and facial skeletal aging patterns. Conclusion We created and validated the first explainable deep learning model for osteoporosis risk classification using facial images. Facial characteristics associated with bone loss represent changes to the skeleton that are expected with normal aging. This non-invasive technology allows for opportunistic screening and early intervention.</t>
  </si>
  <si>
    <t>Liang, Qing; Zhao, Jingding; Yang, Fang; Chen, Xianjun; Song, Yang; Shi, Zewen; Pang, Qingjiang</t>
  </si>
  <si>
    <t>Pang, QJ (corresponding author), Hangzhou Med Coll, 481 Binwen Rd, Hangzhou, Zhejiang, Peoples R China.; Shi, ZW; Pang, QJ (corresponding author), Ningbo 2 Hosp, 41 Xibei Rd, Ningbo 315100, Zhejiang, Peoples R China.; Shi, ZW (corresponding author), Huazhong Univ Sci &amp; Technol, Wuhan Union Hosp, Tongji Med Coll, Dept Orthopaed, Wuhan 430022, Hubei, Peoples R China.</t>
  </si>
  <si>
    <t>DoctorZane@outlook.com; pangqingjiang@ucas.ac.cn</t>
  </si>
  <si>
    <t>Ningbo Clinical Research Center for Orthopedics and Exercise Rehabilitation, Project [2024L004]</t>
  </si>
  <si>
    <t>Ningbo Clinical Research Center for Orthopedics and Exercise Rehabilitation, Project</t>
  </si>
  <si>
    <t>This research is supported by funding from Ningbo Clinical Research Center for Orthopedics and Exercise Rehabilitation (Project No.2024L004). The funders had no role in study design, data collection and analysis, decision to publish, or manuscript preparation.</t>
  </si>
  <si>
    <t>[Liang, Qing; Pang, Qingjiang] Hangzhou Med Coll, 481 Binwen Rd, Hangzhou, Zhejiang, Peoples R China; [Liang, Qing; Zhao, Jingding; Yang, Fang; Chen, Xianjun; Shi, Zewen; Pang, Qingjiang] Ningbo 2 Hosp, 41 Xibei Rd, Ningbo 315100, Zhejiang, Peoples R China; [Zhao, Jingding; Yang, Fang] Ningbo Univ, Hlth Sci Ctr, Ningbo 315211, Zhejiang, Peoples R China; [Shi, Zewen] Huazhong Univ Sci &amp; Technol, Wuhan Union Hosp, Tongji Med Coll, Dept Orthopaed, Wuhan 430022, Hubei, Peoples R China; [Song, Yang] Ningbo Univ, Coll Sci &amp; Technol, Ningbo 315211, Zhejiang, Peoples R China</t>
  </si>
  <si>
    <t>Hangzhou Medical College; Ningbo University; Huazhong University of Science &amp; Technology; Ningbo University</t>
  </si>
  <si>
    <t>Face2Bone explainable AI model predicts osteoporosis risk from facial images in proof of concept study</t>
  </si>
  <si>
    <t>Deep learning; Facial image; Facial aging; BMI; Osteopenia; Osteoporosis; XAI; BMD</t>
  </si>
  <si>
    <t>BONE-MINERAL DENSITY; FRACTURE RISK; DIAGNOSIS; IMPACT; SKIN; DXA</t>
  </si>
  <si>
    <t>40913</t>
  </si>
  <si>
    <t>10.1038/s41598-025-20462-3</t>
  </si>
  <si>
    <t>http://dx.doi.org/10.1038/s41598-025-20462-3</t>
  </si>
  <si>
    <t>ER3ZQ</t>
  </si>
  <si>
    <t>41266389</t>
  </si>
  <si>
    <t>WOS:001707928600001</t>
  </si>
  <si>
    <t>Arnaud, É; Moreno-Sanchez, PA; Elbattah, M; Ammirati, C; van Gils, M; Dequen, G; Ghazali, DA</t>
  </si>
  <si>
    <t>Background: Overcrowded emergency departments (EDs) create significant challenges for patient management and hospital efficiency. In response, Amiens Picardy University Hospital (APUH) developed the "Prediction of the Patient Pathway in the Emergency Department" (3P-U) model to enhance patient flow management. Objectives: To develop and clinically validate an explainable artificial intelligence (XAI) model for hospital admission predictions, using structured triage data, and demonstrate its real-world applicability in the ED setting. Methods: Our retrospective, single-center study involved 351,019 patients consulting in APUH's EDs between 2015 and 2018. Various models (including a cross-validation artificial neural network (ANN), a k-nearest neighbors (KNN) model, a logistic regression (LR) model, and a random forest (RF) model) were trained and assessed for performance with regard to the area under the receiver operating characteristic curve (AUROC). The best model was validated internally with a test set, and the F1 score was used to determine the best threshold for recall, precision, and accuracy. XAI techniques, such as Shapley additive explanations (SHAP) and partial dependence plots (PDP) were employed, and the clinical explanations were evaluated by emergency physicians. Results: The ANN gave the best performance during the training stage, with an AUROC of 83.1% (SD: 0.2%) for the test set; it surpassed the RF (AUROC: 71.6%, SD: 0.1%), KNN (AUROC: 67.2%, SD: 0.2%), and LR (AUROC: 71.5%, SD: 0.2%) models. In an internal validation, the ANN's AUROC was 83.2%. The best F1 score (0.67) determined that 0.35 was the optimal threshold; the corresponding recall, precision, and accuracy were 75.7%, 59.7%, and 75.3%, respectively. The SHAP and PDP XAI techniques (as assessed by emergency physicians) highlighted patient age, heart rate, and presentation with multiple injuries as the features that most specifically influenced the admission from the ED to a hospital ward. These insights are being used in bed allocation and patient prioritization, directly improving ED operations. Conclusions: The 3P-U model demonstrates practical utility by reducing ED crowding and enhancing decision-making processes at APUH. Its transparency and physician validation foster trust, facilitating its adoption in clinical practice and offering a replicable framework for other hospitals to optimize patient flow.</t>
  </si>
  <si>
    <t>Arnaud, Emilien; Moreno-Sanchez, Pedro Antonio; Elbattah, Mahmoud; Ammirati, Christine; van Gils, Mark; Dequen, Gilles; Ghazali, Daniel Aiham</t>
  </si>
  <si>
    <t>Ghazali, DA (corresponding author), Amiens Picardy Univ Hosp, Dept Emergency Med, F-80000 Amiens, France.; Ghazali, DA (corresponding author), Univ Paris Cite, Infect Antimicrobials Modelling Evolut, INSERM, UMR1137, F-75018 Paris, France.</t>
  </si>
  <si>
    <t>mark.vangils@tuni.fi; mahmoud.elbattah@uwe.ac.uk; arnaud.emilien@chu-amiens.fr; christine.ammirati@chu-amiens.fr; gilles.dequen@u-picardie.fr; pedro.morenosanchez@tuni.fi; ghazali.danielaiham@chu-amiens.fr</t>
  </si>
  <si>
    <t>[Arnaud, Emilien; Ammirati, Christine; Ghazali, Daniel Aiham] Amiens Picardy Univ Hosp, Dept Emergency Med, F-80000 Amiens, France; [Arnaud, Emilien; Elbattah, Mahmoud; Dequen, Gilles] Univ Picardie Jules Verne, Lab Modelisat Informat Syst MIS, UR4290, F-80000 Amiens, France; [Moreno-Sanchez, Pedro Antonio; van Gils, Mark] Tampere Univ, Fac Med &amp; Hlth Technol, Seinajoki 60100, Finland; [Elbattah, Mahmoud] Univ West England, Coll Arts Technol &amp; Environm, Bristol BA1 9DZ, England; [Ammirati, Christine] Amiens Picardy Univ Hosp SimuSante, F-80000 Amiens, France; [Ghazali, Daniel Aiham] Univ Paris Cite, Infect Antimicrobials Modelling Evolut, INSERM, UMR1137, F-75018 Paris, France</t>
  </si>
  <si>
    <t>Universite de Picardie Jules Verne (UPJV); Tampere University; University of West England; Institut National de la Sante et de la Recherche Medicale (Inserm); Universite Paris Cite</t>
  </si>
  <si>
    <t>Development and Clinical Interpretation of an Explainable AI Model for Predicting Patient Pathways in the Emergency Department: A Retrospective Study</t>
  </si>
  <si>
    <t>artificial intelligence; explainable artificial intelligence; emergency medicine; patient pathway</t>
  </si>
  <si>
    <t>HEART-RATE; MORTALITY; ASSOCIATION; ADMISSIONS; SCALE; RISK</t>
  </si>
  <si>
    <t>Elbattah, Mahmoud/B-5184-2017; Dequen, Gilles/AFA-1543-2022; GHAZALI, Daniel Aiham/AGT-6293-2022; Moreno-Sanchez, Pedro A/L-2354-2017; ARNAUD, Emilien/HJI-5325-2023</t>
  </si>
  <si>
    <t>Elbattah, Mahmoud/0000-0002-5089-9160; van Gils, Mark/0000-0002-0029-1771; Dequen, Gilles/0000-0001-7497-1182; GHAZALI, Daniel Aiham/0000-0003-0129-4322; Moreno-Sanchez, Pedro A/0000-0003-3987-1789; ARNAUD, Emilien/0000-0002-6971-009X</t>
  </si>
  <si>
    <t>JUL 30 2025</t>
  </si>
  <si>
    <t>8449</t>
  </si>
  <si>
    <t>10.3390/app15158449</t>
  </si>
  <si>
    <t>http://dx.doi.org/10.3390/app15158449</t>
  </si>
  <si>
    <t>6AX4L</t>
  </si>
  <si>
    <t>WOS:001549005200001</t>
  </si>
  <si>
    <t>Mahin, J; Li, L</t>
  </si>
  <si>
    <t>Introduction Automated skin lesion detection systems based on deep learning have been found to have significant potential in melanoma triage, but have not been widely used in clinical practice because they use visual features to make predictions (without patient history) and make definitive predictions with false overconfidence. This paper introduces a new probabilistic model, Evidential Deep Learning and Vision Transformer architecture, that produces safer biopsy suggestions through uncertainty quantification.Methods The model was trained and tested using the ISIC composite database (10,010 records). The hierarchical Swin Transformer architecture is utilized in the proposed framework to extract complex features of the dermoscopic images. To combine multimodal data, a cross-attention system is trained, which learns the fine-grained correlations between visual features and patient clinical data (age, gender and lesion location). Lastly, the system, with the Dirichlet distribution in the decision layer, not only predicts the need to order a biopsy, but also produces a quantifiable uncertainty estimate that can be used to refer suspicious and out-of-distribution cases to a specialist.Results The results of the evaluation indicate that the suggested framework had an accuracy of 92.398% and an area under the operating characteristic curve (AUROC) of 0.924. More importantly, the incorporation of evidential learning resulted in a reduction in the expected calibration error (ECE) by 0.031 and improved the model's sensitivity in detecting lesions requiring biopsy to 92.37%. It was also able to recognize 89.5% of low-quality or ambiguous images and tag them as in need of expert review.Discussion The suggested multimodal and uncertainty-aware system not only enhances diagnostic accuracy by infusing clinical context, but also decreases human and systematic error in dermatology triage by offering a computational safety layer. This system is an effective step towards implementing Trustworthy AI in healthcare workflows.</t>
  </si>
  <si>
    <t>Mahin, Jafaridarabjerdi; Li, Lin</t>
  </si>
  <si>
    <t>Li, L (corresponding author), Dalian Univ Technol, Cent Hosp, Dalian, Liaoning, Peoples R China.; Li, L (corresponding author), Dalian Univ Technol, Fac Med, Sch Basic Med, Dalian, Liaoning, Peoples R China.</t>
  </si>
  <si>
    <t>lli@dlut.edu.cn</t>
  </si>
  <si>
    <t>Fundamental Research Funds for the Central Universities [DUT24YG126]; Dalian Medical-Engineering Interdisciplinary Key Project [2024ZDJH01PT039]; Natural Science Foundation [32570698]; Joint Plan Project of Liaoning Science and Technology Program [2024JH2/102600268]</t>
  </si>
  <si>
    <t>Fundamental Research Funds for the Central Universities (Fundamental Research Funds for the Central Universities); Dalian Medical-Engineering Interdisciplinary Key Project; Natural Science Foundation (National Natural Science Foundation of China (NSFC)); Joint Plan Project of Liaoning Science and Technology Program</t>
  </si>
  <si>
    <t>The author(s) declared that financial support was received for this work and/or its publication. The Fundamental Research Funds for the Central Universities (DUT24YG126); Dalian Medical-Engineering Interdisciplinary Key Project (2024ZDJH01PT039);Natural Science Foundation Grant No: 32570698; the Joint Plan Project of Liaoning Science and Technology Program (Grant No. 2024JH2/102600268).</t>
  </si>
  <si>
    <t>[Mahin, Jafaridarabjerdi] Dalian Univ Technol, Fac Med, Dalian, Liaoning, Peoples R China; [Mahin, Jafaridarabjerdi; Li, Lin] Dalian Univ Technol, Cent Hosp, Dalian, Liaoning, Peoples R China; [Li, Lin] Dalian Univ Technol, Fac Med, Sch Basic Med, Dalian, Liaoning, Peoples R China</t>
  </si>
  <si>
    <t>Dalian University of Technology; Dalian University of Technology; Dalian University of Technology</t>
  </si>
  <si>
    <t>Vision transformer-based uncertainty quantification for triaging skin lesions: a probabilistic framework for automated biopsy recommendation</t>
  </si>
  <si>
    <t>FRONTIERS IN BIOENGINEERING AND BIOTECHNOLOGY</t>
  </si>
  <si>
    <t>evidential deep learning; multimodal fusion; skin lesion triage; Swin Transformer; uncertainty quantification</t>
  </si>
  <si>
    <t>2296-4185</t>
  </si>
  <si>
    <t>FRONT BIOENG BIOTECH</t>
  </si>
  <si>
    <t>Front. Bioeng. Biotechnol.</t>
  </si>
  <si>
    <t>JUN 29 2026</t>
  </si>
  <si>
    <t>1859844</t>
  </si>
  <si>
    <t>10.3389/fbioe.2026.1859844</t>
  </si>
  <si>
    <t>http://dx.doi.org/10.3389/fbioe.2026.1859844</t>
  </si>
  <si>
    <t>KW4WX</t>
  </si>
  <si>
    <t>42445227</t>
  </si>
  <si>
    <t>WOS:001817249100001</t>
  </si>
  <si>
    <t>Syed, AH; Taha, AA; Osman, AH; Baguda, YS; Aljahdali, HM; Yunianta, A</t>
  </si>
  <si>
    <t>Background/Objectives: Diabetes is a chronic metabolic disorder affecting global health, where early prediction can significantly reduce disease severity. Methods: This research proposes an interpretable multi-metric fuzzy distance-based ensemble (MMFDE) that integrates multi-variant gradient-boosting classifiers (GBM, LightGBM, XGBoost, and AdaBoost) through a novel fuzzy fusion mechanism designed for intrinsic interpretability. Unlike conventional ensembles relying on opaque averaging or voting, MMFDE transforms base classifier predictions into a high-dimensional fuzzy space quantified via a weighted hybrid distance incorporating Euclidean, Manhattan, Chebyshev, and cosine metrics against ideal diabetic and non-diabetic reference vectors. These distances are translated into membership degrees with the help of exponentially decaying functions, which give clinicians calibrated confidence scores for every prediction. Comprehensive SHAP analysis identifies important clinical risk factors (glucose, BMI, and diabetes pedigree function), which show concordance with the medical literature, thereby giving greater clinical trust. Results: Experimental evaluations on two publicly available datasets, Hospital Frankfurt Germany Diabetes Dataset (HFGDD) and Pima Indians Diabetes Dataset (PIDD), show that MMFDE outperforms all base models with a significant accuracy of 94.83% and Area Under the Curve (AUC) of 97.66% on HFGDD and three different levels of interpretability: geometric transparency via distance-based decisions, confidence-calibrated uncertainty estimates, and feature-level explanations via SHAP. The confidence thresholds enabled in the framework support risk stratification clinical workflows with high-confidence predictions for automated screening and cases with moderate/low confidence flagged out for review by the clinician. Conclusions: By demonstrating that high performance and interpretability need not be mutually exclusive, MMFDE advances trustworthy AI for clinical decision support, addressing the critical need for transparent and clinically actionable diabetes prediction systems.</t>
  </si>
  <si>
    <t>Syed, Asif Hassan; Taha, Altyeb Altaher; Osman, Ahmed Hamza; Baguda, Yakubu Suleiman; Aljahdali, Hani Moaiteq; Yunianta, Arda</t>
  </si>
  <si>
    <t>Taha, AA (corresponding author), King Abdulaziz Univ, Fac Comp &amp; Informat Technol, Dept Informat Technol, Jeddah 21589, Saudi Arabia.</t>
  </si>
  <si>
    <t>aaataha@kau.edu.sa; shassan1@kau.edu.sa; ahoahmad@kau.edu.sa; ysoleman1@kau.edu.sa; hmaljahdali@kau.edu.sa; ayunianta@kau.edu.sa</t>
  </si>
  <si>
    <t>King Abdulaziz University [IPP:1108-830-2025]</t>
  </si>
  <si>
    <t>King Abdulaziz University (King Abdulaziz University)</t>
  </si>
  <si>
    <t>This project was funded by the Deanship of Scientific Research (DSR) at King Abdulaziz University, Jeddah, Saudi Arabia, under grant no. (IPP:1108-830-2025).</t>
  </si>
  <si>
    <t>[Syed, Asif Hassan] King Abdulaziz Univ, Fac Comp &amp; Informat Technol, Dept Comp Sci, Jeddah 21589, Saudi Arabia; [Taha, Altyeb Altaher] King Abdulaziz Univ, Fac Comp &amp; Informat Technol, Dept Informat Technol, Jeddah 21589, Saudi Arabia; [Osman, Ahmed Hamza; Baguda, Yakubu Suleiman; Aljahdali, Hani Moaiteq; Yunianta, Arda] King Abdulaziz Univ, Fac Comp &amp; Informat Technol, Dept Informat Syst, Jeddah 21589, Saudi Arabia</t>
  </si>
  <si>
    <t>King Abdulaziz University; King Abdulaziz University; King Abdulaziz University</t>
  </si>
  <si>
    <t>An Interpretable Fuzzy Distance-Based Ensemble Framework with SHAP Analysis for Clinically Transparent Prediction of Diabetes</t>
  </si>
  <si>
    <t>diabetes prediction; interpretable machine learning; fuzzy fusion; gradient boosting; ensemble learning; eXplainable AI (XAI); SHAP analysis; clinical decision support</t>
  </si>
  <si>
    <t>ARTIFICIAL-INTELLIGENCE; NEURAL-NETWORK; BLACK-BOX</t>
  </si>
  <si>
    <t>yunianta, arda/J-4342-2017; H.Osman, Ahmed/AAD-8424-2021; Altaher, Altyeb/J-9066-2014; Syed, Asif/J-5566-2013; Osman, Ahmed/H-1125-2016</t>
  </si>
  <si>
    <t>H.Osman, Ahmed/0000-0002-8512-578X</t>
  </si>
  <si>
    <t>APR 22 2026</t>
  </si>
  <si>
    <t>1254</t>
  </si>
  <si>
    <t>10.3390/diagnostics16091254</t>
  </si>
  <si>
    <t>http://dx.doi.org/10.3390/diagnostics16091254</t>
  </si>
  <si>
    <t>HW0YL</t>
  </si>
  <si>
    <t>42121957</t>
  </si>
  <si>
    <t>WOS:001764072400001</t>
  </si>
  <si>
    <t>Ihalapathirana, A; Lavikainen, P; Siirtola, P; Tamminen, S; Chandra, G; Laatikainen, T; Martikainen, J; Röning, J</t>
  </si>
  <si>
    <t>Traditional treatment strategies for Type 2 diabetes (T2D) adopt a "one-size-fits-all" approach, limiting individual effectiveness. This study presents an explainable, data-driven framework for multi-treatment and single-treatment selection of SGLT2 inhibitors (SGLT2-i) and DPP-4 inhibitors (DPP4-i) based on patient-specific health characteristics. Our approach evaluates treatment effectiveness across four outcomes-glycosylated hemoglobin (HbA1c), low-density lipoprotein (LDL) cholesterol, high-density lipoprotein (HDL) cholesterol, and body mass index (BMI)-to enable individualized treatment recommendations. The multi-treatment model, based on multi-output regression, achieved an R2 score of 0.44 and an RMSE of 5.58, identifying benefit subgroups for SGLT2-i and DPP4-i across all outcomes. Integrated with SHapley Additive exPlanations (SHAP) analysis, the model offers insights into the factors influencing treatment effects. The single-treatment selection algorithm achieved an accuracy of 0.47 and an F1 score of 0.46, showing a higher average treatment effect with SGLT2-i on all outcomes, notably in the reduction in HbA1c, LDL, and BMI and a modest increase in HDL. While DPP4-i demonstrated beneficial effects on HbA1c, LDL, and HDL, it was associated with an increase in BMI. These findings highlight the benefits of a multi-faceted, patient-centered precision medicine approach for T2D management, enabling treatment strategies that address individual health needs beyond HbA1c.</t>
  </si>
  <si>
    <t>Ihalapathirana, Anusha; Lavikainen, Piia; Siirtola, Pekka; Tamminen, Satu; Chandra, Gunjan; Laatikainen, Tiina; Martikainen, Janne; Roning, Juha</t>
  </si>
  <si>
    <t>Ihalapathirana, A (corresponding author), Univ Oulu, Biomimet &amp; Intelligent Syst Grp, Oulu 90014, Finland.</t>
  </si>
  <si>
    <t>piia.lavikainen@uef.fi; juha.roning@oulu.fi; gunjan.chandra@oulu.fi; satu.tamminen@oulu.fi; tiina.laatikainen@uef.fi; anusha.ihalapathirana@oulu.fi; janne.martikainen@uef.fi; pekka.siirtola@oulu.fi</t>
  </si>
  <si>
    <t>European Union [825162]</t>
  </si>
  <si>
    <t>European Union (European Union (EU))</t>
  </si>
  <si>
    <t>This research was funded by the European Union's Horizon 2020 research and innovation programme under grant agreement No. 825162.</t>
  </si>
  <si>
    <t>[Ihalapathirana, Anusha; Siirtola, Pekka; Tamminen, Satu; Chandra, Gunjan; Roning, Juha] Univ Oulu, Biomimet &amp; Intelligent Syst Grp, Oulu 90014, Finland; [Lavikainen, Piia; Martikainen, Janne] Univ Eastern Finland, Sch Pharm, Kuopio 70211, Finland; [Laatikainen, Tiina] Univ Eastern Finland, Inst Publ Hlth &amp; Clin Nutr, Fac Hlth Sci, Sch Med, Kuopio 70211, Finland; [Roning, Juha] Symbiosis Int, Symbiosis Inst Technol, Pune 412115, India</t>
  </si>
  <si>
    <t>University of Oulu; University of Eastern Finland; University of Eastern Finland; Symbiosis International University; Symbiosis Institute of Technology (SIT)</t>
  </si>
  <si>
    <t>Beyond Glycemic Control: Precision Medicine in Type 2 Diabetes Using Multi-Output Explainable Artificial Intelligence for Personalized SGLT2 and DPP-4 Therapy Selection</t>
  </si>
  <si>
    <t>precision medicine; data-driven treatment optimization; explainable AI; multi-treatment selection; treat-to-benefit; type 2 diabetes</t>
  </si>
  <si>
    <t>Laatikainen, Tiina/ABD-6622-2021; Lavikainen, Piia/NMJ-6991-2025; Chandra, Gunjan/MVY-8660-2025</t>
  </si>
  <si>
    <t>183</t>
  </si>
  <si>
    <t>10.3390/ai7060183</t>
  </si>
  <si>
    <t>http://dx.doi.org/10.3390/ai7060183</t>
  </si>
  <si>
    <t>JZ5OX</t>
  </si>
  <si>
    <t>WOS:001801697400001</t>
  </si>
  <si>
    <t>Warraich, HJ; Tazbaz, T; Califf, RM</t>
  </si>
  <si>
    <t>Importance Advances in artificial intelligence (AI) must be matched by efforts to better understand and evaluate how AI performs across health care and biomedicine as well as develop appropriate regulatory frameworks. This Special Communication reviews the history of the US Food and Drug Administration's (FDA) regulation of AI; presents potential uses of AI in medical product development, clinical research, and clinical care; and presents concepts that merit consideration as the regulatory system adapts to AI's unique challenges. Observations The FDA has authorized almost 1000 AI-enabled medical devices and has received hundreds of regulatory submissions for drugs that used AI in their discovery and development. Health AI regulation needs to be coordinated across all regulated industries, the US government, and with international organizations. Regulators will need to advance flexible mechanisms to keep up with the pace of change in AI across biomedicine and health care. Sponsors need to be transparent about and regulators need proficiency in evaluating the use of AI in premarket development. A life cycle management approach incorporating recurrent local postmarket performance monitoring should be central to health AI development. Special mechanisms to evaluate large language models and their uses are needed. Approaches are necessary to balance the needs of the entire spectrum of health ecosystem interests, from large firms to start-ups. The evaluation and regulatory system will need to focus on patient health outcomes to balance the use of AI for financial optimization for developers, payers, and health systems. Conclusions and Relevance Strong oversight by the FDA protects the long-term success of industries by focusing on evaluation to advance regulated technologies that improve health. The FDA will continue to play a central role in ensuring safe, effective, and trustworthy AI tools to improve the lives of patients and clinicians alike. However, all involved entities will need to attend to AI with the rigor this transformative technology merits.</t>
  </si>
  <si>
    <t>Warraich, Haider J.; Tazbaz, Troy; Califf, Robert M.</t>
  </si>
  <si>
    <t>Warraich, HJ (corresponding author), US FDA, 10903 New Hampshire Ave,White Oak Campus,Bldg 1, Silver Spring, MD 20903 USA.</t>
  </si>
  <si>
    <t>haider.warraich@fda.hhs.gov</t>
  </si>
  <si>
    <t>[Warraich, Haider J.; Tazbaz, Troy; Califf, Robert M.] US FDA, 10903 New Hampshire Ave,White Oak Campus,Bldg 1, Silver Spring, MD 20903 USA</t>
  </si>
  <si>
    <t>US Food &amp; Drug Administration (FDA)</t>
  </si>
  <si>
    <t>FDA Perspective on the Regulation of Artificial Intelligence in Health Care and Biomedicine</t>
  </si>
  <si>
    <t>JAMA-JOURNAL OF THE AMERICAN MEDICAL ASSOCIATION</t>
  </si>
  <si>
    <t>PHARMACOVIGILANCE</t>
  </si>
  <si>
    <t>238</t>
  </si>
  <si>
    <t>266</t>
  </si>
  <si>
    <t>AMER MEDICAL ASSOC</t>
  </si>
  <si>
    <t>CHICAGO</t>
  </si>
  <si>
    <t>330 N WABASH AVE, STE 39300, CHICAGO, IL 60611-5885 USA</t>
  </si>
  <si>
    <t>0098-7484</t>
  </si>
  <si>
    <t>1538-3598</t>
  </si>
  <si>
    <t>JAMA-J AM MED ASSOC</t>
  </si>
  <si>
    <t>JAMA-J. Am. Med. Assoc.</t>
  </si>
  <si>
    <t>JAN 21 2025</t>
  </si>
  <si>
    <t>333</t>
  </si>
  <si>
    <t>241</t>
  </si>
  <si>
    <t>247</t>
  </si>
  <si>
    <t>10.1001/jama.2024.21451</t>
  </si>
  <si>
    <t>http://dx.doi.org/10.1001/jama.2024.21451</t>
  </si>
  <si>
    <t>T5V5H</t>
  </si>
  <si>
    <t>39405330</t>
  </si>
  <si>
    <t>WOS:001338321500001</t>
  </si>
  <si>
    <t>Deng, ZH; Ma, WL; Han, QL; Zhou, W; Zhu, XG; Wen, S; Xiang, Y</t>
  </si>
  <si>
    <t>The rapid advancement of large models has led to the development of increasingly sophisticated models capable of generating diverse, personalized, and high-quality content. Among these, DeepSeek has emerged as a pivotal open-source initiative, demonstrating high performance at significantly lower computation costs compared to closed-source counterparts. This survey provides a comprehensive overview of the DeepSeek family of models, including DeepSeek-V3 and DeepSeek-R1, covering their core innovations in architecture, system pipeline, algorithm, and infrastructure. We explore their practical applications across various domains, such as healthcare, finance, and education, highlighting their impact on both industry and society. Further-more, we examine potential security, privacy, and ethical concerns arising from the widespread deployment of these models, emphasizing the need for responsible AI development. Finally, we outline future research directions to enhance the performance, safety, and scalability of DeepSeek models, aiming to foster further advancements in the open-source large model community.</t>
  </si>
  <si>
    <t>Deng, Zehang; Ma, Wanlun; Han, Qing-Long; Zhou, Wei; Zhu, Xiaogang; Wen, Sheng; Xiang, Yang</t>
  </si>
  <si>
    <t>Han, QL; Xiang, Y (corresponding author), Swinburne Univ Technol, Sch Sci Comp &amp; Engn Technol, Hawthorn, Vic 3122, Australia.</t>
  </si>
  <si>
    <t>wma@swin.edu.au; qhan@swin.edu.au; swen@swin.edu.au; xiaogang.zhu@adelaide.edu.au; yxiang@swin.edu.au; zehangdeng@swin.edu.au; weizhou@swin.edu.au</t>
  </si>
  <si>
    <t>[Deng, Zehang; Ma, Wanlun; Han, Qing-Long; Zhou, Wei; Wen, Sheng; Xiang, Yang] Swinburne Univ Technol, Sch Sci Comp &amp; Engn Technol, Hawthorn, Vic 3122, Australia; [Zhu, Xiaogang] Univ Adelaide, Sch Comp &amp; Math Sci, Adelaide, SA 5005, Australia</t>
  </si>
  <si>
    <t>Swinburne University of Technology; Adelaide University; University of Adelaide</t>
  </si>
  <si>
    <t>Exploring DeepSeek: A Survey on Advances, Applications, Challenges and Future Directions</t>
  </si>
  <si>
    <t>IEEE-CAA JOURNAL OF AUTOMATICA SINICA</t>
  </si>
  <si>
    <t>Surveys; Technological innovation; Ethics; Computational modeling; Pipelines; Finance; Medical services; Computer architecture; Safety; Security; DeepSeek; large language model; large multimodal model</t>
  </si>
  <si>
    <t>LARGE LANGUAGE MODELS; CYBERSECURITY</t>
  </si>
  <si>
    <t>Ma, Wanlun/NUP-3969-2025; Deng, Zehang/KIG-9398-2024; Han, Qing-Long/B-6635-2013; Wen, Sheng/P-6699-2017; Zhu, Xiaogang/ABC-9538-2021; Xiang, Yang/D-1280-2009</t>
  </si>
  <si>
    <t>Zhou, Wei/0000-0002-2548-6348; Ma, Wanlun/0000-0002-6305-1740; Deng, Zehang/0009-0000-5469-0762; Wen, Sheng/0000-0003-0655-666X; Zhu, Xiaogang/0000-0002-0647-4747; Xiang, Yang/0000-0001-5252-0831</t>
  </si>
  <si>
    <t>192</t>
  </si>
  <si>
    <t>203</t>
  </si>
  <si>
    <t>2329-9266</t>
  </si>
  <si>
    <t>2329-9274</t>
  </si>
  <si>
    <t>IEEE-CAA J AUTOMATIC</t>
  </si>
  <si>
    <t>IEEE-CAA J. Automatica Sin.</t>
  </si>
  <si>
    <t>872</t>
  </si>
  <si>
    <t>893</t>
  </si>
  <si>
    <t>10.1109/JAS.2025.125498</t>
  </si>
  <si>
    <t>http://dx.doi.org/10.1109/JAS.2025.125498</t>
  </si>
  <si>
    <t>Automation &amp; Control Systems</t>
  </si>
  <si>
    <t>2SS5P</t>
  </si>
  <si>
    <t>WOS:001490407500018</t>
  </si>
  <si>
    <t>Biswas, I</t>
  </si>
  <si>
    <t>The integration of artificial intelligence (AI) into pharmaceutical practices raises critical ethical concerns, including algorithmic bias, data commodification and global health inequities. While existing AI ethics frameworks emphasise transparency and fairness, they often overlook structural vulnerabilities tied to race, gender and socioeconomic status. This paper introduces relational accountability-a feminist ethics framework-to critique AI-driven pharmaceutical practices, arguing that corporate reliance on biased algorithms exacerbates inequalities by design. Through case studies of Pfizer-IBM Watson's immuno-oncology collaboration and Google DeepMind's National Health Service partnership, we demonstrate how AI entrenches disparities in drug pricing, access and development. We propose a causal pathway linking biased training data to inequitable health outcomes, supported by empirical evidence of AI-driven price discrimination and exclusionary clinical trial recruitment algorithms. Policy solutions, including algorithmic audits and equity-centred data governance, are advanced to realign AI with the ethical imperative. This work bridges feminist bioethics and AI governance, offering a novel lens to address structural harm in healthcare innovation.</t>
  </si>
  <si>
    <t>Biswas, Irfan</t>
  </si>
  <si>
    <t>Biswas, I (corresponding author), Shrewsbury Publ Sch, Shrewsbury, MA 01545 USA.</t>
  </si>
  <si>
    <t>Irfan.biswas@icloud.com</t>
  </si>
  <si>
    <t>[Biswas, Irfan] Shrewsbury Publ Sch, Shrewsbury, MA 01545 USA</t>
  </si>
  <si>
    <t>Relational accountability in AI-driven pharmaceutical practices: an ethics approach to bias, inequity and structural harm</t>
  </si>
  <si>
    <t>Quality of Health Care</t>
  </si>
  <si>
    <t>10.1136/jme-2025-110913</t>
  </si>
  <si>
    <t>http://dx.doi.org/10.1136/jme-2025-110913</t>
  </si>
  <si>
    <t>7CB9V</t>
  </si>
  <si>
    <t>40930712</t>
  </si>
  <si>
    <t>WOS:001567480200001</t>
  </si>
  <si>
    <t>Adnan, KM; Ghazal, TM; Saleem, M; Farooq, MS; Yeun, CY; Ahmad, M; Lee, SW</t>
  </si>
  <si>
    <t>Brain Tumours are highly complex, particularly when it comes to their initial and accurate diagnosis, as this determines patient prognosis. Conventional methods rely on MRI and CT scans and employ generic machine learning techniques, which are heavily dependent on feature extraction and require human intervention. These methods may fail in complex cases and do not produce human-interpretable results, making it difficult for clinicians to trust the model's predictions. Such limitations prolong the diagnostic process and can negatively impact the quality of treatment. The advent of deep learning has made it a powerful tool for complex image analysis tasks, such as detecting brain Tumours, by learning advanced patterns from images. However, deep learning models are often considered "black box" systems, where the reasoning behind predictions remains unclear. To address this issue, the present study applies Explainable AI (XAI) alongside deep learning for accurate and interpretable brain Tumour prediction. XAI enhances model interpretability by identifying key features such as Tumour size, location, and texture, which are crucial for clinicians. This helps build their confidence in the model and enables them to make better-informed decisions. In this research, a deep learning model integrated with XAI is proposed to develop an interpretable framework for brain Tumour prediction. The model is trained on an extensive dataset comprising imaging and clinical data and demonstrates high AUC while leveraging XAI for model explainability and feature selection. The study findings indicate that this approach improves predictive performance, achieving an accuracy of 92.98% and a miss rate of 7.02%. Additionally, interpretability tools such as LIME and Grad-CAM provide clinicians with a clearer understanding of the decision-making process, supporting diagnosis and treatment. This model represents a significant advancement in brain Tumour prediction, with the potential to enhance patient outcomes and contribute to the field of neuro-oncology.</t>
  </si>
  <si>
    <t>Adnan, Khan Muhammad; Ghazal, Taher M.; Saleem, Muhammad; Farooq, Muhammad Sajid; Yeun, Chan Yeob; Ahmad, Munir; Lee, Sang-Woong</t>
  </si>
  <si>
    <t>Lee, SW (corresponding author), Gachon Univ, Fac Artificial Intelligence &amp; Software, Pattern Recognit &amp; Machine Learning Lab, Seongnam 13557, South Korea.; Yeun, CY (corresponding author), Khalifa Univ, Ctr Secure Cyber Phys Syst C2PS, Comp Sci Dept, Abu Dhabi, U Arab Emirates.</t>
  </si>
  <si>
    <t>chan.yeun@ku.ac.ae; slee@gachon.ac.kr</t>
  </si>
  <si>
    <t>Center for Secure Cyber-Physical Systems (C2PS), Department of Computer Science, Khalifa University, Abu Dhabi, United Arab Emirates</t>
  </si>
  <si>
    <t>This research received funding from the Center for Secure Cyber-Physical Systems (C2PS), Department of Computer Science, Khalifa University, Abu Dhabi, United Arab Emirates.</t>
  </si>
  <si>
    <t>[Adnan, Khan Muhammad; Lee, Sang-Woong] Gachon Univ, Fac Artificial Intelligence &amp; Software, Pattern Recognit &amp; Machine Learning Lab, Seongnam 13557, South Korea; [Ghazal, Taher M.] Al Ahliyya Amman Univ, Hourani Ctr Appl Sci Res, Dept Networks &amp; Cybersecur, Amman 19111, Jordan; [Saleem, Muhammad] Chitkara Univ, Inst Engn &amp; Technol, Rajpura 140401, Punjab, India; [Farooq, Muhammad Sajid] NASTP Inst Informat Technol, Dept Cyber Secur, Lahore 58810, Pakistan; [Yeun, Chan Yeob] Khalifa Univ, Ctr Secure Cyber Phys Syst C2PS, Comp Sci Dept, Abu Dhabi, U Arab Emirates; [Ahmad, Munir] Korea Univ, Univ Coll, Seoul 02841, South Korea</t>
  </si>
  <si>
    <t>Gachon University; Al-Ahliyya Amman University; Chitkara University, Punjab; Khalifa University of Science &amp; Technology; Korea University</t>
  </si>
  <si>
    <t>Deep learning driven interpretable and informed decision making model for brain tumour prediction using explainable AI</t>
  </si>
  <si>
    <t>Brain tumour; XAI; MRI; CT scans</t>
  </si>
  <si>
    <t>Saleem, Muhammad/HLG-6828-2023; Adnan, Khan Muhammad/ACJ-2841-2022; Ahmad, Dr. Munir/F-7482-2018; Lee, Sang-Woong/ABF-6191-2020; Ghazal, Taher/AAS-7443-2021; SajidFarooq, Muhammad/KLC-9789-2024</t>
  </si>
  <si>
    <t>Saleem, Muhammad/0000-0002-5209-8375; Adnan, Khan Muhammad/0000-0003-4854-9935</t>
  </si>
  <si>
    <t>JUN 1 2025</t>
  </si>
  <si>
    <t>19223</t>
  </si>
  <si>
    <t>10.1038/s41598-025-03358-0</t>
  </si>
  <si>
    <t>http://dx.doi.org/10.1038/s41598-025-03358-0</t>
  </si>
  <si>
    <t>3ID4Z</t>
  </si>
  <si>
    <t>40451921</t>
  </si>
  <si>
    <t>WOS:001500912700030</t>
  </si>
  <si>
    <t>Seong, H; Lee, KS; Choi, Y; Na, D; Kim, J; Shin, HJ; Ahn, KH</t>
  </si>
  <si>
    <t>This study uses machine learning and population data to analyze major determinants of blood transfusion among patients with hip arthroplasty. Retrospective cohort data came from Korea National Health Insurance Service claims data for 19,110 patients aged 65 years or more with hip arthroplasty in 2019. The dependent variable was blood transfusion (yes vs no) in 2019 and its 31 predictors were included. Random forest variable importance and Shapley Additive Explanations were used for identifying major predictors and the directions of their associations with blood transfusion. The random forest registered the area under the curve of 73.6%. Based on random forest variable importance, the top-10 predictors were anemia (0.25), tranexamic acid (0.17), age (0.16), socioeconomic status (0.05), spinal anesthesia (0.05), general anesthesia (0.04), sex (female) (0.04), dementia (0.03), iron (0.02), and congestive heart failure (0.02). These predictors were followed by their top-20 counterparts including cardiovascular disease, statin, chronic obstructive pulmonary disease, diabetes mellitus, chronic kidney disease, peripheral vascular disease, liver disease, solid tumor, myocardial infarction and hypertension. In terms of max Shapley Additive Explanations values, these associations were positive, e.g., anemia (0.09), tranexamic acid (0.07), age (0.09), socioeconomic status (0.05), spinal anesthesia (0.05), general anesthesia (0.04), sex (female) (0.02), dementia (0.03), iron (0.04), and congestive heart failure (0.03). For example, the inclusion of anemia, age, tranexamic acid or spinal anesthesia into the random forest will increase the probability of blood transfusion among patients with hip arthroplasty by 9%, 7%, 9% or 5%. Machine learning is an effective prediction model for blood transfusion among patients with hip arthroplasty. The high-risk group with anemia, age and comorbid conditions need to be treated with tranexamic acid, iron and/or other appropriate interventions.</t>
  </si>
  <si>
    <t>Seong, Hyunyoung; Lee, Kwang-Sig; Choi, Yumin; Na, Donghyun; Kim, Jaewoo; Shin, Hyeon Ju; Ahn, Ki Hoon</t>
  </si>
  <si>
    <t>Shin, HJ (corresponding author), Korea Univ, Anam Hosp, Coll Med, Dept Anesthesiol &amp; Pain Med, 73 Goryeodae Ro, Seoul 02841, South Korea.</t>
  </si>
  <si>
    <t>wodnk1945@gmail.com; may335@naver.com; hello406@naver.com; akh1220@hanmail.net; bmssdh7942@gmail.com; ecophy@hanmail.net</t>
  </si>
  <si>
    <t>Korea Health Technology R&amp;D Project through the Korea Health Industry Development Institute (KHIDI) - Ministry of Health &amp; Welfare, Republic of Korea [HI22C1463]; Korea University Grant [K2327361]</t>
  </si>
  <si>
    <t>Korea Health Technology R&amp;D Project through the Korea Health Industry Development Institute (KHIDI) - Ministry of Health &amp; Welfare, Republic of Korea; Korea University Grant (Korea University)</t>
  </si>
  <si>
    <t>This research was supported by a grant of the Korea Health Technology R &amp; D Project through the Korea Health Industry Development Institute (KHIDI), funded by the Ministry of Health &amp; Welfare, Republic of Korea (grant number: HI22C1463) and technically by 4P Lab, Co., Ltd. for data analysis, and also supported by Korea University Grant (K2327361).</t>
  </si>
  <si>
    <t>[Seong, Hyunyoung; Na, Donghyun; Kim, Jaewoo; Shin, Hyeon Ju] Korea Univ, Anam Hosp, Coll Med, Dept Anesthesiol &amp; Pain Med, Seoul, South Korea; [Lee, Kwang-Sig] Korea Univ, Coll Med, AI Ctr, Seoul, South Korea; [Choi, Yumin] Korea Univ, Sch Mech Engn, Seoul, South Korea; [Ahn, Ki Hoon] Korea Univ, Anam Hosp, Coll Med, Dept Obstet &amp; Gynecol, Seoul, South Korea; [Shin, Hyeon Ju] Korea Univ, Anam Hosp, Coll Med, Dept Anesthesiol &amp; Pain Med, 73 Goryeodae Ro, Seoul 02841, South Korea</t>
  </si>
  <si>
    <t>Korea University; Korea University Medicine (KU Medicine); Korea University; Korea University Medicine (KU Medicine); Korea University; Korea University; Korea University Medicine (KU Medicine); Korea University; Korea University Medicine (KU Medicine)</t>
  </si>
  <si>
    <t>Explainable artificial intelligence for predicting red blood cell transfusion in geriatric patients undergoing hip arthroplasty: Machine learning analysis using national health insurance data</t>
  </si>
  <si>
    <t>blood transfusion; hip arthroplasty; machine learning</t>
  </si>
  <si>
    <t>GENERAL-ANESTHESIA; SPINAL-ANESTHESIA; KNEE ARTHROPLASTY; ELDERLY-PATIENTS; REPLACEMENT</t>
  </si>
  <si>
    <t>Seong, Hyunyoung/AAH-1401-2021</t>
  </si>
  <si>
    <t>Seong, Hyunyoung/0000-0001-5136-1058; Lee, Kwang-Sig/0000-0002-0576-0098</t>
  </si>
  <si>
    <t>FEB 23 2024</t>
  </si>
  <si>
    <t>e36909</t>
  </si>
  <si>
    <t>10.1097/MD.0000000000036909</t>
  </si>
  <si>
    <t>http://dx.doi.org/10.1097/MD.0000000000036909</t>
  </si>
  <si>
    <t>JQ5G0</t>
  </si>
  <si>
    <t>38394543</t>
  </si>
  <si>
    <t>WOS:001174637500011</t>
  </si>
  <si>
    <t>Abbasi, SS; Mahmood, S; Khalique, F; Alshara, MA; Jan, T; Khalil, RA</t>
  </si>
  <si>
    <t>Anomaly-based threat detection is crucial for organizations. Anomalies are deviations from the norm and can sometimes be hard to identify in contextual cases. These anomalies may arise from an insider-based malicious intrusion. Anomalies are mostly unsupervised and sometimes require expert validation to confirm their occurrence. The black-box nature of unsupervised machine learning models offers little insight into the origin and details of the anomaly. Thus, there is a need for an explanation layer in anomaly detection systems to aid decision-makers in tracking anomalies. Anomaly-based threat detection is critical for smart health scenarios. In this research, we have utilized the electronic patient record to identify unsupervised anomalies. We have suggested adding an explainability layer that utilizes unsupervised learning. The results indicated that Isolation Forest outperformed the other methods on the clustering metrics, as validated by the explainability layer. Lime and Shap are used to visually explain the anomaly's cause using feature contributions. User-friendly, explainable captions are generated for each anomaly instance, enabling non-technical users to easily understand the results from Lime and Shap. Three metrics, fidelity, sparsity, and stability, are used to validate the explanation layer, which explains each instance of an anomaly: fidelity requires R-2 &gt;= 0.70, sparsity favors a smaller number of features that provide user-friendly results, and stability is high. Finally, a Lime-Shap agreement is used to validate the results for each anomaly instance across all Explanations (all seeds). The proposed scheme adds trust to unsupervised learning results, thereby increasing user confidence in the anomaly detection algorithm's outcomes and aiding decision-makers.</t>
  </si>
  <si>
    <t>Abbasi, Saad Shakeel; Mahmood, Saba; Khalique, Fatima; Alshara, Mohammed Ali; Jan, Tariqullah; Khalil, Ruhul Amin</t>
  </si>
  <si>
    <t>Mahmood, S (corresponding author), Bahria Univ, Dept Comp Sci, Islamabad Campus, Islamabad 46000, Pakistan.; Khalil, RA (corresponding author), United Arab Emirates Univ UAEU, Coll Engn, Engn Requirements Unit ERU, Al Ain, U Arab Emirates.</t>
  </si>
  <si>
    <t>ruhulamin@uaeu.ac.ae; smahmood.buic@bahria.edu.pk</t>
  </si>
  <si>
    <t>Prince Sultan University (PSU), Saudi Arabia; Office of the Associate Provost for Research at United Arab Emirates University (UAEU), United Arab Emirates</t>
  </si>
  <si>
    <t>This work was supported in part by the Office of the Associate Provost for Research at United Arab Emirates University (UAEU), United Arab Emirates; and in part by Prince Sultan University (PSU), Saudi Arabia.</t>
  </si>
  <si>
    <t>[Abbasi, Saad Shakeel; Mahmood, Saba] Bahria Univ, Dept Comp Sci, Islamabad Campus, Islamabad 46000, Pakistan; [Khalique, Fatima] Univ Limerick, Res Ireland Ctr Software, Lero, Limerick V94 NYD3, Ireland; [Alshara, Mohammed Ali; Jan, Tariqullah] Prince Sultan Univ PSU, Coll Comp &amp; Informat Sci, Riyadh 12435, Saudi Arabia; [Khalil, Ruhul Amin] United Arab Emirates Univ UAEU, Coll Engn, Engn Requirements Unit ERU, Al Ain, U Arab Emirates</t>
  </si>
  <si>
    <t>Bahria University; University of Limerick; United Arab Emirates University</t>
  </si>
  <si>
    <t>Enhancing Detection of Anomaly-Based Intrusions in Smart Health Using Explainable AI</t>
  </si>
  <si>
    <t>Modeling; Anomaly detection; Internet of Things; Explainable AI; Machine learning; Seeds (agriculture); Stability; Educational institutions; Forests; Recording; explainable artificial intelligence; LIME; SHAP; electronic patient records; isolation forest; local outlier factor</t>
  </si>
  <si>
    <t>Mahmood, Saba/QSP-4625-2026</t>
  </si>
  <si>
    <t>73096</t>
  </si>
  <si>
    <t>73113</t>
  </si>
  <si>
    <t>10.1109/ACCESS.2026.3692365</t>
  </si>
  <si>
    <t>http://dx.doi.org/10.1109/ACCESS.2026.3692365</t>
  </si>
  <si>
    <t>WOS:001771058600007</t>
  </si>
  <si>
    <t>Nnadi, LC; Isiwu, CP; Ding, D; Muepu, DM; Watanobe, Y</t>
  </si>
  <si>
    <t>Depression among university students is a critical global problem that affects academic performance, well-being, and dropout rates. Although machine learning models offer strong predictive power, their opacity limits their adoption in educational and clinical contexts. Most existing approaches emphasize either global or individual explanations, leaving a gap in multi-level interpretability that can inform institutional policy and personalized support. This paper introduces a novel multi-level explainable Artificial Intelligence (XAI) framework that unifies SHAP (SHapley Additive exPlanations) for global importance ranking, H-LIME (Hierarchical Local Interpretable Model-agnostic Explanations) for hierarchical subgroup explanations, and Diverse Counterfactual Explanations (DiCE) for actionable individual recourse. By establishing a generalizable theory of hierarchical interpretability that bridges global, group, and local levels of explanation, the framework advances both methodological rigor and practical relevance. Using a dataset of 27,901 students with demographic, academic, lifestyle and psychosocial factors, Random Forest achieved a strong predictive performance (accuracy = 0.839, ROC-AUC = 0.916). The results consistently identified suicidal ideation, academic pressure, and financial stress as dominant factors, while subgroup and individual analyses revealed contextual and personalized nuances that global explanations alone obscure. Individual-level counterfactuals further suggested feasible workload or lifestyle adjustments, offering practical recourse for at-risk students. Limitations include dependence on self-reported survey data and the fact that the sample is from a single country, which may limit the generalizability of the findings. This unified approach offers a reusable methodological framework for achieving multi-level interpretability in sensitive AI applications. It also provides evidence-based guidance for the early identification of at-risk individuals, customized interventions, and the development of equity-based institutional policies.</t>
  </si>
  <si>
    <t>Nnadi, Leonard Chukwualuka; Isiwu, Chukwuemeka Paul; Ding, Dake; Muepu, Daniel M.; Watanobe, Yutaka</t>
  </si>
  <si>
    <t>Nnadi, LC (corresponding author), Univ Aizu, Dept Comp Sci &amp; Engn, Aizu Wakamatsu, Fukushima 9658580, Japan.</t>
  </si>
  <si>
    <t>leonardnnadi30@gmail.com</t>
  </si>
  <si>
    <t>[Nnadi, Leonard Chukwualuka; Isiwu, Chukwuemeka Paul; Ding, Dake; Muepu, Daniel M.; Watanobe, Yutaka] Univ Aizu, Dept Comp Sci &amp; Engn, Aizu Wakamatsu, Fukushima 9658580, Japan</t>
  </si>
  <si>
    <t>University of Aizu</t>
  </si>
  <si>
    <t>Multi-Level Explainable AI for Predicting Student Depression Risk: Global, Subgroup, and Individual Insights</t>
  </si>
  <si>
    <t>Mental health; Depression; Explainable AI; Predictive models; Education; Machine learning; Surveys; Ethics; Biological system modeling; Urban areas; Explainable artificial intelligence (XAI); student depression prediction; SHAP; hierarchical LIME (H-LIME); counterfactual explanations; educational data mining</t>
  </si>
  <si>
    <t>MACHINE LEARNING-MODELS; EXPLANATIONS</t>
  </si>
  <si>
    <t>muepu, daniel/NIU-9427-2025; Nnadi, Leonard/MVV-8934-2025</t>
  </si>
  <si>
    <t>6271</t>
  </si>
  <si>
    <t>6286</t>
  </si>
  <si>
    <t>10.1109/ACCESS.2026.3652631</t>
  </si>
  <si>
    <t>http://dx.doi.org/10.1109/ACCESS.2026.3652631</t>
  </si>
  <si>
    <t>CD7WV</t>
  </si>
  <si>
    <t>WOS:001663381000029</t>
  </si>
  <si>
    <t>Imamura, H; Chiang, SF; Kuronishi, M; Funahashi, Y; Nishino, T; Yachie, A</t>
  </si>
  <si>
    <t>Background/Objectives: Understanding the mechanisms of drug response plays an essential role in predicting effects prior to drug administration and advancing personalized medicine by optimizing treatment strategies. This study aimed to identify gene combinations that can predict the antitumor activity of lenvatinib, which is a multi-targeted tyrosine kinase inhibitor. Methods: Cancer- and drug-response-related gene sets were identified by mapping gene expression profiles of previously reported syngeneic mouse tumor models onto a protein-protein interaction network and extracting subnetworks comprising nodes where high expression levels were clustered. The scores for these network modules were calculated using the expression data of mouse tumor models prior to drug administration. These scores were used to train a machine learning (ML) model of drug response to lenvatinib by narrowing down the parameter space using hepatocellular carcinoma patient-derived xenograft (HCC PDX) models acquired in this study. Results: Using this integrative framework, we identified several network modules including those involved in the nerve growth factor signaling pathway, Wnt signaling pathway, and interleukin signaling pathways, that were consistently prioritized as informative features across PDX models and human patient data from The Cancer Genome Atlas. Conclusions: These network modules exhibit biological functions that are linked to the known targets of lenvatinib in the cancer cells or the tumor microenvironment, highlighting their potential relevance as determinants of drug response.</t>
  </si>
  <si>
    <t>Imamura, Haruna; Chiang, Sufeng; Kuronishi, Megumi; Funahashi, Yasuhiro; Nishino, Taiko; Yachie, Ayako</t>
  </si>
  <si>
    <t>Yachie, A (corresponding author), Syst Biol Inst, Saisei Ikedayama Bldg 5-10-25 Higashi Gotanda, Shinagawa, Tokyo 1410022, Japan.</t>
  </si>
  <si>
    <t>y-funahashi@hhc.eisai.co.jp; imamura@sbi.jp; yachie@sbi.jp</t>
  </si>
  <si>
    <t>Eisai Co., Ltd.; Merck Sharp Dohme Corp.</t>
  </si>
  <si>
    <t>Eisai Co., Ltd. (Eisai Co Ltd); Merck Sharp Dohme Corp. (Merck &amp; Company)</t>
  </si>
  <si>
    <t>This research was funded by Eisai Co., Ltd., Ibaraki, Japan, and Merck Sharp &amp; Dohme Corp., a subsidiary of Merck &amp; Co., Inc.</t>
  </si>
  <si>
    <t>[Imamura, Haruna; Chiang, Sufeng; Nishino, Taiko; Yachie, Ayako] Syst Biol Inst, Saisei Ikedayama Bldg 5-10-25 Higashi Gotanda, Shinagawa, Tokyo 1410022, Japan; [Kuronishi, Megumi; Funahashi, Yasuhiro] Eisai &amp; Co Ltd, Tsukuba Res Labs, 5-1-3 Tokodai, Tsukuba, Ibaraki 3002635, Japan</t>
  </si>
  <si>
    <t>Eisai Co Ltd</t>
  </si>
  <si>
    <t>Leveraging Network-Based Transcriptome Analysis from Mouse Tumor Models and Explainable Artificial Intelligence to Advance the Understanding of the Antitumor Activity of Lenvatinib</t>
  </si>
  <si>
    <t>lenvatinib; tumor microenvironment; drug response; network-based transcriptome analysis; machine learning; explainable AI</t>
  </si>
  <si>
    <t>UNRESECTABLE HEPATOCELLULAR-CARCINOMA; 1ST-LINE TREATMENT; NON-INFERIORITY; CANCER; EXPRESSION; METASTASIS; SORAFENIB; SIGNATURE; OUTCOMES; GENES</t>
  </si>
  <si>
    <t>MAR 25 2026</t>
  </si>
  <si>
    <t>1067</t>
  </si>
  <si>
    <t>10.3390/cancers18071067</t>
  </si>
  <si>
    <t>http://dx.doi.org/10.3390/cancers18071067</t>
  </si>
  <si>
    <t>GK5EA</t>
  </si>
  <si>
    <t>41976290</t>
  </si>
  <si>
    <t>WOS:001738565300001</t>
  </si>
  <si>
    <t>Vijayvargiya, A; Singh, P; Kumar, R; Dey, N</t>
  </si>
  <si>
    <t>Electromyography (EMG) signals are gaining popularity for several biomedical applications, including pattern recognition, disease detection, human-machine interfaces, medical image processing, and robotic limb or exoskeleton fabrication. In this study, a two-channel data acquisition system for measuring EMG signals is proposed for human lower limb activity recognition. Five leg activities have been accomplished to measure EMG signals from two lower limb muscles to validate the developed hardware. Five subjects (three males and two females) were chosen to acquire EMG signals during these activities. The raw EMG signal was first denoised using a hybrid of Wavelet Decomposition with Ensemble Empirical Mode Decomposition (WD-EEMD) approach to classify the recorded EMG dataset. Then, eight time-domain (TD) features were extracted using the overlapping windowing technique. An investigation into the comparative effectiveness of several classifiers is presented, although it was hard to distinguish how the classifiers predicted the activities. Having a trustworthy explanation for the outcomes of these classifiers would be quite beneficial overall. An approach known as explainable artificial intelligence (XAI) was introduced to produce trustworthy predictive modeling results and applied the XAI technique known as local interpretable model-agnostic explanations (LIME) to a straightforward human interpretation. LIME investigates how extracted features are anticipated and which features are most responsible for each action. The accuracy of the extra tree classifier gives the highest accuracy of the other studied algorithms for identifying different human lower limb activities from sEMG signals.</t>
  </si>
  <si>
    <t>Vijayvargiya, Ankit; Singh, Puneet; Kumar, Rajesh; Dey, Nilanjan</t>
  </si>
  <si>
    <t>Vijayvargiya, A (corresponding author), Malaviya Natl Inst Technol, Dept Elect Engn, Jaipur 302017, Rajasthan, India.; Vijayvargiya, A (corresponding author), Swami Keshvanand Inst Technol Management &amp; Gramot, Dept Elect Engn, Jaipur 302017, Rajasthan, India.</t>
  </si>
  <si>
    <t>ankitvijayvargiya29@gmail.com; 2019uec1355@mnit.ac.in; neelanjan.dey@gmail.com; rkumar.ee@mnit.ac.in</t>
  </si>
  <si>
    <t>Visvesvaraya Ph.D. Scheme, Meity, Government of India [MEITY-PHD-2942]</t>
  </si>
  <si>
    <t>Visvesvaraya Ph.D. Scheme, Meity, Government of India</t>
  </si>
  <si>
    <t>This work was supported by the Visvesvaraya Ph.D. Scheme, Meity, Government of India, under Grant MEITY-PHD-2942.</t>
  </si>
  <si>
    <t>[Vijayvargiya, Ankit; Kumar, Rajesh] Malaviya Natl Inst Technol, Dept Elect Engn, Jaipur 302017, Rajasthan, India; [Vijayvargiya, Ankit] Swami Keshvanand Inst Technol Management &amp; Gramot, Dept Elect Engn, Jaipur 302017, Rajasthan, India; [Singh, Puneet] Malaviya Natl Inst Technol, Dept Elect &amp; Commun Engn, Jaipur 302017, Rajasthan, India; [Dey, Nilanjan] JIS Univ, Dept Comp Sci &amp; Engn, Kolkata 700109, India</t>
  </si>
  <si>
    <t>National Institute of Technology (NIT System); Malaviya National Institute of Technology Jaipur; National Institute of Technology (NIT System); Malaviya National Institute of Technology Jaipur</t>
  </si>
  <si>
    <t>Hardware Implementation for Lower Limb Surface EMG Measurement and Analysis Using Explainable AI for Activity Recognition</t>
  </si>
  <si>
    <t>IEEE TRANSACTIONS ON INSTRUMENTATION AND MEASUREMENT</t>
  </si>
  <si>
    <t>Electromyography; Sensors; Feature extraction; Legged locomotion; Muscles; Hardware; Wearable sensors; Electromyography (EMG) signal acquisition system; explainable artificial intelligence (XAI); local interpretable model-agnostic explanations (LIME); lower limb activity recognition; machine learning (ML); signal processing</t>
  </si>
  <si>
    <t>FEATURE-EXTRACTION; SEMG</t>
  </si>
  <si>
    <t>Dey, Nilanjan/OTH-7828-2025; Vijayvargiya, Ankit/AAQ-4334-2021; Kumar, Rajesh/G-1408-2014</t>
  </si>
  <si>
    <t>, Puneet Singh/0000-0002-9325-6333; Vijayvargiya, Ankit/0000-0002-4655-2324; Kumar, Rajesh/0000-0002-6019-0702</t>
  </si>
  <si>
    <t>0018-9456</t>
  </si>
  <si>
    <t>1557-9662</t>
  </si>
  <si>
    <t>IEEE T INSTRUM MEAS</t>
  </si>
  <si>
    <t>IEEE Trans. Instrum. Meas.</t>
  </si>
  <si>
    <t>2004909</t>
  </si>
  <si>
    <t>10.1109/TIM.2022.3198443</t>
  </si>
  <si>
    <t>http://dx.doi.org/10.1109/TIM.2022.3198443</t>
  </si>
  <si>
    <t>Engineering, Electrical &amp; Electronic; Instruments &amp; Instrumentation</t>
  </si>
  <si>
    <t>Engineering; Instruments &amp; Instrumentation</t>
  </si>
  <si>
    <t>4F1DJ</t>
  </si>
  <si>
    <t>WOS:000848255000004</t>
  </si>
  <si>
    <t>Rehman, A; Mun, S</t>
  </si>
  <si>
    <t>Epilepsy affects over 50 million people worldwide, yet automated seizure detection systems either achieve moderate sensitivity with excessive false alarms or rely on uninterpretable deep networks. This study presents a patient-independent EEG-based seizure detection framework that achieved zero false alarms in 24 h with 95% sensitivity in a retrospective evaluation on a CHB-MIT pediatric cohort (n = 6 seizure-positive patients). The pipeline extracts 27 time-, frequency-, and nonlinear-domain features from 5 s windows and trains five ensemble classifiers (XGBoost, CatBoost, LightGBM, Extra Trees, Random Forest) using strict leave-one-subject-out cross-validation. All models achieved segment-level AUC &gt;= 0.99. Under zero-false-alarm constraints, XGBoost attained perfect specificity with 0.922 sensitivity. SHAP and LIME analyses suggested candidate EEG biomarkers that appear consistent with known ictal signatures, including temporo-parietal theta-band power, amplitude variability (IQR, RMS), and Hjorth activity. External validation on the Siena Scalp EEG Database (12 adult patients, 37 seizures) demonstrated cross-dataset generalization with 95% event-level sensitivity (Extra Trees) and AUC of 0.86 (Random Forest). Temporal lobe channels dominated feature importance in both datasets, confirming consistent biomarker identification across pediatric and adult populations. These findings demonstrate that calibrated gradient-boosted ensembles using interpretable EEG features achieve clinically safe seizure detection with cross-dataset generalizability.</t>
  </si>
  <si>
    <t>Rehman, Abdul; Mun, Sungchul</t>
  </si>
  <si>
    <t>Mun, S (corresponding author), Jeonju Univ, Res Inst Engn &amp; Technol, Jeonju 55069, South Korea.; Mun, S (corresponding author), Jeonju Univ, Dept Ind Engn, Jeonju 55069, South Korea.; Mun, S (corresponding author), Jeonju Univ, Dept Data Engn, Jeonju 55069, South Korea.</t>
  </si>
  <si>
    <t>sungchul.mun@jj.ac.kr; a.rehman.jj@jj.ac.kr</t>
  </si>
  <si>
    <t>Ministry of Education [RS-2023-00247958]; Korean government (MSIT) [2022-0-00137]</t>
  </si>
  <si>
    <t>Ministry of Education; Korean government (MSIT) (Korean Government)</t>
  </si>
  <si>
    <t>This work was supported in part by the Institute of Information and Communications Technology Planning and Evaluation (IITP) grant funded by the Korean government (MSIT) (No. 2022-0-00137, XR User Interaction Evaluation and Employing Its Technology, 50%) and in part by the Basic Science Research Program through the National Research Foundation of Korea (NRF), funded by the Ministry of Education (No. RS-2023-00247958, Development of XR Cross-Modal Neural Interface with Adaptive Artificial Intelligence, 50%).</t>
  </si>
  <si>
    <t>[Rehman, Abdul; Mun, Sungchul] Jeonju Univ, Res Inst Engn &amp; Technol, Jeonju 55069, South Korea; [Mun, Sungchul] Jeonju Univ, Dept Ind Engn, Jeonju 55069, South Korea; [Mun, Sungchul] Jeonju Univ, Dept Data Engn, Jeonju 55069, South Korea</t>
  </si>
  <si>
    <t>Jeonju University; Jeonju University; Jeonju University</t>
  </si>
  <si>
    <t>Explainable AI-Enhanced Ensemble Protocol Using Gradient-Boosted Models for Zero-False-Alarm Seizure Detection from EEG</t>
  </si>
  <si>
    <t>EEG seizure detection; explainable AI; gradient-boosted ensembles; SHAP; LIME; zero-false-alarm classification; model calibration; clinical interpretability</t>
  </si>
  <si>
    <t>EPILEPTIC SEIZURE; RECOGNITION; PREDICTION</t>
  </si>
  <si>
    <t>Rehman, Abdul/D-5630-2019</t>
  </si>
  <si>
    <t>JAN 28 2026</t>
  </si>
  <si>
    <t>863</t>
  </si>
  <si>
    <t>10.3390/s26030863</t>
  </si>
  <si>
    <t>http://dx.doi.org/10.3390/s26030863</t>
  </si>
  <si>
    <t>DO1PA</t>
  </si>
  <si>
    <t>41682380</t>
  </si>
  <si>
    <t>WOS:001688065900001</t>
  </si>
  <si>
    <t>Huang, HKT; Yen, DW; Li, MY; Jutras, G; Deng, LX; McCulloch, CE; Pletcher, MJ; Lai, JC; Hameed, B; Ge, J</t>
  </si>
  <si>
    <t>Background: Electronic consultations (e-consults) improve specialist access but burden providers. We developed LiVersa, a customized large language model (LLM) for liver diseases. We evaluated its performance in drafting hepatology e-consult responses and the equivalence between human and machine reviewers. Methods: LiVersa-generated responses for hepatology e-consults answered at the University of California San Francisco (UCSF) from January to March 2025. Using a 12-item rubric, 3 independent hepatologists and "LLM-as-a-judge" (OpenAI-o1) evaluated drafts against original responses. We tested equivalence between human reviewers and "LLM-as-a-judge" using two one-sided tests (TOST). Results: Among 61 e-consults, the most common categories were abnormal liver function tests (34%), hepatitis B (23%), and abnormal imaging (21%). LiVersa drafts demonstrated no differences from hepatologist responses in word count (284 vs. 264, p=0.47) and verbosity (24 vs. 25 words per sentence, p=0.44). Human reviewers rated 72% of drafts as reasonable starting points and 83% as providing appropriate case-specific recommendations; 10% contained misleading/incorrect information, and 3.4% posed a risk of severe harm. LiVersa performed better at avoiding misleading information and extraneous suggestions but scored lower on clinical equivalence, immediate usability, and comprehensiveness. LLM-based reviewers were more stringent than human reviewers, rating fewer drafts as clinically equivalent (27% vs. 48%) and more as potentially harmful (67% vs. 20%), with agreement on accuracy, precision, and comprehensiveness (mean difference 0.026-0.029; TOST p&lt;0.05). Conclusions: Customized LLMs like LiVersa show promise for e-consult drafting but require human oversight. LLM-as-a-judge was more conservative than humans, supporting its role in rapid quality assurance during model updates.</t>
  </si>
  <si>
    <t>Huang, Holly K. T.; Yen, Debra W.; Li, Michelle Y.; Jutras, Gabrielle; Deng, Lisa X.; McCulloch, Charles E.; Pletcher, Mark J.; Lai, Jennifer C.; Hameed, Bilal; Ge, Jin</t>
  </si>
  <si>
    <t>Ge, J (corresponding author), Univ Calif San Francisco, 513 Parnassus Ave,Room S-357, San Francisco, CA 94143 USA.</t>
  </si>
  <si>
    <t>gabrielle.jutras@umontreal.ca; debrayen@gmail.com; Michelle.Li2@ucsf.edu; bilal.hameed@ucsf.edu; jennifer.lai@ucsf.edu; holly.kt.huang@gmail.com; Charles.McCulloch@ucsf.edu; jin.ge@ucsf.edu; lisa.deng@ucsf.edu; mark.pletcher@ucsf.edu</t>
  </si>
  <si>
    <t>National Institute of Diabetes and Digestive and Kidney Diseases [K23DK139455]; National Center for Advancing Translational Sciences [UL1TR001872]; UCSF Liver Center Grant [P30DK026743]; National Institute on Aging [R01AG059183, K24AG080021]</t>
  </si>
  <si>
    <t>National Institute of Diabetes and Digestive and Kidney Diseases (United States Department of Health &amp; Human Services, National Institutes of Health (NIH) - USA, NIH National Institute of Diabetes &amp; Digestive &amp; Kidney Diseases (NIDDK)); National Center for Advancing Translational Sciences (United States Department of Health &amp; Human Services, National Institutes of Health (NIH) - USA, NIH National Center for Advancing Translational Sciences (NCATS)); UCSF Liver Center Grant; National Institute on Aging (United States Department of Health &amp; Human Services, National Institutes of Health (NIH) - USA, NIH National Institute on Aging (NIA))</t>
  </si>
  <si>
    <t>The authors of this study were supported by K23DK139455 (National Institute of Diabetes and Digestive and Kidney Diseases-Jin Ge), P30DK026743 (UCSF Liver Center Grant-Jin Ge and Jennifer C. Lai), UL1TR001872 (National Center for Advancing Translational Sciences-Mark J. Pletcher), and R01AG059183/K24AG080021 (National Institute on Aging-Jennifer C. Lai). The content is solely the responsibility of the authors and does not necessarily represent the official views of the National Institutes of Health or any other funding agencies. The funding agencies played no role in the data analysis or preparation of this manuscript.</t>
  </si>
  <si>
    <t>[Huang, Holly K. T.; Li, Michelle Y.; Deng, Lisa X.; Lai, Jennifer C.; Hameed, Bilal; Ge, Jin] Univ Calif San Francisco, Dept Med, Div Gastroenterol &amp; Hepatol, San Francisco, CA USA; [Yen, Debra W.] Calif Pacific Med Ctr, Dept Transplant, Div Hepatol, San Francisco, CA USA; [Jutras, Gabrielle] Ctr Hosp Univ Montreal, Dept Med, Div Hepatol, Montreal, PQ, Canada; [Deng, Lisa X.] Vet Affairs Med Ctr, Dept Med, San Francisco, CA USA; [McCulloch, Charles E.; Pletcher, Mark J.] Univ Calif San Francisco, Dept Epidemiol &amp; Biostat, San Francisco, CA USA</t>
  </si>
  <si>
    <t>University of California System; University of California San Francisco; California Pacific Medical Center; Universite de Montreal; US Department of Veterans Affairs; Veterans Health Administration (VHA); University of California System; University of California San Francisco</t>
  </si>
  <si>
    <t>Hepatology e-consult responses generated by artificial intelligence demonstrate accuracy but require human oversight</t>
  </si>
  <si>
    <t>HEPATOLOGY COMMUNICATIONS</t>
  </si>
  <si>
    <t>cirrhosis; clinical decision support systems; liver diseases; referral and consultation; telemedicine</t>
  </si>
  <si>
    <t>ELECTRONIC CONSULTATIONS; CARE</t>
  </si>
  <si>
    <t>/AFQ-9395-2022; Ge, Jin/AAV-9835-2020</t>
  </si>
  <si>
    <t>2471-254X</t>
  </si>
  <si>
    <t>HEPATOL COMMUN</t>
  </si>
  <si>
    <t>Hepatol. Commun.</t>
  </si>
  <si>
    <t>e0983</t>
  </si>
  <si>
    <t>10.1097/HC9.0000000000000983</t>
  </si>
  <si>
    <t>http://dx.doi.org/10.1097/HC9.0000000000000983</t>
  </si>
  <si>
    <t>JT4JO</t>
  </si>
  <si>
    <t>42319138</t>
  </si>
  <si>
    <t>WOS:001797545100001</t>
  </si>
  <si>
    <t>Dovedi, T; Upadhyay, R; Kumar, V</t>
  </si>
  <si>
    <t>Schizophrenia is a severe psychiatric disorder that disrupts perception, cognition, and emotional regulation, leading to impaired daily functioning. Early and reliable diagnosis remains challenging because current clinical assessments are largely subjective. Electroencephalography (EEG) provides a non-invasive approach for investigating abnormal neural dynamics; however, many EEG-based methods rely on high-dimensional features and large channel sets, limiting interpretability and practical deployment. In this study, an explainable artificial intelligence framework is proposed for EEG-based schizophrenia detection. The method integrates Multivariate Variational Mode Decomposition (MVMD) and Phase Space Reconstruction (PSR) to capture nonlinear dynamics of multichannel EEG signals. Statistical, nonlinear, and entropybased features are extracted, and multiple classifiers are evaluated, with Support Vector Machine (SVM) identified as the most effective model. SHapley Additive exPlanations (SHAP) are used to identify the most informative features and EEG channels, revealing that nonlinear features from six electrodes (Fz, Cz, Pz, P3, T3, and P4) are highly discriminative. The model is evaluated using subject-wise Leave-One-Subject-Out (LOSO) cross-validation, achieving an accuracy of 89.29% and a ROC-AUC of 0.917. The results demonstrate reliable and interpretable schizophrenia detection using a reduced set of EEG channels.</t>
  </si>
  <si>
    <t>Dovedi, Tanvi; Upadhyay, Rahul; Kumar, Vinay</t>
  </si>
  <si>
    <t>Dovedi, T (corresponding author), Thapar Inst Engn &amp; Technol, Dept Elect &amp; Commun Engn, Patiala 147004, Punjab, India.</t>
  </si>
  <si>
    <t>tanvi.dovedi@thapar.edu</t>
  </si>
  <si>
    <t>[Dovedi, Tanvi; Upadhyay, Rahul; Kumar, Vinay] Thapar Inst Engn &amp; Technol, Dept Elect &amp; Commun Engn, Patiala 147004, Punjab, India</t>
  </si>
  <si>
    <t>Thapar Institute of Engineering &amp; Technology</t>
  </si>
  <si>
    <t>An explainable AI framework for EEG-based schizophrenia detection using MVMD and phase space dynamics</t>
  </si>
  <si>
    <t>COMPUTERS &amp; ELECTRICAL ENGINEERING</t>
  </si>
  <si>
    <t>Schizophrenia; Electroencephalography; Explainable artificial intelligence; Multivariate variational mode decomposition; Phase space reconstruction; SHapley additive exPlanations</t>
  </si>
  <si>
    <t>0045-7906</t>
  </si>
  <si>
    <t>1879-0755</t>
  </si>
  <si>
    <t>COMPUT ELECTR ENG</t>
  </si>
  <si>
    <t>Comput. Electr. Eng.</t>
  </si>
  <si>
    <t>111318</t>
  </si>
  <si>
    <t>10.1016/j.compeleceng.2026.111318</t>
  </si>
  <si>
    <t>http://dx.doi.org/10.1016/j.compeleceng.2026.111318</t>
  </si>
  <si>
    <t>Computer Science, Hardware &amp; Architecture; Computer Science, Interdisciplinary Applications; Engineering, Electrical &amp; Electronic</t>
  </si>
  <si>
    <t>JW6SI</t>
  </si>
  <si>
    <t>WOS:001799743100001</t>
  </si>
  <si>
    <t>Martínez-Ramírez, JM; Carmona, C; Ramírez-Expósito, MJ; Martínez-Martos, JM</t>
  </si>
  <si>
    <t>This study explored the application of explainable machine learning models to enhance breast cancer diagnosis using serum biomarkers, contrary to many studies that focus on medical images and demographic data. The primary objective was to develop models that are not only accurate but also provide insights into the factors driving predictions, addressing the need for trustworthy AI in healthcare. Several classification models were evaluated, including OneR, JRIP, the FURIA, J48, the ADTree, and the Random Forest, all of which are known for their explainability. The dataset included a variety of biomarkers, such as electrolytes, metal ions, marker proteins, enzymes, lipid profiles, peptide hormones, steroid hormones, and hormone receptors. The Random Forest model achieved the highest accuracy at 99.401%, followed closely by JRIP, the FURIA, and the ADTree at 98.802%. OneR and J48 achieved 98.204% accuracy. Notably, the models identified oxytocin as a key predictive biomarker, with most models featuring it in their rules. Other significant parameters included GnRH, beta-endorphin, vasopressin, IRAP, and APB, as well as factors like iron, cholinesterase, the total protein, progesterone, 5-nucleotidase, and the BMI, which are considered clinically relevant to breast cancer pathogenesis. This study discusses the roles of the identified parameters in cancer development, thus underscoring the potential of explainable machine learning models for enhancing early breast cancer diagnosis by focusing on explainability and the use of serum biomarkers.The combination of both can lead to improved early detection and personalized treatments, emphasizing the potential of these methods in clinical settings. The identified markers also provide additional research and therapeutic targets for breast cancer pathogenesis and a deep understanding of their interactions, advancing personalized approaches to breast cancer management.</t>
  </si>
  <si>
    <t>Martinez-Ramirez, Jose Manuel; Carmona, Cristobal; Ramirez-Exposito, Maria Jesus; Martinez-Martos, Jose Manuel</t>
  </si>
  <si>
    <t>Martínez-Martos, JM (corresponding author), Univ Jaen, Dept Hlth Sci, Expt &amp; Clin Physiopathol Res Grp CVI 1039, E-23071 Jaen, Spain.</t>
  </si>
  <si>
    <t>jmmartos@ujaen.es; jmmr0049@red.ujaen.es; mramirez@ujaen.es; ccarmona@ujaen.es</t>
  </si>
  <si>
    <t>the Ministry of Science, Innovation and Universities, Spain [PID2023-149511OB-I00]; Ministry of Science, Innovation and Universities, Spain</t>
  </si>
  <si>
    <t>the Ministry of Science, Innovation and Universities, Spain; Ministry of Science, Innovation and Universities, Spain (Spanish Government)</t>
  </si>
  <si>
    <t>This work was financed by the Ministry of Science, Innovation and Universities, Spain, with the code PID2023-149511OB-I00.</t>
  </si>
  <si>
    <t>[Martinez-Ramirez, Jose Manuel; Carmona, Cristobal] Univ Jaen, Dept Comp Sci, E-23071 Jaen, Spain; [Carmona, Cristobal] Univ Jaen, DASCI, Andalusian Res Inst Data Sci &amp; Computat Intelligen, E-23071 Jaen, Spain; [Carmona, Cristobal] DeMontfort Univ, Leicester Sch Pharm, Leicester LE1 7RH, England; [Ramirez-Exposito, Maria Jesus; Martinez-Martos, Jose Manuel] Univ Jaen, Dept Hlth Sci, Expt &amp; Clin Physiopathol Res Grp CVI 1039, E-23071 Jaen, Spain</t>
  </si>
  <si>
    <t>Universidad de Jaen; Universidad de Jaen; De Montfort University; Universidad de Jaen</t>
  </si>
  <si>
    <t>Extracting Knowledge from Machine Learning Models to Diagnose Breast Cancer</t>
  </si>
  <si>
    <t>LIFE-BASEL</t>
  </si>
  <si>
    <t>breast cancer; serum biomarkers; explainable AI; oxytocin; early diagnosis; peptide hormones; IRAP; progesterone</t>
  </si>
  <si>
    <t>REGULATING AMINOPEPTIDASE ACTIVITIES; OXYTOCIN RECEPTOR EXPRESSION; POST-MENOPAUSAL WOMEN; PROGESTERONE-RECEPTORS; MENDELIAN RANDOMIZATION; GENETIC EPIDEMIOLOGY; AT(4) RECEPTOR; TUMOR-GROWTH; IRON; RISK</t>
  </si>
  <si>
    <t>Martínez-Martos, José Manuel/K-5537-2018; Carmona, Cristóbal J/C-9669-2014; Ramírez Expósito, María Jesús/AAB-8535-2020</t>
  </si>
  <si>
    <t>Martínez-Martos, José Manuel/0000-0002-2950-5614; Martínez-Ramírez, José Manuel/0009-0008-5949-8647; Carmona, Cristóbal J/0000-0001-7008-5378; Ramírez Expósito, María Jesús/0000-0002-9379-203X</t>
  </si>
  <si>
    <t>173</t>
  </si>
  <si>
    <t>2075-1729</t>
  </si>
  <si>
    <t>Life-Basel</t>
  </si>
  <si>
    <t>10.3390/life15020211</t>
  </si>
  <si>
    <t>http://dx.doi.org/10.3390/life15020211</t>
  </si>
  <si>
    <t>Biology; Microbiology</t>
  </si>
  <si>
    <t>Life Sciences &amp; Biomedicine - Other Topics; Microbiology</t>
  </si>
  <si>
    <t>Y3F0E</t>
  </si>
  <si>
    <t>40003620</t>
  </si>
  <si>
    <t>WOS:001431012600001</t>
  </si>
  <si>
    <t>O'Brien, C; Thayani, Z; Smith, T; Tran, AV; Crotty, P; Young, A; Ford, AI; Vassar, M</t>
  </si>
  <si>
    <t>BackgroundArtificial intelligence (AI) is increasingly integrated into family medicine research and practice, enhancing diagnostics, data analysis, and care delivery. Yet, its rapid adoption has outpaced the development of standardized editorial policies, raising concerns about transparency, ethics, and reproducibility. Clear guidance from journals is urgently needed to ensure responsible use of AI in research and publishing.ObjectiveTo evaluate editorial policies and reporting guideline endorsements related to AI across leading FM journals.MethodsUsing the SCImago Journal Rank database, we conducted a cross-sectional analysis of FM journals. From November 2024 to January 2025, we reviewed publicly available Instructions for Authors for AI-related policies, including authorship, manuscript writing, content/image generation, and disclosure. We also assessed whether journals endorsed AI-specific RGs (e.g., CONSORT-AI, SPIRIT-AI). Data were extracted in duplicate using a standardized form. Reproducibility was supported through protocol registration on Open Science Framework.ResultsOf 57 FM journals identified, 40 met inclusion criteria. Among these, 82.5% (33/40) referenced AI in their policies. Most (77.5%) prohibited AI authorship and required disclosure of AI use, while 72.5% permitted AI-assisted manuscript writing. Policies on AI-generated content and images varied, with 47.5% and 50.0% of journals allowing their use, respectively. Only 5.0% (2/40) endorsed AI-specific RGs. No correlation was observed between journal characteristics and AI policy adoption.ConclusionsMost family medicine journals now address AI use, but notable gaps remain, particularly in endorsing AI-specific reporting guidelines. Without broader adoption of structured guidance, AI-integrated research risks inconsistency, limited reproducibility, and ethical challenges. Strengthening journal policies and endorsing standardized reporting frameworks is essential to ensure high-quality, trustworthy AI research in family medicine.</t>
  </si>
  <si>
    <t>O'Brien, Cameron; Thayani, Zohaib; Smith, Tim; Tran, Andrew V.; Crotty, Patrick; Young, Alec; Ford, Alicia Ito; Vassar, Matt</t>
  </si>
  <si>
    <t>O'Brien, C (corresponding author), Oklahoma State Univ, Off Med Student Res, Ctr Hlth Sci, 1111 W 17th St, Tulsa, OK 74107 USA.</t>
  </si>
  <si>
    <t>Smithtimosu@gmail.com; alicia.ford@okstate.edu; matt.vassar@okstate.edu; andrewtranresearch@gmail.com; patrick.crotty@okstate.edu; youngalec9.r@gmail.com; zohaib.research@gmail.com; obriencameron99@gmail.com</t>
  </si>
  <si>
    <t>Oklahoma State University Center for Health Sciences Medical Library</t>
  </si>
  <si>
    <t>The authors thank the Oklahoma State University Center for Health Sciences Medical Library for their assistance in accessing resources and supporting the development of this project.</t>
  </si>
  <si>
    <t>[O'Brien, Cameron; Thayani, Zohaib; Smith, Tim; Tran, Andrew V.; Crotty, Patrick; Young, Alec; Ford, Alicia Ito; Vassar, Matt] Oklahoma State Univ, Off Med Student Res, Ctr Hlth Sci, 1111 W 17th St, Tulsa, OK 74107 USA; [Ford, Alicia Ito; Vassar, Matt] Oklahoma State Univ, Ctr Hlth Sci, Dept Psychiat &amp; Behav Sci, Tulsa, OK USA</t>
  </si>
  <si>
    <t>Oklahoma State University System; Oklahoma State University Center for Health Sciences; Oklahoma State University System; Oklahoma State University Center for Health Sciences</t>
  </si>
  <si>
    <t>Full title: evaluating AI guidelines in leading family medicine journals: a cross-sectional study</t>
  </si>
  <si>
    <t>BMC PRIMARY CARE</t>
  </si>
  <si>
    <t>Artificial intelligence; Family medicine; Editorial policies; Reporting guidelines; AI journal policies</t>
  </si>
  <si>
    <t>Vassar, Matt/AAD-5385-2020</t>
  </si>
  <si>
    <t>O'Brien, Cameron/0009-0001-8661-7073</t>
  </si>
  <si>
    <t>2731-4553</t>
  </si>
  <si>
    <t>BMC PRIM CARE</t>
  </si>
  <si>
    <t>BMC Prim. Care</t>
  </si>
  <si>
    <t>368</t>
  </si>
  <si>
    <t>10.1186/s12875-025-03044-0</t>
  </si>
  <si>
    <t>http://dx.doi.org/10.1186/s12875-025-03044-0</t>
  </si>
  <si>
    <t>Primary Health Care; Medicine, General &amp; Internal</t>
  </si>
  <si>
    <t>9YQ1Z</t>
  </si>
  <si>
    <t>41250039</t>
  </si>
  <si>
    <t>WOS:001618145100003</t>
  </si>
  <si>
    <t>Pachetti, E; Del Corso, G; Bardelli, S; Colantonio, S</t>
  </si>
  <si>
    <t>The limited availability of specialized image databases (particularly in hospitals, where tools vary between providers) makes it difficult to train deep learning models. This paper presents a few-shot learning methodology that uses a pre-trained ResNet integrated with an encoder as a backbone to encode conditional shape information for the classification of neonatal resuscitation equipment from less than 100 natural images. The model is also strengthened by incorporating a reliability score, which enriches the prediction with an estimation of classification reliability. The model, whose performance is cross-validated, reached a median accuracy performance of over 99% (and a lower limit of 73.4% for the least accurate model/fold) using only 87 meta-training images. During the test phase on complex natural images, performance was slightly degraded due to a sub-optimal segmentation strategy (FastSAM) required to maintain the real-time inference phase (median accuracy 87.25%). This methodology proves to be excellent for applying complex classification models to contexts (such as neonatal resuscitation) that are not available in public databases. Improvements to the automatic segmentation strategy prior to the extraction of conditional information will allow a natural application in simulation and hospital settings.</t>
  </si>
  <si>
    <t>Pachetti, Eva; Del Corso, Giulio; Bardelli, Serena; Colantonio, Sara</t>
  </si>
  <si>
    <t>Del Corso, G (corresponding author), Natl Res Council Italy CNR, Alessandro Faedo Inst Informat Sci &amp; Technol ISTI, I-56127 Pisa, Italy.</t>
  </si>
  <si>
    <t>giulio.delcorso@isti.cnr.it</t>
  </si>
  <si>
    <t>[Pachetti, Eva; Del Corso, Giulio; Colantonio, Sara] Natl Res Council Italy CNR, Alessandro Faedo Inst Informat Sci &amp; Technol ISTI, I-56127 Pisa, Italy; [Pachetti, Eva] Univ Pisa, Dept Informat Engn DII, I-56122 Pisa, Italy; [Bardelli, Serena] Azienda Osped Univ Pisana AOUP, Ctr Formaz &amp; Simulaz Neonatale, Ctr NINA, I-56126 Pisa, Italy</t>
  </si>
  <si>
    <t>Consiglio Nazionale delle Ricerche (CNR); University of Pisa; University of Pisa; Azienda Ospedaliero Universitaria Pisana</t>
  </si>
  <si>
    <t>Few-Shot Conditional Learning: Automatic and Reliable Device Classification for Medical Test Equipment</t>
  </si>
  <si>
    <t>few-shot learning; trustworthy AI; uncertainty quantification; simulation-based medical education; newborn resuscitation</t>
  </si>
  <si>
    <t>COLANTONIO, SARA/AFL-2051-2022; PACHETTI, EVA/GSN-5830-2022; Del Corso, Giulio/IWD-6632-2023</t>
  </si>
  <si>
    <t>COLANTONIO, SARA/0000-0003-2022-0804; PACHETTI, EVA/0000-0002-1321-9285; Bardelli, Serena/0000-0002-3344-3313; Del Corso, Giulio/0000-0003-4604-2006</t>
  </si>
  <si>
    <t>10.3390/jimaging10070167</t>
  </si>
  <si>
    <t>http://dx.doi.org/10.3390/jimaging10070167</t>
  </si>
  <si>
    <t>ZU1R8</t>
  </si>
  <si>
    <t>39057738</t>
  </si>
  <si>
    <t>WOS:001277715800001</t>
  </si>
  <si>
    <t>Nong, PG; Hamasha, R; Platt, J</t>
  </si>
  <si>
    <t>Objectives: To understand whether and how equity is considered in artificial intelligence/machine learning governance processes at academic medical centers. Study Design: Qualitative analysis of interview data. Methods: We created a database of academic medical centers from the full list of Association of American Medical Colleges hospital and health system members in 2022. Stratifying by census region and restricting to nonfederal and nonspecialty centers, we recruited chief medical informatics officers and similarly positioned individuals from academic medical centers across the country. We created and piloted a semistructured interview guide focused on (1) how academic medical centers govern artificial intelligence and prediction and (2) to what extent equity is considered in these processes. A total of 17 individuals representing 13 institutions across 4 census regions of the US were interviewed. Results: A minority of participants reported considering inequity, racism, or bias in governance. Most participants conceptualized these issues as characteristics of a tool, using frameworks such as algorithmic bias or fairness. Fewer participants conceptualized equity beyond the technology itself and asked broader questions about its implications for patients. Disparities in health information technology resources across health systems were repeatedly identified as a threat to health equity. Conclusions: We found a lack of consistent equity consideration among academic medical centers as they develop their governance processes for predictive technologies despite considerable national attention to the ways these technologies can cause or reproduce inequities. Health systems and policy makers will need to specifically prioritize equity literacy among health system leadership, design oversight policies, and promote critical engagement with these tools and their implications to prevent the further entrenchment of inequities in digital health care.</t>
  </si>
  <si>
    <t>Nong, Paige; Hamasha, Reema; Platt, Jodyn</t>
  </si>
  <si>
    <t>Nong, PG (corresponding author), Univ Minnesota, Sch Publ Hlth, Div Hlth Policy &amp; Management, 16 Delaware St SE, Minneapolis, MN 55455 USA.</t>
  </si>
  <si>
    <t>National Institutes of Health [5R01EB030492-02]</t>
  </si>
  <si>
    <t>National Institutes of Health (United States Department of Health &amp; Human Services, National Institutes of Health (NIH) - USA)</t>
  </si>
  <si>
    <t>Source of Funding: National Institutes of Health 5R01EB030492-02.</t>
  </si>
  <si>
    <t>[Nong, Paige] Univ Minnesota, Sch Publ Hlth, Div Hlth Policy &amp; Management, 16 Delaware St SE, Minneapolis, MN 55455 USA; [Hamasha, Reema; Platt, Jodyn] Univ Michigan, Med Sch, Dept Learning Hlth Sci, Ann Arbor, MI USA</t>
  </si>
  <si>
    <t>University of Minnesota System; University of Minnesota Twin Cities; University of Michigan System; University of Michigan</t>
  </si>
  <si>
    <t>Equity and AI Governance at Academic Medical Centers</t>
  </si>
  <si>
    <t>HEALTH; BIAS</t>
  </si>
  <si>
    <t>Hamasha, Reema/0000-0001-7193-1038; Platt, Jodyn/0000-0003-4902-4903</t>
  </si>
  <si>
    <t>10.37765/ajmc.2024.89555</t>
  </si>
  <si>
    <t>http://dx.doi.org/10.37765/ajmc.2024.89555</t>
  </si>
  <si>
    <t>H6L9A</t>
  </si>
  <si>
    <t>38820189</t>
  </si>
  <si>
    <t>WOS:001324545400001</t>
  </si>
  <si>
    <t>Ramteke, M; Raut, S</t>
  </si>
  <si>
    <t>Polycystic Ovary Syndrome (PCOS) is a complex endocrine disorder affecting numerous women of reproductive age, characterized by a variety of clinical and biochemical features. Accurate classification and diagnosis of PCOS remains challenging due to the heterogeneous nature of its manifestations. This study introduces a robust machine learning framework that combines a voting ensemble model with two distinct feature selection techniques, Sequential Forward Selection (SFS) and Boruta, to enhance the accuracy in classifying PCOS. We also utilized Explainable Artificial Intelligence (XAI) techniques, such as Shapley Additive Explanations (SHAP), Local Interpretable Model-agnostic Explanations (LIME), Partial Dependence Plot (PDP), AnchorTabular, and Permutation Importance, to interpret the ensemble model. These methods provide essential insights into the significance of key features for predicting PCOS patients. Results show that the proposed ensemble learning model achieved optimal performance with the feature selection technique used. Specifically, the proposed voting ensemble classifier and features picked by SFS had the highest accuracy among all models. This method can help in PCOS diagnosis and support early intervention.</t>
  </si>
  <si>
    <t>Ramteke, Monali; Raut, Shital</t>
  </si>
  <si>
    <t>Ramteke, M (corresponding author), Visvesvaraya Natl Inst Technol, Dept Comp Sci &amp; Engn, Nagpur, India.</t>
  </si>
  <si>
    <t>monaliramteke@gmail.com</t>
  </si>
  <si>
    <t>[Ramteke, Monali; Raut, Shital] Visvesvaraya Natl Inst Technol, Dept Comp Sci &amp; Engn, Nagpur, India</t>
  </si>
  <si>
    <t>National Institute of Technology (NIT System); Visvesvaraya National Institute of Technology, Nagpur</t>
  </si>
  <si>
    <t>Prediction of polycystic ovary syndrome using machine learning with SFS and Boruta feature selection: an explainable AI approach</t>
  </si>
  <si>
    <t>SYSTEMS BIOLOGY IN REPRODUCTIVE MEDICINE</t>
  </si>
  <si>
    <t>Boruta; explainable AI; machine learning; PCOS; SFS; Soft voting ensemble</t>
  </si>
  <si>
    <t>1939-6368</t>
  </si>
  <si>
    <t>1939-6376</t>
  </si>
  <si>
    <t>SYST BIOL REPROD MED</t>
  </si>
  <si>
    <t>Syst. Biol. Reprod. Med.</t>
  </si>
  <si>
    <t>439</t>
  </si>
  <si>
    <t>460</t>
  </si>
  <si>
    <t>10.1080/19396368.2025.2560839</t>
  </si>
  <si>
    <t>http://dx.doi.org/10.1080/19396368.2025.2560839</t>
  </si>
  <si>
    <t>Andrology; Reproductive Biology</t>
  </si>
  <si>
    <t>Endocrinology &amp; Metabolism; Reproductive Biology</t>
  </si>
  <si>
    <t>7NE2L</t>
  </si>
  <si>
    <t>40975882</t>
  </si>
  <si>
    <t>WOS:001574994200001</t>
  </si>
  <si>
    <t>Choi, M; Jo, J; Jeong, J</t>
  </si>
  <si>
    <t>Parkinson's disease (PD) is associated with progressive gait deterioration; however, widely used clinical scales such as the Hoehn &amp; Yahr (H&amp;Y) stage are limited in capturing continuous severity changes due to subjectivity and discrete grading. This study proposes a two-stage explainable AI framework using vertical ground reaction force (VGRF) signals to achieve reproducible PD detection and continuous severity estimation. In the first stage, three deep learning models, temporal convolutional network (TCN), BiGRU with attention, and FCNN-Transformer, were trained using windowed VGRF signals under repeated subject-wise data segmentation. All models achieved high discrimination performance (AUC &gt;= 0.93), with FCNN-Transformer showing the highest mean AUC (0.940) and statistically superior performance (paired Wilcoxon test, p &lt; 0.05). Stability-based explainable AI using Integrated Gradients consistently identified variability-related VGRF features as the most informative, which were also significantly different between groups at the data level (p &lt; 0.001, FDR-corrected). In the second stage, XGBoost regression was applied to PD subjects to predict continuous H&amp;Y severity, achieving strong correlation with clinical grades (Spearman rho = 0.921, p &lt; 0.001), low error (MAE = 0.158, RMSE = 0.241), and high determination (R-2 = 0.953). This shows that gait-based features are a sensitive enough signal to continuously quantify disease progression. In addition, in the TREND prospective longitudinal cohort (n = 696), wearable walking indicators differed significantly from those of non-patients prior to diagnosis, and a decline in walking pace was observed approximately four years before Parkinson's disease diagnosis, providing the basis for early screening and monitoring using gait-based digital biomarkers. These results demonstrate that gait-based digital biomarkers can objectively quantify both PD presence and disease progression. The proposed framework provides a reproducible, explainable, and clinically interpretable AI-based decision support approach for PD assessment.</t>
  </si>
  <si>
    <t>Choi, Moonhyeok; Jo, Jaehyun; Jeong, Jinhyoung</t>
  </si>
  <si>
    <t>Jeong, J (corresponding author), Catholic Kwandong Univ, Dept Healthcare Management, 24 Beomil Ro 579 Beongil, Gangneung Si 25601, South Korea.</t>
  </si>
  <si>
    <t>wlsgud0201@cku.ac.kr; ansgur110@cku.ac.kr; jh_507@cku.ac.kr</t>
  </si>
  <si>
    <t>Gangwon State (G.S.), Republic of Korea [2025-RISE-10-001]</t>
  </si>
  <si>
    <t>Gangwon State (G.S.), Republic of Korea</t>
  </si>
  <si>
    <t>This research was supported by the Regional Innovation System &amp; Education (RISE) program through the Gangwon RISE Center, funded by the Ministry of Education (MOE) and the Gangwon State (G.S.), Republic of Korea. (2025-RISE-10-001).</t>
  </si>
  <si>
    <t>[Choi, Moonhyeok] Catholic Kwandong Univ, Dept Elect &amp; Commun Engn, 24 Beomil Ro 579 Beongil, Gangneung Si 25601, South Korea; [Jo, Jaehyun] Catholic Kwandong Univ, Dept Digital Healthcare, 24 Beomil Ro 579 Beongil, Gangneung Si 25601, South Korea; [Jeong, Jinhyoung] Catholic Kwandong Univ, Dept Healthcare Management, 24 Beomil Ro 579 Beongil, Gangneung Si 25601, South Korea</t>
  </si>
  <si>
    <t>Catholic Kwandong University; Catholic Kwandong University; Catholic Kwandong University</t>
  </si>
  <si>
    <t>Digital Gait Biomarkers for Parkinson's Disease: Subject-Wise Validated Explainable AI Framework Using Vertical Ground Reaction Force Signals</t>
  </si>
  <si>
    <t>Parkinson's disease; vertical ground reaction force; explainable artificial intelligence; severity estimation</t>
  </si>
  <si>
    <t>JinHyoung, Jeong/ODM-0988-2025</t>
  </si>
  <si>
    <t>MAR 19 2026</t>
  </si>
  <si>
    <t>10.3390/bioengineering13030360</t>
  </si>
  <si>
    <t>http://dx.doi.org/10.3390/bioengineering13030360</t>
  </si>
  <si>
    <t>FT5WK</t>
  </si>
  <si>
    <t>41899891</t>
  </si>
  <si>
    <t>WOS:001727074500001</t>
  </si>
  <si>
    <t>Nedbal, C; Gauhar, V; Perpepaj, L; Adithya, S; Naik, N; Gite, S; Sevalia, H; Castellani, D; Gregori, A; Galosi, AB; Traxer, O; Singh, A; Yuen, SKK; Rojo, EG; Somani, BK</t>
  </si>
  <si>
    <t>Introduction Flexible ureteroscopy (fURS) is a well-established approach for managing urolithiasis in patients with congenital renal anomalies like horseshoe kidney (HSK). However, these anatomical variations pose distinct challenges that can complicate both stone removal and procedural planning. This study seeks to utilize machine learning (ML) and explainable artificial intelligence (XAI) techniques to identify factors that predict stone-free status (SFS) after fURS in individuals with HSK.Material and methods We retrospectively analysed 288 adult patients with HK who underwent fURS and laser lithotripsy for renal stones at tertiary referral centres. A ML model incorporating clinical and intraoperative variables was developed to predict SFS. SHAP (SHapley Additive exPlanations) values and decision-tree analysis were used to interpret feature importance and model behaviour.Results Ensemble models, particularly CatBoost, XGBoost, and Random Forest, achieved the highest predictive performance for sepsis, reintervention, and surgical abandonment. SFS was harder to predict, with ensemble methods offering moderate accuracy. On-table RF and reintervention were consistently associated with poor outcomes, including lower SFS. Explainable AI methods such as decision trees and SHAP plots enhanced model transparency, identifying stone diameter, number of stones, and comorbidities as key predictors.Conclusions ML ensemble models can successfully predict perioperative outcomes in HSK patients undergoing fURS. In this study, residual fragments and prior reintervention resulted as primary predictors of surgical success and safety. By integrating XAI into clinical workflows, risk stratification can be more accurate, allowing for personalised management strategies in patients with complex renal anatomy.</t>
  </si>
  <si>
    <t>Nedbal, Carlotta; Gauhar, Vineet; Perpepaj, Leonard; Adithya, Sairam; Naik, Nithesh; Gite, Shilpa; Sevalia, Het; Castellani, Daniele; Gregori, Andrea; Galosi, Andrea Benedetto; Traxer, Olivier; Singh, Abhishek; Yuen, Steffi Kar Kei; Rojo, Esther Garcia; Somani, Bhaskar Kumar</t>
  </si>
  <si>
    <t>Nedbal, C (corresponding author), IRCSS San Gerardo, Dept Urol, Tintori Via GB Pergolesi 33, I-20900 Monza, Italy.</t>
  </si>
  <si>
    <t>The author(s) reported there is no funding associated with the work featured in this article.</t>
  </si>
  <si>
    <t>[Nedbal, Carlotta; Gregori, Andrea] IRCSS San Gerardo, Dept Urol, Tintori Via GB Pergolesi 33, I-20900 Monza, Italy; [Nedbal, Carlotta; Gauhar, Vineet; Castellani, Daniele; Traxer, Olivier; Somani, Bhaskar Kumar] European Assoc Urol, Endourol Sect, Arnhem, Netherlands; [Gauhar, Vineet] Ng Teng Fong Gen Hosp, Dept Urol, Singapore, Singapore; [Perpepaj, Leonard; Galosi, Andrea Benedetto] Polytech Univ Le Marche, Dept Urol, Ancona, Italy; [Adithya, Sairam; Gite, Shilpa; Sevalia, Het] Symbiosis Inst Technol, Dept Engn, Pune, India; [Naik, Nithesh] Manipal Acad Higher Educ, Dept Engn, Manipal, India; [Castellani, Daniele] LUM Univ, Dept Med &amp; Surg Casamassima, Bari, Italy; [Castellani, Daniele] Ecclesiast Ent Reg Gen Hosp F Miulli, Urol Unit, Acquaviva Delle Fonti, Bari, Italy; [Traxer, Olivier] Sorbonne Univ, Hop Tenon, AP HP, Dept Urol, Paris, France; [Singh, Abhishek; Yuen, Steffi Kar Kei] Muljibhai Patel Urol Hosp, Dept Urol, Nadiad, India; [Yuen, Steffi Kar Kei] Chinese Univ Hong Kong, SHHo Urol Ctr, Dept Surg, Hong Kong, Peoples R China; [Rojo, Esther Garcia] Hosp Univ HM Sanchinarro, HM Hosp, Dept Urol, Madrid, Spain; [Somani, Bhaskar Kumar] Univ Hosp Southampton NHS Fdn Trust, Dept Urol, Southampton, England; [Gite, Shilpa] DY Patil Sch Sci &amp; Technol, Dept Engn, Pune, India</t>
  </si>
  <si>
    <t>Symbiosis International University; Symbiosis Institute of Technology (SIT); Manipal Academy of Higher Education (MAHE); Lum Jean Monnet University; Assistance Publique Hopitaux Paris (APHP); Sorbonne Universite; Hopital Universitaire Tenon - APHP; Chinese University of Hong Kong; University of Southampton; University Hospital Southampton NHS Foundation Trust</t>
  </si>
  <si>
    <t>Leveraging explainable AI to predict surgical success and safety in ureteroscopy for Horseshoe Kidneys. An EAU section of endourology study</t>
  </si>
  <si>
    <t>ARAB JOURNAL OF UROLOGY</t>
  </si>
  <si>
    <t>Urolithiasis; horseshoe kidney; machine learning; predictive model</t>
  </si>
  <si>
    <t>LITHOTRIPSY; MANAGEMENT</t>
  </si>
  <si>
    <t>Somani, B./I-8429-2019; Gite, Shilpa/AAR-2331-2020; Yuen, Steffi Kar Kei/KIL-5287-2024; Naik, Nithesh/W-5086-2019; nedbal, carlotta/MIP-9298-2025; Galosi, Andrea/AAH-2632-2020; Castellani, Daniele/B-1501-2019; Gauhar, Vineet/ABC-9201-2021</t>
  </si>
  <si>
    <t>2090-598X</t>
  </si>
  <si>
    <t>2090-5998</t>
  </si>
  <si>
    <t>ARAB J UROL</t>
  </si>
  <si>
    <t>Arab J. Urol.</t>
  </si>
  <si>
    <t>217</t>
  </si>
  <si>
    <t>10.1080/20905998.2026.2694227</t>
  </si>
  <si>
    <t>http://dx.doi.org/10.1080/20905998.2026.2694227</t>
  </si>
  <si>
    <t>KL2NV</t>
  </si>
  <si>
    <t>WOS:001801610500001</t>
  </si>
  <si>
    <t>Onder, O</t>
  </si>
  <si>
    <t>The growing planetary poly-crisis-marked by climate change, ecological degradation, and planetary health inequities-necessitates a fundamental transformation in healthcare systems. This paper examines the historical progression of health systems from public health to planetary health, where human well-being is understood within the limits of planetary boundaries. Planetary health provides a framework for sustainable health systems that reduce disease burden, optimize care delivery, and decarbonize healthcare operations. Within this context, artificial intelligence (AI) emerges as a transformative tool for addressing healthcare sustainability. AI applications offer significant potential to optimize resource use, improve preventive care, and enable circular economies in healthcare, thereby facilitating the transition toward planetary health. However, AI poses environmental challenges, including high energy consumption and resource-intensive development processes. To ensure its long-term viability, AI must align with sustainability principles by minimizing its ecological footprint while enhancing ecological integrity and social justice. This paper contributes to the literature in three key ways: (1) it briefly outlines the evolution of health systems toward planetary health, contextualizing the role of sustainability; (2) it presents emerging AI applications that support healthcare sustainability within the planetary health paradigm; and (3) it applies a structural-ethical approach-building on the work of Bolte and van Wynsberghe-to situate AI within the broader socio-technical, institutional, and ecological systems of healthcare, moving beyond second-wave AI ethics' focus on isolated artifacts and design-level principles. By positioning AI as both a solution and a subject of scrutiny, this study advances the discourse on AI's potential for planetary health while critically examining its alignment with long-term sustainability goals.</t>
  </si>
  <si>
    <t>Onder, Orhan</t>
  </si>
  <si>
    <t>Onder, O (corresponding author), Marmara Univ, Dept Hist Med &amp; Eth, Istanbul, Turkiye.; Onder, O (corresponding author), Univ Vienna, Dept Philosophy, Vienna, Austria.</t>
  </si>
  <si>
    <t>orhan.onder@marmara.edu.tr</t>
  </si>
  <si>
    <t>I am grateful to the anonymous reviewers and editors for their valuable insights and suggestions, which greatly enhanced the clarity and depth of this paper.</t>
  </si>
  <si>
    <t>[Onder, Orhan] Marmara Univ, Dept Hist Med &amp; Eth, Istanbul, Turkiye; [Onder, Orhan] Univ Vienna, Dept Philosophy, Vienna, Austria</t>
  </si>
  <si>
    <t>Marmara University; University of Vienna</t>
  </si>
  <si>
    <t>Planetary health in the age of artificial intelligence: a structural-ethical inquiry into sustainable AI in healthcare</t>
  </si>
  <si>
    <t>Artificial intelligence; Planetary health; AI ethics; Sustainable AI; Healthcare sustainability; AI governance</t>
  </si>
  <si>
    <t>FOOTPRINT; DISEASE</t>
  </si>
  <si>
    <t>Onder, Orhan/OBO-7761-2025</t>
  </si>
  <si>
    <t>Onder, Orhan/0000-0001-9083-3564</t>
  </si>
  <si>
    <t>1967</t>
  </si>
  <si>
    <t>1978</t>
  </si>
  <si>
    <t>10.1007/s00146-025-02603-4</t>
  </si>
  <si>
    <t>http://dx.doi.org/10.1007/s00146-025-02603-4</t>
  </si>
  <si>
    <t>GW2HE</t>
  </si>
  <si>
    <t>WOS:001573812400001</t>
  </si>
  <si>
    <t>Wong, WH; Lake, DA</t>
  </si>
  <si>
    <t>The consensus on the need to regulate artificial intelligence is clear, but the how remains elusive. Private regulation, as proposed by the tech industry itself, and state regulation, as embodied in the recent EU Artificial Intelligence Act, are two common forms of governance. We advance a third option that has received very little attention to date: professional regulation. Professional regulation is modeled after hybrid public-private regulatory structures found in medicine, such as those put forth by the American Medical Association. Such governance schemes develop both technical and ethical standards, shaping professional training, continuing knowledge, and conduct. We contend that it is the most practical means of ensuring the development of human-centered AI in an era of rapid technological change and intensely opposing views of what regulation ought to do. This article places the responsibility of acting ethically on the group that knows the technology best and can anticipate its effects: AI developers. But unlike other voluntary standards, professional regulation articulates and enforces standards to certify individuals. Professional licensing is an alternative that provides public protections based on privately developed standards that ensure the safety of AI prior to their release.</t>
  </si>
  <si>
    <t>Wong, Wendy H.; Lake, David A.</t>
  </si>
  <si>
    <t>Wong, WH (corresponding author), Univ British Columbia, Vancouver, BC V6T 1Z4, Canada.</t>
  </si>
  <si>
    <t>dlake@ucsd.edu; w.wong@ubc.ca</t>
  </si>
  <si>
    <t>[Wong, Wendy H.] Univ British Columbia, Vancouver, BC V6T 1Z4, Canada; [Lake, David A.] Univ Calif San Diego, San Diego, CA USA</t>
  </si>
  <si>
    <t>University of British Columbia; University of California System; University of California San Diego</t>
  </si>
  <si>
    <t>Governing Artificial Intelligence: Designing Professional Structures for the Predictive Age</t>
  </si>
  <si>
    <t>ETHICS &amp; INTERNATIONAL AFFAIRS</t>
  </si>
  <si>
    <t>AI; public law; private regulation; certification; ethics; professional standards; professions; AI governance</t>
  </si>
  <si>
    <t>0892-6794</t>
  </si>
  <si>
    <t>1747-7093</t>
  </si>
  <si>
    <t>ETHICS INT AFF</t>
  </si>
  <si>
    <t>Ethics Int. Aff.</t>
  </si>
  <si>
    <t>WIN 2025</t>
  </si>
  <si>
    <t>312</t>
  </si>
  <si>
    <t>10.1017/S0892679426100343</t>
  </si>
  <si>
    <t>http://dx.doi.org/10.1017/S0892679426100343</t>
  </si>
  <si>
    <t>Ethics; International Relations; Political Science</t>
  </si>
  <si>
    <t>Social Sciences - Other Topics; International Relations; Government &amp; Law</t>
  </si>
  <si>
    <t>EE4BM</t>
  </si>
  <si>
    <t>WOS:001699106300009</t>
  </si>
  <si>
    <t>Pesapane, F; Latronico, A; Abbate, F; Penco, S; Rotili, A; Dominelli, V; Nicosia, L; Monzani, D; Grasso, R; Pravettoni, G; Cassano, E</t>
  </si>
  <si>
    <t>ObjectivesTo evaluate the impact of automation and anchoring bias in artificial intelligence (AI)-assisted mammography interpretation and to assess whether saliency-based explainable AI (XAI) mitigates these biases across radiologists of varying experience. Materials and methodsIn this monocentric, fully crossed simulation reader study conducted between March and June 2024, six breast radiologists stratified by experience independently reviewed 200 mammograms under three sequential conditions: unassisted, AI-assisted, and AI-assisted with saliency-based XAI heatmaps. To quantify susceptibility to misleading AI advice under controlled discordance conditions, BI-RADS-like AI recommendations were deliberately perturbed by one category in 30% of examinations, whereas the remaining 70% retained the native AI output. Bias outcomes were analyzed using generalized linear mixed-effects models accounting for reader- and case-level clustering. ResultsIn the AI-assisted condition without explanations, automation bias occurred in 65/180 (36.1%) and anchoring bias in 61/180 (33.9%) of manipulated cases. With XAI, these rates decreased to 32/180 (17.8%) and 31/180 (17.2%), respectively. In mixed-effects models, XAI was associated with lower odds of automation bias (aOR 0.56, 95% CI 0.44-0.71; p &lt; 0.001) and anchoring-related revision bias (aOR 0.61, 95% CI 0.48-0.78; p &lt; 0.001). On the non-manipulated subset, diagnostic accuracy improved from 724/840 (86.2%) in the unaided phase to 757/840 (90.1%) in the AI + XAI phase. ConclusionAutomation and anchoring bias affected AI-assisted mammography interpretation, particularly among less experienced radiologists. Saliency-based explainable AI reduced, but did not eliminate, these effects. Key Points QuestionAI assistance can systematically influence BI-RADS decisions in mammography, particularly among less experienced radiologists, through automation and anchoring biases. FindingsSaliency-based explainable AI (XAI) substantially reduces biased decisions while modestly improving overall diagnostic accuracy compared with standard AI support alone. Clinical relevanceEmbedding XAI and targeted training into AI-assisted mammography workflows may enhance patient safety and support safer clinical integration of mammography AI tools.</t>
  </si>
  <si>
    <t>Pesapane, Filippo; Latronico, Antuono; Abbate, Francesca; Penco, Silvia; Rotili, Anna; Dominelli, Valeria; Nicosia, Luca; Monzani, Dario; Grasso, Roberto; Pravettoni, Gabriella; Cassano, Enrico</t>
  </si>
  <si>
    <t>Pesapane, F (corresponding author), IEO European Inst Oncol IRCCS, Radiol Dept, Breast Imaging Div, Milan, Italy.</t>
  </si>
  <si>
    <t>filippo.pesapane@ieo.it</t>
  </si>
  <si>
    <t>[Pesapane, Filippo; Latronico, Antuono; Abbate, Francesca; Penco, Silvia; Rotili, Anna; Dominelli, Valeria; Nicosia, Luca; Cassano, Enrico] IEO European Inst Oncol IRCCS, Radiol Dept, Breast Imaging Div, Milan, Italy; [Monzani, Dario] Univ Palermo, Dept Psychol Educ Sci &amp; Human Movement, Palermo, Italy; [Monzani, Dario; Grasso, Roberto; Pravettoni, Gabriella] European Inst Oncol IRCCS, Appl Res Div Cognit &amp; Psychol Sci, Milan, Italy; [Grasso, Roberto; Pravettoni, Gabriella] Univ Milan, Dept Oncol &amp; Hematooncol, Milan, Italy</t>
  </si>
  <si>
    <t>University of Palermo; IRCCS European Institute of Oncology (IEO); University of Milan</t>
  </si>
  <si>
    <t>Evaluating cognitive biases in AI-assisted mammography interpretation: a simulation reader study of explainable AI across radiologist experience levels</t>
  </si>
  <si>
    <t>EUROPEAN RADIOLOGY</t>
  </si>
  <si>
    <t>Artificial intelligence; Automation bias; Cognitive bias; Explainable artificial intelligence; Mammography</t>
  </si>
  <si>
    <t>Pesapane, Filippo/AAE-8214-2020; Nicosia, Luca/AAB-7879-2019; /AAQ-7913-2020; /AAO-8684-2020; Pravettoni, Gabriella/AAC-3500-2022</t>
  </si>
  <si>
    <t>0938-7994</t>
  </si>
  <si>
    <t>1432-1084</t>
  </si>
  <si>
    <t>EUR RADIOL</t>
  </si>
  <si>
    <t>Eur. Radiol.</t>
  </si>
  <si>
    <t>10.1007/s00330-026-12666-6</t>
  </si>
  <si>
    <t>http://dx.doi.org/10.1007/s00330-026-12666-6</t>
  </si>
  <si>
    <t>IT5MY</t>
  </si>
  <si>
    <t>42213113</t>
  </si>
  <si>
    <t>WOS:001779977400001</t>
  </si>
  <si>
    <t>Boujeddaine, A; Khalifi, H; Ghanou, Y; Riahi, S; Cherif, W</t>
  </si>
  <si>
    <t>Early detection of suicidal ideation and depressive risk remains a critical challenge, particularly when individuals express distress implicitly through metaphorical or obfuscated language. Existing approaches primarily rely on explicit linguistic signals, limiting their effectiveness in real-world settings. This paper proposes a unified multi-aspect transformer-based framework that integrates multi-source learning, multi-task optimization, affective feature fusion, and adversarial training to detect implicit psychological risk indicators in textual data. The model jointly learns suicidal ideation detection, depression severity classification, and perceived threat detection, while incorporating emotional representations derived from valence, arousal, and polarity signals. To improve robustness, an adversarial training strategy is employed to simulate obfuscated expressions, enhancing robustness and generalization under linguistic perturbations. Interpretability is ensured through a hybrid explainable AI approach combining attention mechanisms and SHAP-based feature attribution. Extensive experiments conducted on four benchmark datasets demonstrate that the proposed approach achieves state-of-the-art performance (F1-score = 0.91), with statistically significant improvements over strong baselines. Additional analyses, including ablation studies, adversarial evaluation, and calibration assessment, confirm the effectiveness, robustness, and reliability of the proposed framework. These results highlight the potential of the model for deployment in high-stakes applications such as clinical triage and online risk monitoring, where early and interpretable detection of concealed psychological distress is essential.</t>
  </si>
  <si>
    <t>Boujeddaine, Aziz; Khalifi, Hamid; Ghanou, Youssef; Riahi, Sara; Cherif, Walid</t>
  </si>
  <si>
    <t>Boujeddaine, A (corresponding author), Moulay Ismail Univ Meknes, Lab IA, Meknes 50000, Morocco.</t>
  </si>
  <si>
    <t>a.boujeddaine@edu.umi.ac.ma; y.ghanou@umi.ac.ma; h.khalifi@um5r.ac.ma; s.riahi@enarabat.ac.ma; wcherif@esi.ac.ma</t>
  </si>
  <si>
    <t>[Boujeddaine, Aziz; Ghanou, Youssef] Moulay Ismail Univ Meknes, Lab IA, Meknes 50000, Morocco; [Khalifi, Hamid] Mohammed V Univ Rabat, Fac Sci, Rabat 10000, Morocco; [Riahi, Sara] Natl Sch Architecture Rabat, ENA, Rabat 10000, Morocco; [Cherif, Walid] Sch Informat Sci, LYRICA Lab, Rabat 10000, Morocco</t>
  </si>
  <si>
    <t>Moulay Ismail University of Meknes; Mohammed V University in Rabat</t>
  </si>
  <si>
    <t>A Multi-Aspect Transformer with Explainable AI for Recognizing Implicit Suicidal and Depressive Risk Indicators</t>
  </si>
  <si>
    <t>suicidal ideation detection; depression detection; natural language processing; explainable artificial intelligence; multi-task learning; social information retrieval</t>
  </si>
  <si>
    <t>Ghanou, Youssef/PHN-2806-2026; KHALIFI, Hamid/KCY-8719-2024</t>
  </si>
  <si>
    <t>MAY 3 2026</t>
  </si>
  <si>
    <t>442</t>
  </si>
  <si>
    <t>10.3390/info17050442</t>
  </si>
  <si>
    <t>http://dx.doi.org/10.3390/info17050442</t>
  </si>
  <si>
    <t>IL7VN</t>
  </si>
  <si>
    <t>WOS:001774708000001</t>
  </si>
  <si>
    <t>Mashatian, S; Armstrong, DG; Ritter, A; Robbins, J; Aziz, S; Alenabi, I; Huo, M; Anand, T; Tavakolian, K</t>
  </si>
  <si>
    <t>Background: Large language models (LLMs) offer significant potential in medical information extraction but carry risks of generating incorrect information. This study aims to develop and validate a retriever-augmented generation (RAG) model that provides accurate medical knowledge about diabetes and diabetic foot care to laypersons with an eighth-grade literacy level. Improving health literacy through patient education is paramount to addressing the problem of limb loss in the diabetic population. In addition to affecting patient well-being through improved outcomes, improved physician well-being is an important outcome of a self-management model for patient health education.Methods: We used an RAG architecture and built a question-and-answer artificial intelligence (AI) model to extract knowledge in response to questions pertaining to diabetes and diabetic foot care. We utilized GPT-4 by OpenAI, with Pinecone as a vector database. The NIH National Standards for Diabetes Self-Management Education served as the basis for our knowledge base. The model's outputs were validated through expert review against established guidelines and literature. Fifty-eight keywords were used to select 295 articles and the model was tested against 175 questions across topics.Results: The study demonstrated that with appropriate content volume and few-shot learning prompts, the RAG model achieved 98% accuracy, confirming its capability to offer user-friendly and comprehensible medical information.Conclusion: The RAG model represents a promising tool for delivering reliable medical knowledge to the public which can be used for self-education and self-management for diabetes, highlighting the importance of content validation and innovative prompt engineering in AI applications.</t>
  </si>
  <si>
    <t>Mashatian, Shayan; Armstrong, David G.; Ritter, Aaron; Robbins, Jeffery; Aziz, Shereen; Alenabi, Ilia; Huo, Michelle; Anand, Taneeka; Tavakolian, Kouhyar</t>
  </si>
  <si>
    <t>Mashatian, S (corresponding author), Univ North Dakota, Biomed Engn Program, 4200 James Ray Dr, Grand Forks, ND 58202 USA.</t>
  </si>
  <si>
    <t>shayan@silverberry.ai</t>
  </si>
  <si>
    <t>Silverberry Group, Inc.; National Institutes of Health, National Institute of Diabetes and Digestive and Kidney Diseases Award [1R01124789-01A1]; National Science Foundation (NSF) Center to Stream Healthcare in Place (#C2SHiP) CNS Award [2052578]</t>
  </si>
  <si>
    <t>Silverberry Group, Inc.; National Institutes of Health, National Institute of Diabetes and Digestive and Kidney Diseases Award; National Science Foundation (NSF) Center to Stream Healthcare in Place (#C2SHiP) CNS Award (National Science Foundation (NSF))</t>
  </si>
  <si>
    <t>The author(s) disclosed receipt of the following financial support for the research, authorship, and/or publication of this article: This work was sponsored by Silverberry Group, Inc. This study is partially supported by the National Institutes of Health, National Institute of Diabetes and Digestive and Kidney Diseases Award Number 1R01124789-01A1. This study is partially supported by the National Science Foundation (NSF) Center to Stream Healthcare in Place (#C2SHiP) CNS Award Number 2052578.</t>
  </si>
  <si>
    <t>[Mashatian, Shayan; Tavakolian, Kouhyar] Univ North Dakota, Biomed Engn Program, 4200 James Ray Dr, Grand Forks, ND 58202 USA; [Mashatian, Shayan; Aziz, Shereen; Alenabi, Ilia] Silverberry Grp Inc, Grand Forks, ND USA; [Armstrong, David G.] Univ Southern Calif, Keck Sch Med, Los Angeles, CA USA; [Ritter, Aaron] US Dept Vet Affairs, Little Rock, AR USA; [Robbins, Jeffery] US Dept Vet Affairs, Washington, DC USA; [Huo, Michelle] Univ Calif Los Angeles, Dept Life Sci, Los Angeles, CA USA; [Anand, Taneeka] Emory Univ, Oxford Coll, Oxford, GA USA</t>
  </si>
  <si>
    <t>University of North Dakota Grand Forks; University of Southern California; US Department of Veterans Affairs; US Department of Veterans Affairs; University of California System; University of California Los Angeles; Emory University</t>
  </si>
  <si>
    <t>Building Trustworthy Generative Artificial Intelligence for Diabetes Care and Limb Preservation: A Medical Knowledge Extraction Case</t>
  </si>
  <si>
    <t>JOURNAL OF DIABETES SCIENCE AND TECHNOLOGY</t>
  </si>
  <si>
    <t>generative AI; knowledge extraction; LLM; diabetes self-education; layperson education; trustworthy AI; few-shot learning; diabetic foot ulcer</t>
  </si>
  <si>
    <t>Alenabi, Ilia/0009-0003-1844-3213; Mashatian, Shayan/0000-0003-2131-3367</t>
  </si>
  <si>
    <t>1932-2968</t>
  </si>
  <si>
    <t>J DIABETES SCI TECHN</t>
  </si>
  <si>
    <t>J. Diabetes Sci. Technol.</t>
  </si>
  <si>
    <t>1264</t>
  </si>
  <si>
    <t>1270</t>
  </si>
  <si>
    <t>10.1177/19322968241253568</t>
  </si>
  <si>
    <t>http://dx.doi.org/10.1177/19322968241253568</t>
  </si>
  <si>
    <t>6MT4A</t>
  </si>
  <si>
    <t>38767382</t>
  </si>
  <si>
    <t>WOS:001228135600001</t>
  </si>
  <si>
    <t>Li, H; Miao, L; Wang, EJ; Ma, ZH; Wang, Y; Xia, JY; Liu, XY; He, D</t>
  </si>
  <si>
    <t>Background and Objective: To develop and validate a machine learning model based on stacking ensemble learning and feature selection strategies to predict vertebral refracture risk after percutaneous vertebroplasty. Methods: Clinical data from osteoporotic vertebral compression fractures (OVCF) patients treated with percutaneous vertebroplasty were retrospectively collected. Preprocessing steps included outlier removal, feature encoding, normalization, and Synthetic Minority Oversampling Technique (SMOTE) for dataset balancing. Univariate and multivariate analyses identified 13 key predictive features. Five machine learning algorithms-Logistic Regression (LR), Decision Tree (DT), Random Forest (RF), Support Vector Machine (SVM), and XGBoost-were employed within a two-layer stacking ensemble framework for dynamic weighted fusion. Model performance was evaluated using 10-fold cross-validation and an independent validation set, with explainability enhanced through SHapley Additive exPlanations (SHAP) for global and individual-level explanations. Results: The Stacking Ensemble Model demonstrated exceptional performance in internal cross-validation, achieving an area under the curve (AUC) of 0.984 and Average Precision (AP) of 0.987, with superior recall and Brier scores. In the independent validation cohort, it maintained robust performance (AUC = 0.959, AP = 0.949). SHAP analysis identified brace usage, age, anti-osteoporosis drug, daily sunlight exposure, and 25-OH-VD levels as primary risk determinants. Conclusion: The Stacking Ensemble Model demonstrates high predictive accuracy and robust generalization performance in assessing vertebral refracture risk following percutaneous vertebroplasty, providing clinicians with effective decision support for risk assessment and personalized rehabilitation planning.</t>
  </si>
  <si>
    <t>Li, Hao; Miao, Lei; Wang, Enjie; Ma, Zhihao; Wang, Ye; Xia, Jiyuan; Liu, Xinyu; He, Da</t>
  </si>
  <si>
    <t>He, D (corresponding author), Capital Med Univ, Beijing Jishuitan Hosp, Dept Orthoped, 31 Xinjiekou East St, Beijing 100035, Peoples R China.; Liu, XY (corresponding author), Shandong Univ, Qilu Hosp, Dept Orthoped, Wenhua West Rd 107, Jinan 250012, Shandong, Peoples R China.</t>
  </si>
  <si>
    <t>newyuliu@163.com; heda@jst-hosp.com.cn</t>
  </si>
  <si>
    <t>Beijing Hospitals Authority Ascent Plan [DFL20240401]</t>
  </si>
  <si>
    <t>Beijing Hospitals Authority Ascent Plan</t>
  </si>
  <si>
    <t>This work was supported in part by the Beijing Hospitals Authority Ascent Plan (DFL20240401 to Da He).</t>
  </si>
  <si>
    <t>[Li, Hao; Wang, Ye; Xia, Jiyuan; He, Da] Capital Med Univ, Beijing Jishuitan Hosp, Dept Orthoped, 31 Xinjiekou East St, Beijing 100035, Peoples R China; [Miao, Lei] Guangdong Univ Foreign Studies, South China Business Coll, Sch Comp Sci, Guangzhou 510545, Guangdong, Peoples R China; [Wang, Enjie] Wenzhou Med Univ, Quzhou Affiliated Hosp, Dept Orthoped, Quzhou 324000, Zhejiang, Peoples R China; [Ma, Zhihao] Fourth Med Ctr Chinese PLA Gen Hosp, Dept Orthoped, Beijing 100853, Peoples R China; [Li, Hao; Wang, Enjie; Ma, Zhihao; Liu, Xinyu] Shandong Univ, Qilu Hosp, Dept Orthoped, Wenhua West Rd 107, Jinan 250012, Shandong, Peoples R China</t>
  </si>
  <si>
    <t>Capital Medical University; Guangdong University of Foreign Studies; South China Business College Guangdong University of Foreign Studies; Wenzhou Medical University; Shandong University</t>
  </si>
  <si>
    <t>Explainable AI assisted vertebral refracture diagnosis after percutaneous vertebroplasty through effective feature engineering and stacked ensemble learning</t>
  </si>
  <si>
    <t>Machine learning; Vertebral refracture; OVCF; SHAP</t>
  </si>
  <si>
    <t>BALLOON KYPHOPLASTY; FRACTURES; IMPACT; RISK</t>
  </si>
  <si>
    <t>xinyu, liu/IWV-3949-2023; Ma, Zhihao/N-9639-2019</t>
  </si>
  <si>
    <t>Ma, Zhihao/0000-0001-6651-423X</t>
  </si>
  <si>
    <t>106005</t>
  </si>
  <si>
    <t>10.1016/j.ijmedinf.2025.106005</t>
  </si>
  <si>
    <t>http://dx.doi.org/10.1016/j.ijmedinf.2025.106005</t>
  </si>
  <si>
    <t>3TM4P</t>
  </si>
  <si>
    <t>40472562</t>
  </si>
  <si>
    <t>WOS:001508626400001</t>
  </si>
  <si>
    <t>Alsalman, Z</t>
  </si>
  <si>
    <t>Background: Artificial intelligence (AI) is increasingly integrated into healthcare systems worldwide, including mental health services. While AI holds promise for improving efficiency and addressing workforce shortages, its role in psychiatry remains complex due to the central importance of empathy, clinical judgment, and ethical responsibility. Understanding clinicians' perceptions is essential for guiding responsible AI implementation, particularly in culturally specific settings such as Saudi Arabia. Material and Methods: A cross-sectional survey was conducted among psychiatrists and family medicine physicians in Saudi Arabia between October and December 2025. The survey questionnaire was adapted from previously published instruments to assess perceptions of AI's impact on mental health professions, the likelihood that AI could fully replace clinicians in ten core psychiatric tasks, expected timelines for replacement, and views on the balance between AI's benefits and risks. Descriptive statistics, subgroup comparisons, and multivariable linear regression were used to analyze factors associated with higher perceived AI replacement likelihood. Results: A total of 100 physicians participated (mean age, 43.3 +/- 8.9 years; 47% female). Most respondents anticipated that AI would lead to slight (45.0%) or substantial (43.0%) changes in professional roles. Perceptions varied by task: administrative tasks were most replaceable (clinical documentation, 4.03 +/- 0.95; 79% likely), diagnostic/assessment tasks showed mixed perceptions (40-58%), high-risk diagnostics (suicidal/homicidal thoughts) were largely resistant (2.73-2.82; 8-30%), and relational tasks including empathetic care were least replaceable (24% likely). Physicians currently using AI tools reported significantly higher AI replacement likelihood scores, a finding that remained significant after adjustment. Overall, 64.0% of participants believed that the benefits of AI in mental health care outweighed its potential risks. Conclusions: Mental health professionals in Saudi Arabia largely view AI as a supportive tool rather than a replacement for clinicians. Clear boundaries remain around tasks requiring empathy and ethical judgment. These findings underscore the need for culturally sensitive, clinician-led, and ethically grounded AI integration strategies that strengthen, rather than undermine, the human foundations of mental health care.</t>
  </si>
  <si>
    <t>Alsalman, Zaenb</t>
  </si>
  <si>
    <t>Alsalman, Z (corresponding author), King Faisal Univ, Coll Med, Dept Family &amp; Community Med, Al Hasa 31982, Saudi Arabia.</t>
  </si>
  <si>
    <t>zalsalman@kfu.edu.sa</t>
  </si>
  <si>
    <t>Deanship of Scientific Research, Vice Presidency for Graduate Studies and Scientific Research, King Faisal University, Saudi Arabia [KFU260430]</t>
  </si>
  <si>
    <t>This work was supported by the Deanship of Scientific Research, Vice Presidency for Graduate Studies and Scientific Research, King Faisal University, Saudi Arabia [Grant No. KFU260430].</t>
  </si>
  <si>
    <t>[Alsalman, Zaenb] King Faisal Univ, Coll Med, Dept Family &amp; Community Med, Al Hasa 31982, Saudi Arabia</t>
  </si>
  <si>
    <t>Artificial Intelligence in Mental Health Care: Task-Specific Perspectives of Professionals in Saudi Arabia</t>
  </si>
  <si>
    <t>artificial intelligence; mental health care; digital health; psychiatry; family medicine</t>
  </si>
  <si>
    <t>alsalman, Zaenb/HNQ-6712-2023</t>
  </si>
  <si>
    <t>MAR 10 2026</t>
  </si>
  <si>
    <t>10.3390/healthcare14060701</t>
  </si>
  <si>
    <t>http://dx.doi.org/10.3390/healthcare14060701</t>
  </si>
  <si>
    <t>FR2HT</t>
  </si>
  <si>
    <t>41897154</t>
  </si>
  <si>
    <t>WOS:001725481600001</t>
  </si>
  <si>
    <t>Kaur, BP; Singh, H; Hans, R; Sharma, SK; Sharma, C; Hassan, MM</t>
  </si>
  <si>
    <t>In the current era, a lot of research is being done in the domain of disease diagnosis using machine learning. In recent times, one of the deadliest respiratory diseases, COVID-19, which causes serious damage to the lungs has claimed a lot of lives globally. Machine learning-based systems can assist clinicians in the early diagnosis of the disease, which can reduce the deadly effects of the disease. For the successful deployment of these machine learning-based systems, hyperparameter-based optimization and feature selection are important issues. Motivated by the above, in this proposal, we design an improved model to predict the existence of respiratory disease among patients by incorporating hyperparameter optimization and feature selection. To optimize the parameters of the machine learning algorithms, hyperparameter optimization with a genetic algorithm is proposed and to reduce the size of the feature set, feature selection is performed using binary grey wolf optimization algorithm. Moreover, to enhance the efficacy of the predictions made by hyperparameter-optimized machine learning models, an ensemble model is proposed using a stacking classifier. Also, explainable AI was incorporated to define the feature importance by making use of Shapely adaptive explanations (SHAP) values. For the experimentation, the publicly accessible Mexico clinical dataset of COVID-19 was used. The results obtained show that the proposed model has superior prediction accuracy in comparison to its counterparts. Moreover, among all the hyperparameter-optimized algorithms, adaboost algorithm outperformed all the other hyperparameter-optimized algorithms. The various performance assessment metrics, including accuracy, precision, recall, AUC, and F1-score, were used to assess the results.</t>
  </si>
  <si>
    <t>Kaur, Balraj Preet; Singh, Harpreet; Hans, Rahul; Sharma, Sanjeev Kumar; Sharma, Chetna; Hassan, Md. Mehedi</t>
  </si>
  <si>
    <t>Hassan, MM (corresponding author), Khulna Univ, Comp Sci &amp; Engn Discipline, Khulna, Bangladesh.</t>
  </si>
  <si>
    <t>mehedihassan@ieee.org</t>
  </si>
  <si>
    <t>[Kaur, Balraj Preet; Hans, Rahul] DAV Univ, Dept Comp Sci &amp; Engn, Jalandhar, Punjab, India; [Singh, Harpreet] Thapar Inst Engn &amp; Technol, Dept Comp Sci &amp; Engn, Patiala, India; [Sharma, Sanjeev Kumar] DAV Univ, Dept Comp Sci &amp; Applicat, Jalandhar, Punjab, India; [Sharma, Chetna] Chitkara Univ, Chitkara Univ Inst Engn &amp; Technol, Chandigarh, Punjab, India; [Hassan, Md. Mehedi] Khulna Univ, Comp Sci &amp; Engn Discipline, Khulna, Bangladesh</t>
  </si>
  <si>
    <t>DAV University, Jalandhar; Thapar Institute of Engineering &amp; Technology; DAV University, Jalandhar; Chitkara University, Punjab; Khulna University</t>
  </si>
  <si>
    <t>A Genetic algorithm aided hyper parameter optimization based ensemble model for respiratory disease prediction with Explainable AI</t>
  </si>
  <si>
    <t>COVID-19; CLASSIFIER; MORTALITY; SEARCH</t>
  </si>
  <si>
    <t>Hassan, Mehedi/AAJ-9904-2021; Hans, Rahul/PFQ-9147-2025; Sharma, Chetna/HPE-3692-2023; Sharma, Sanjeev/AAO-8028-2020</t>
  </si>
  <si>
    <t>Hassan, Mehedi/0000-0002-9890-0968; Singh, Harpreet/0000-0001-5938-7252; Kaushal, Chetna/0000-0002-3298-5583</t>
  </si>
  <si>
    <t>DEC 2 2024</t>
  </si>
  <si>
    <t>e0308015</t>
  </si>
  <si>
    <t>10.1371/journal.pone.0308015</t>
  </si>
  <si>
    <t>http://dx.doi.org/10.1371/journal.pone.0308015</t>
  </si>
  <si>
    <t>O5Z7Z</t>
  </si>
  <si>
    <t>39621641</t>
  </si>
  <si>
    <t>WOS:001371910800012</t>
  </si>
  <si>
    <t>Shao, MM; Scheideman, AF; Rand, C; Klonoff, DC; Espinoza, J</t>
  </si>
  <si>
    <t>The adoption of artificial intelligence (AI) tools for hospital insulin management is currently limited by data fragmentation and difficult integration into clinical workflows. This commentary examines the data infrastructure requirements for safe AI deployment in clinical settings. Device-mediated and clinician-administered dosing are the two methods by which insulin is managed in hospitals. In device-mediated dosing, glucose and insulin data often remain siloed within proprietary device ecosystems outside the electronic health record (EHR). In clinician-administered dosing, relevant data elements typically exist within the EHR but are distributed across workflows in ways that limit their usefulness for decision support. The Integration of Connected Diabetes Device Data into the Electronic Health Record (iCoDE) initiative is a standard for integrating device-generated diabetes data into clinical systems, which can lay the foundation for organizing hospital data in support of the development of trustworthy AI. A staged roadmap for hospitals building towards AI-ready insulin management infrastructure is presented along with governance requirements for trustworthy deployment. The value of iCoDE is that it helps define the conditions under which such AI can become clinically meaningful, trustworthy, and scalable.</t>
  </si>
  <si>
    <t>Shao, Mandy M.; Scheideman, Agatha F.; Rand, Casey; Klonoff, David C.; Espinoza, Juan</t>
  </si>
  <si>
    <t>Klonoff, DC (corresponding author), Sutter Hlth Res Inst, Emeryville, CA 94608 USA.; Klonoff, DC (corresponding author), Mills Peninsula Med Ctr, Dept Diabet &amp; Endocrinol, San Mateo, CA 94401 USA.</t>
  </si>
  <si>
    <t>dklonoff@diabetestechnology.org; crand@luriechildrens.org; shao@diabetestechnology.org</t>
  </si>
  <si>
    <t>[Shao, Mandy M.; Scheideman, Agatha F.] Diabet Technol Soc, Burlingame, CA 94010 USA; [Rand, Casey; Espinoza, Juan] Ann &amp; Robert H Lurie Childrens Hosp Chicago, Stanley Manne Childrens Res Inst, Chicago, IL 60611 USA; [Klonoff, David C.] Sutter Hlth Res Inst, Emeryville, CA 94608 USA; [Klonoff, David C.] Mills Peninsula Med Ctr, Dept Diabet &amp; Endocrinol, San Mateo, CA 94401 USA</t>
  </si>
  <si>
    <t>Ann &amp; Robert H. Lurie Children's Hospital of Chicago</t>
  </si>
  <si>
    <t>From Device Data to Trusted Decision Support: Building the Foundation for AI in Hospital Insulin Management</t>
  </si>
  <si>
    <t>artificial intelligence; data standards; diabetes; hospital; insulin management</t>
  </si>
  <si>
    <t>10.3390/diabetology7050099</t>
  </si>
  <si>
    <t>http://dx.doi.org/10.3390/diabetology7050099</t>
  </si>
  <si>
    <t>IP5JK</t>
  </si>
  <si>
    <t>WOS:001777259900001</t>
  </si>
  <si>
    <t>Jabeen, K; Khan, MA; Hamza, A; Albarakati, HM; Alsenan, S; Tariq, U; Ofori, I</t>
  </si>
  <si>
    <t>Breast cancer is one of the major causes of deaths in women. However, the early diagnosis is important for screening and control the mortality rate. Thus for the diagnosis of breast cancer at the early stage, a computer-aided diagnosis system is highly required. Ultrasound is an important examination technique for breast cancer diagnosis due to its low cost. Recently, many learning-based techniques have been introduced to classify breast cancer using breast ultrasound imaging dataset (BUSI) datasets; however, the manual handling is not an easy process and time consuming. The authors propose an EfficientNet-integrated ResNet deep network and XAI-based framework for accurately classifying breast cancer (malignant and benign). In the initial step, data augmentation is performed to increase the number of training samples. For this purpose, three-pixel flip mathematical equations are introduced: horizontal, vertical, and 90 degrees. Later, two pre-trained deep learning models were employed, skipped some layers, and fine-tuned. Both fine-tuned models are later trained using a deep transfer learning process and extracted features from the deeper layer. Explainable artificial intelligence-based analysed the performance of trained models. After that, a new feature selection technique is proposed based on the cuckoo search algorithm called cuckoo search controlled standard error mean. This technique selects the best features and fuses using a new parallel zero-padding maximum correlated coefficient features. In the end, the selection algorithm is applied again to the fused feature vector and classified using machine learning algorithms. The experimental process of the proposed framework is conducted on a publicly available BUSI and obtained 98.4% and 98% accuracy in two different experiments. Comparing the proposed framework is also conducted with recent techniques and shows improved accuracy. In addition, the proposed framework was executed less than the original deep learning models.</t>
  </si>
  <si>
    <t>Jabeen, Kiran; Khan, Muhammad Attique; Hamza, Ameer; Albarakati, Hussain Mobarak; Alsenan, Shrooq; Tariq, Usman; Ofori, Isaac</t>
  </si>
  <si>
    <t>Ofori, I (corresponding author), Univ Mines &amp; Technol, Tarkwa, Ghana.</t>
  </si>
  <si>
    <t>iofori@umat.edu.gh</t>
  </si>
  <si>
    <t>Princess Nourah bint Abdulrahman University [PNURSP2024R506]; Princess Nourah bint Abdulrahman University Researchers Supporting Project; Princess Nourah bint Abdulrahman University, Riyadh, Saudi Arabia</t>
  </si>
  <si>
    <t>Princess Nourah bint Abdulrahman University (Princess Nourah bint Abdulrahman University); Princess Nourah bint Abdulrahman University Researchers Supporting Project (Princess Nourah bint Abdulrahman University); Princess Nourah bint Abdulrahman University, Riyadh, Saudi Arabia (Princess Nourah bint Abdulrahman University)</t>
  </si>
  <si>
    <t>This work is supported by the Princess Nourah bint Abdulrahman University Researchers Supporting Project number (PNURSP2024R506), the Princess Nourah bint Abdulrahman University, Riyadh, Saudi Arabia.</t>
  </si>
  <si>
    <t>[Jabeen, Kiran; Khan, Muhammad Attique; Hamza, Ameer] HITEC Univ Taxila, Dept Comp Sci, Rawalpind, Pakistan; [Albarakati, Hussain Mobarak] Umm Al Qura Univ, Coll Comp, Comp &amp; Network Engn Dept, Mecca, Saudi Arabia; [Alsenan, Shrooq] Princess Nourah Bint Abdulrahman Univ, Coll Comp &amp; Informat Sci, Informat Syst Dept, Riyadh, Saudi Arabia; [Tariq, Usman] Prince Sattam Bin Abdul Aziz Univ, Coll Business Adm, Dept Management Informat Syst, Alkharaj, Saudi Arabia; [Ofori, Isaac] Univ Mines &amp; Technol, Tarkwa, Ghana</t>
  </si>
  <si>
    <t>Umm Al-Qura University; Princess Nourah bint Abdulrahman University; Prince Sattam Bin Abdulaziz University</t>
  </si>
  <si>
    <t>An EfficientNet integrated ResNet deep network and explainable AI for breast lesion classification from ultrasound images</t>
  </si>
  <si>
    <t>CAAI TRANSACTIONS ON INTELLIGENCE TECHNOLOGY</t>
  </si>
  <si>
    <t>deep learning; feature extraction; feature selection; machine learning; medical image processing</t>
  </si>
  <si>
    <t>SEGMENTATION; DIAGNOSIS</t>
  </si>
  <si>
    <t>OFORI, ISAAC/IVU-8144-2023; Tariq, Usman/GZL-9946-2022; Alsenan, Shrooq/AAM-9215-2020; Khan, Dr. Muhammad/AAX-2644-2021</t>
  </si>
  <si>
    <t>OFORI, ISAAC/0000-0002-1101-0613; Albarakati, Hussain Mobarak/0009-0000-2988-6667</t>
  </si>
  <si>
    <t>2468-6557</t>
  </si>
  <si>
    <t>2468-2322</t>
  </si>
  <si>
    <t>CAAI T INTELL TECHNO</t>
  </si>
  <si>
    <t>CAAI T. Intell. Technol.</t>
  </si>
  <si>
    <t>842</t>
  </si>
  <si>
    <t>857</t>
  </si>
  <si>
    <t>10.1049/cit2.12385</t>
  </si>
  <si>
    <t>http://dx.doi.org/10.1049/cit2.12385</t>
  </si>
  <si>
    <t>4LF6Z</t>
  </si>
  <si>
    <t>WOS:001330834500001</t>
  </si>
  <si>
    <t>Harte, M; Carey, B; Feng, QJ; Alqarni, A; Albuquerque, R</t>
  </si>
  <si>
    <t>Artificial intelligence (AI) is a rapidly evolving area, having had a transformative effect within some areas of medicine and dentistry. In dentistry, AI systems are contributing to clinical decision-making, diagnostics and treatment planning. Ongoing advances in AI technology will lead to further expansion of its existing applications and more widespread use within the field of dentistry. The predicted transformation of current practice within dentistry brought about by AI necessitates the education of undergraduate dental students on the topic of AI. AI will act as a complementary tool to clinical expertise and skill, rather than a replacement. AI education frameworks should integrate with existing traditional dental education. It is important that dental students develop a sound understanding of the ethical considerations surrounding AI, ensuring its safe and responsible use. This article aims to consider the status of current undergraduate dental education and the possible impact of AI, examining both the challenges and opportunities, and the practicalities, of incorporating AI into existing undergraduate dental curricula. Understanding and envisioning the future landscape shaped by AI will allow for development of a future dental workforce who are skilled, confident and responsible AI users.</t>
  </si>
  <si>
    <t>Harte, Molly; Carey, Barbara; Feng, Qingmei Joy; Alqarni, Ali; Albuquerque, Rui</t>
  </si>
  <si>
    <t>Albuquerque, R (corresponding author), Guys &amp; St Thomas NHS Fdn Trust, Dept Oral Med, London, England.; Albuquerque, R (corresponding author), Kings Coll London, Fac Dent Oral &amp; Craniofacial Sci, London, England.</t>
  </si>
  <si>
    <t>rui.albuquerque@gstt.nhs.uk</t>
  </si>
  <si>
    <t>[Harte, Molly; Feng, Qingmei Joy; Albuquerque, Rui] Guys &amp; St Thomas NHS Fdn Trust, Dept Oral Med, London, England; [Carey, Barbara] Guys &amp; St Thomas NHS Fdn Trust, Dept Head &amp; Neck Surg Oncol, London, England; [Alqarni, Ali] Taif Univ, Fac Dent, Dept Oral &amp; Maxillofacial Surg &amp; Diagnost Sci, Taif 21944, Saudi Arabia; [Albuquerque, Rui] Kings Coll London, Fac Dent Oral &amp; Craniofacial Sci, London, England</t>
  </si>
  <si>
    <t>Guy's &amp; St Thomas' NHS Foundation Trust; Guy's &amp; St Thomas' NHS Foundation Trust; Taif University; University of London; King's College London</t>
  </si>
  <si>
    <t>Transforming undergraduate dental education: the impact of artificial intelligence</t>
  </si>
  <si>
    <t>BRITISH DENTAL JOURNAL</t>
  </si>
  <si>
    <t>Alqarni, Ali/IQU-2261-2023</t>
  </si>
  <si>
    <t>Harte, Molly/0000-0001-8457-6792</t>
  </si>
  <si>
    <t>0007-0610</t>
  </si>
  <si>
    <t>1476-5373</t>
  </si>
  <si>
    <t>BRIT DENT J</t>
  </si>
  <si>
    <t>Br. Dent. J.</t>
  </si>
  <si>
    <t>JAN 10 2025</t>
  </si>
  <si>
    <t>10.1038/s41415-024-7788-7</t>
  </si>
  <si>
    <t>http://dx.doi.org/10.1038/s41415-024-7788-7</t>
  </si>
  <si>
    <t>T2C9A</t>
  </si>
  <si>
    <t>39794587</t>
  </si>
  <si>
    <t>WOS:001403163700031</t>
  </si>
  <si>
    <t>Park, SW; Yeo, NY; Kim, TH; Lim, MN; Yim, I; Kwon, OB; Nam, SJ; Lee, HY; Kim, WJ</t>
  </si>
  <si>
    <t>Background: Colorectal cancer (CRC) prognosis varies significantly, yet conventional statistical models struggle to capture the complex, non-linear interactions among clinical variables. Furthermore, most predictive models are based on Western populations, limiting their applicability to Korean patients. This study aimed to develop an explainable AI (XAI) model for CRC mortality prediction using a nationwide Korean cohort to provide clinically actionable insights. Methods: We conducted a retrospective cohort study using the Korean Cancer Public Library Database. A total of 9,069 patients with CRC were analyzed for all-cause mortality (1,878 deaths) and 8,589 patients for CRC-specific mortality (1,398 deaths). Four ML algorithms-support vector machine, random forest, XGBoost, and Light-GBM-were constructed. We employed explainable AI techniques, including SHapley Additive exPlanations (SHAP), to quantify the contribution of each predictor and ensure model interpretability. Results: All models showed good discrimination (AUC: 0.82-0.94). LightGBM was presented as the best-optimized model with an AUC of 0.824 [95% CI 0.80-0.85] in all-cause mortality. For CRC-specific mortality, LGB again yielded the AUC of 0.867 [95% CI 0.84-0.89]. SHAP revealed tumor stage and carcinoembryonic antigen as top mortality predictors across ages. Metabolic markers (e.g., hypertension, cholesterol) and liver enzymes were more predictive in younger patients. Conclusions: We developed the first interpretable machine learning model that accurately predicts CRC survival in a nationwide Korean cohort. Age-specific risk factors identified by SHAP not only support personalized care but also advance the application of precision oncology in Asian settings.</t>
  </si>
  <si>
    <t>Park, Sang Won; Yeo, Na Young; Kim, Tae-Hoon; Lim, Myoung Nam; Yim, Inhyeok; Kwon, Oh Beom; Nam, Seung-Joo; Lee, Hui-Young; Kim, Woo Jin</t>
  </si>
  <si>
    <t>Kim, WJ (corresponding author), Kangwon Natl Univ Hosp, Dept Internal Med, Chunchon 24289, South Korea.; Lee, HY (corresponding author), Kangwon Natl Univ Hosp, Dept Hematol &amp; Oncol, Chunchon, South Korea.</t>
  </si>
  <si>
    <t>hylee7@kangwon.ac.kr; pulmo2@kangwon.ac.kr</t>
  </si>
  <si>
    <t>Korea Health Technology R&amp;D Project through the Korea Health Industry Development Institute (KHIDI) - Ministry of Health &amp; Welfare, Republic of Korea [HI23C0733]</t>
  </si>
  <si>
    <t>This research was supported by a grant of the Korea Health Technology R&amp;D Project through the Korea Health Industry Development Institute (KHIDI) , funded by the Ministry of Health &amp; Welfare, Republic of Korea (grant number: HI23C0733) .</t>
  </si>
  <si>
    <t>[Park, Sang Won] Kangwon Natl Univ Hosp, Dept Next Generat Informat Ctr, Chunchon 24289, South Korea; [Park, Sang Won] Weknew Co Ltd, Dept Data Sci, Chunchon 24341, South Korea; [Yeo, Na Young] Kangwon Natl Univ, Dept Med Big Data Convergence, Chunchon 24341, South Korea; [Kim, Tae-Hoon] Kangwon Natl Univ, Univ Ind Cooperat Fdn, Chunchon 24341, South Korea; [Lim, Myoung Nam] Kangwon Natl Univ Hosp, Biomed Res Inst, Chunchon 24289, South Korea; [Yim, Inhyeok] Kangwon Natl Univ, Kangwon Natl Univ Hosp, Sch Med, Dept Family Med, Chunchon 24289, South Korea; [Kwon, Oh Beom; Kim, Woo Jin] Kangwon Natl Univ Hosp, Dept Internal Med, Chunchon 24289, South Korea; [Nam, Seung-Joo] Kangwon Natl Univ Hosp, Dept Gastroenterol, Chunchon 24289, South Korea; [Lee, Hui-Young; Kim, Woo Jin] Kangwon Natl Univ, Sch Med, Dept Internal Med, Chunchon, South Korea; [Lee, Hui-Young] Kangwon Natl Univ Hosp, Dept Hematol &amp; Oncol, Chunchon, South Korea</t>
  </si>
  <si>
    <t>Kangwon National University; Kangwon National University Hospital; Kangwon National University; Kangwon National University; Kangwon National University; Kangwon National University Hospital; Kangwon National University; Kangwon National University Hospital; Kangwon National University; Kangwon National University Hospital; Kangwon National University; Kangwon National University Hospital; Kangwon National University; Kangwon National University; Kangwon National University Hospital</t>
  </si>
  <si>
    <t>Explainable AI for colorectal cancer mortality and risk factor prediction in Korea: A nationwide cancer cohort study</t>
  </si>
  <si>
    <t>Colorectal cancer; Artificial Intelligence; Mortality; Predictive Analytics; Explainable AI; Machine Learning</t>
  </si>
  <si>
    <t>STATISTICS</t>
  </si>
  <si>
    <t>Nam, Seung-Joo/IQT-1909-2023; Kim, Woo/A-8216-2019</t>
  </si>
  <si>
    <t>Yeo, Na Young/0000-0002-3934-8157; Yim, Inhyeok/0000-0001-6252-2013; Lim, Myoung-Nam/0000-0003-3562-0667</t>
  </si>
  <si>
    <t>106125</t>
  </si>
  <si>
    <t>10.1016/j.ijmedinf.2025.106125</t>
  </si>
  <si>
    <t>http://dx.doi.org/10.1016/j.ijmedinf.2025.106125</t>
  </si>
  <si>
    <t>8OD8T</t>
  </si>
  <si>
    <t>41066920</t>
  </si>
  <si>
    <t>WOS:001593323500001</t>
  </si>
  <si>
    <t>Ngema, F; Whata, A; Olusanya, MO; Mhlongo, S</t>
  </si>
  <si>
    <t>Background:HIV viral suppression is essential for improving health outcomes and reducing transmission rates among people living with HIV. In Uganda, where HIV/AIDS is a major public health concern, machine learning (ML) models can predict viral suppression effectively. However, the limited use of explainable artificial intelligence (XAI) methods affects model transparency and clinical utility. Objective:This study aimed to develop and compare ML models for predicting viral nonsuppression in Ugandan people living with HIV on antiretroviral therapy (ART), and then systematically apply comprehensive XAI techniques to the best-performing model to identify key predictors and demonstrate interpretability at both population and individual patient levels. Methods:We retrospectively analyzed clinical and demographic data from 1101 Ugandan people living with HIV on ART at the HIV clinic in Muyembe Health Centre IV between June 2016 and April 2018, focusing on predicting viral nonsuppression (viral load &gt;1000 copies per milliliter). The dataset was divided into model-building (training: 80%) and validation (test: 20%) sets. To address class imbalance, the synthetic minority over-sampling technique was applied. For global explanation, 8 ML algorithms-logistic regression, stacked ensemble, random forest, support vector machines, extreme gradient boosting (XGBoost), k-nearest neighbors, na &amp; iuml;ve Bayes, and artificial neural networks-were compared. Model performance was evaluated using metrics such as accuracy, precision, recall, F-1-score, Cohen kappa, and area under the curve (AUC). For local explanation, individual conditional expectation plots, Shapley Additive Explanations (SHAP), breakdown, and SHAP force plots were used to provide insights into predictions for individual patients. Results: The XGBoost ensemble model demonstrated superior performance with an accuracy of 0.89, precision of 0.59, recall of 0.65, and AUC of 0.80. The model achieved high specificity (0.93) and moderate sensitivity, yielding a Cohen kappa of 0.55 and F-1-score of 0.62, indicating good discriminative ability for viral nonsuppression prediction. SHAP feature importance analysis identified adherence assessment over the preceding 3 months as the most influential predictor of viral nonsuppression, followed by age group, urban residence, and duration on ART. Local SHAP consistently demonstrated that poor adherence was the primary driver of both correctly identified nonsuppressed cases and false positive predictions, reinforcing adherence as the critical determinant of treatment outcomes. Conclusions:The XGBoost model demonstrated optimal performance for predicting viral nonsuppression among Ugandan people living with HIV on ART, achieving an AUC of 0.80. Comprehensive XAI analysis identified adherence assessment as the primary predictor, followed by age group, residence type, and ART duration. XAI methods provided transparent interpretation of model predictions at both population and individual patient levels, enabling identification of key risk factors for targeted clinical interventions in resource-limited settings.</t>
  </si>
  <si>
    <t>Ngema, Francis; Whata, Albert; O Olusanya, Micheal; Mhlongo, Siyabonga</t>
  </si>
  <si>
    <t>Ngema, F (corresponding author), Univ Johannesburg, Ctr Appl Data Sci, Corner Kingsway &amp; Univ Rd, ZA-2092 Johannesburg, South Africa.</t>
  </si>
  <si>
    <t>francisngema@gmail.com</t>
  </si>
  <si>
    <t>[Ngema, Francis] Univ Johannesburg, Ctr Appl Data Sci, Corner Kingsway &amp; Univ Rd, ZA-2092 Johannesburg, South Africa; [Whata, Albert] Univ Pretoria, Dept Stat, Pretoria, South Africa; [O Olusanya, Micheal] Sol Plaatje Univ, Dept Comp Sci &amp; Informat Technol, Kimberley, South Africa; [Mhlongo, Siyabonga] Univ Johannesburg, Dept Appl Informat Syst, Johannesburg, South Africa</t>
  </si>
  <si>
    <t>University of Johannesburg; University of Pretoria; University of Johannesburg</t>
  </si>
  <si>
    <t>Explainable AI-Driven Comparative Analysis of Machine Learning Models for Predicting HIV Viral Nonsuppression in Ugandan Patients: Retrospective Cross-Sectional Study</t>
  </si>
  <si>
    <t>JMIR AI</t>
  </si>
  <si>
    <t>HIV viral suppression; machine learning; explainable AI; artificial intelligence; antiretroviral therapy; adherence; Uganda; predictive modeling; XGBoost; extreme gradient boosting; clinical decision-making; public health</t>
  </si>
  <si>
    <t>ANTIRETROVIRAL TREATMENT; SUPPRESSION; FAILURE; LOAD</t>
  </si>
  <si>
    <t>Whata, Albert/AAO-8629-2021; Olusanya, Micheal/AAU-4171-2021; Mhlongo, Siyabonga/R-7333-2016</t>
  </si>
  <si>
    <t>2817-1705</t>
  </si>
  <si>
    <t>e68196</t>
  </si>
  <si>
    <t>10.2196/68196</t>
  </si>
  <si>
    <t>http://dx.doi.org/10.2196/68196</t>
  </si>
  <si>
    <t>EE8IN</t>
  </si>
  <si>
    <t>41358918</t>
  </si>
  <si>
    <t>WOS:001699397000001</t>
  </si>
  <si>
    <t>Oladunni, T; Aneni, E</t>
  </si>
  <si>
    <t>This study investigates the effectiveness of intermediate and late fusion strategies for multimodal ECG classification across time, frequency, and time-frequency domains. Multiple fusion architectures were designed and evaluated to identify the most efficient and interpretable configuration. Intermediate fusion consistently outperformed late fusion, achieving a peak accuracy of 97 %, with a large effect size (Cohen's d &gt;0.8) relative to single-domain models and d = 0.4 compared with late fusion. Interpretability analyses using saliency maps revealed that model attention aligned closely with physiologic ECG regions, while Mutual Information (MI) confirmed a strong statistical dependency between discretized ECG signals and their corresponding saliency distributions. We introduce the Explainable-AI Trustworthiness (EAT) theory, which defines the foundational principles of informational grounding, robustness, and architectural faithfulness as necessary conditions for trustworthy explanations in biomedical AI. Building on this theoretical foundation, we propose the EAT framework, which operationalizes these principles into formal, measurable criteria for ECG model interpretability. The framework quantifies (i) informational grounding to expert-annotated ST-T segments through adjusted/normalized MI (AMI/NMI); (ii) robustness to physiologic and adversarial perturbations via flip-rate, Delta p(true), and saliency stability; and (iii) architectural faithfulness through branch concordance and ablation consistency. Under these criteria, EAT exhibits statistical soundness, monotonicity, and completeness, advancing explainability from subjective visualization toward falsifiable, auditable, and clinically trustworthy AI evaluation. The integration of EAT theory and framework establishes a unified foundation that bridges theoretical rigor with practical model validation, promoting reproducibility, clinical credibility, and cross-domain generalization in future biomedical AI research.</t>
  </si>
  <si>
    <t>Oladunni, Timothy; Aneni, Ehimen</t>
  </si>
  <si>
    <t>Oladunni, T (corresponding author), Morgan State Univ, Comp Sci Dept, Baltimore, MD 21251 USA.; Oladunni, T (corresponding author), Yale Univ, Dept Comp Sci, New Haven, CT 06520 USA.</t>
  </si>
  <si>
    <t>timothy.oladunni@morgan.edu</t>
  </si>
  <si>
    <t>ASCEND Research Fellowship, Yale University</t>
  </si>
  <si>
    <t>This work was supported in part by the ASCEND Research Fellowship, Yale University.</t>
  </si>
  <si>
    <t>[Oladunni, Timothy] Morgan State Univ, Comp Sci Dept, Baltimore, MD 21251 USA; [Oladunni, Timothy] Yale Univ, Dept Comp Sci, New Haven, CT 06520 USA; [Aneni, Ehimen] Yale Univ, Sect Cardiovasc Med, Dept Internal Med, Sch Med, New Haven, CT 06520 USA</t>
  </si>
  <si>
    <t>Morgan State University; Yale University; Yale University</t>
  </si>
  <si>
    <t>Explainable Deep Neural Network for Multimodal ECG Signals: Intermediate Versus Late Fusion</t>
  </si>
  <si>
    <t>Electrocardiography; Physiology; Time-frequency analysis; Artificial intelligence; Visualization; Mutual information; Robustness; Accuracy; Synthetic data; Sensitivity; Multimodal; deep learning; neural networks; cardiovascular diseases; CVD; explainable AI; trustworthy AI</t>
  </si>
  <si>
    <t>HEART-RATE; CLASSIFICATION; FIBRILLATION; AGREEMENT</t>
  </si>
  <si>
    <t>Oladunni, Timothy/H-2875-2017</t>
  </si>
  <si>
    <t>202700</t>
  </si>
  <si>
    <t>202736</t>
  </si>
  <si>
    <t>10.1109/ACCESS.2025.3631544</t>
  </si>
  <si>
    <t>http://dx.doi.org/10.1109/ACCESS.2025.3631544</t>
  </si>
  <si>
    <t>N7584</t>
  </si>
  <si>
    <t>WOS:001631894000029</t>
  </si>
  <si>
    <t>Gupta, J; Mehrotra, M; Aggarwal, A</t>
  </si>
  <si>
    <t>Accurate classification of pulmonary nodule subtypes is vital for early lung cancer management. Yet, building reliable AI models remains challenging due to limited annotated data and the need to jointly exploit the complementary spatial cues offered by 2D CT slices and 3D volumetric scans. This work introduces a multimodal meta-learning framework for few-shot lung nodule classification, designed to enhance data-efficiency, fusion effectiveness, and interpretability. A contrastive 2D-3D cross-modal alignment module first harmonises slice-level and volume-level encoders into a unified latent space, enabling stable multimodal fusion under scarce supervision. A Prototypical Network-based episodic learner is then employed to support rapid adaptation to unseen nodules with only a few labelled samples. Beyond accuracy, the framework incorporates prototype-guided saliency mapping, fusion-margin analysis, and cognitive consistency metrics to assess the trustworthiness of model decisions. Experiments on a rare-data clinical cohort demonstrated that the proposed approach achieved 85.1% accuracy (95% CI [0.825, 0.877]) in a five-shot setting, surpassing single-modality and supervised baselines by 6-8%. Performance gains were statistically significant under the paired Wilcoxon signed-rank test (p &lt; 0.05). The results demonstrate that cross-modal alignment with few-shot meta-learning delivers a cognitively robust, transparent, and data-efficient solution for multimodal lung nodule analysis, with potential to support triage in low-resource lung cancer screening programs. The codebase implementing the proposed multimodal meta-learning and calibration framework is publicly accessible for reproducibility at https://github.com/JuhiGupta2023/multimodal-meta-lung.</t>
  </si>
  <si>
    <t>Gupta, Juhi; Mehrotra, Monica; Aggarwal, Arpita</t>
  </si>
  <si>
    <t>Gupta, J (corresponding author), Jamia Millia Islamia, Dept Comp Sci, New Delhi, India.; Gupta, J (corresponding author), Univ Delhi, PGDAV Coll, Dept Comp Sci, New Delhi, India.</t>
  </si>
  <si>
    <t>juhiaqua26@gmail.com; arpita.aggarwal@pgdav.du.ac.in; mmehrotra@jmi.ac.in</t>
  </si>
  <si>
    <t>[Gupta, Juhi; Mehrotra, Monica] Jamia Millia Islamia, Dept Comp Sci, New Delhi, India; [Gupta, Juhi; Aggarwal, Arpita] Univ Delhi, PGDAV Coll, Dept Comp Sci, New Delhi, India</t>
  </si>
  <si>
    <t>Jamia Millia Islamia; University of Delhi</t>
  </si>
  <si>
    <t>Multimodal meta-learning for lung nodule classification under few-shot settings: a trustworthy AI framework with 2D-3D cross-modal alignment</t>
  </si>
  <si>
    <t>PATTERN ANALYSIS AND APPLICATIONS</t>
  </si>
  <si>
    <t>Few-shot classification; Multimodal fusion; Lung cancer diagnosis; Calibration reliability; Trustworthy AI</t>
  </si>
  <si>
    <t>gupta, juhi/0000-0003-2968-914X</t>
  </si>
  <si>
    <t>1433-7541</t>
  </si>
  <si>
    <t>1433-755X</t>
  </si>
  <si>
    <t>PATTERN ANAL APPL</t>
  </si>
  <si>
    <t>Pattern Anal. Appl.</t>
  </si>
  <si>
    <t>10.1007/s10044-026-01633-y</t>
  </si>
  <si>
    <t>http://dx.doi.org/10.1007/s10044-026-01633-y</t>
  </si>
  <si>
    <t>DV7TD</t>
  </si>
  <si>
    <t>WOS:001693238800005</t>
  </si>
  <si>
    <t>Agrawal, A; Chaki, J</t>
  </si>
  <si>
    <t>Brain tumors pose a significant and often life-threatening challenge to human health. Accurate and timely brain tumor detection is crucial for early intervention, improved treatment outcomes, and ultimately, enhanced patient survival and quality of life. Automation is crucial for overcoming the limitations of manual analysis, enabling faster, more objective, and potentially more accurate diagnoses of brain tumors. This study introduces the CerebralNet architecture, a new approach for brain tumor detection and classification that uses a pre-trained MobileNetV2 backbone. Key innovations include the integration of Atrous Spatial Pyramid Pooling and Atrous Convolution blocks, enhancing feature extraction, and capturing multi-scale contextual information which is crucial for accurate brain tumor detection and classification because brain tumors exhibit significant variability in size, shape, and appearance. Furthermore, a new probabilistic image augmentation selection strategy is employed, incorporating 10 augmentation techniques such as Gaussian noise, Gaussian blur, random rotations, and intensity and color variations to simulate real-world imaging artifacts. This approach, combined with the augmented Brain MRI Dataset, significantly improves model robustness and generalizability. Rigorous evaluation on both the imbalanced original (BM) and augmented (ABM) datasets demonstrates exceptional performance, exceeding 91 % accuracy on the BM dataset and achieving 96 % on the ABM dataset. This study also incorporates LIME (Local Interpretable Model-agnostic Explanations) for model interpretability, providing valuable insights into the model's decision-making process. These findings demonstrate the potential of the new augmentation strategy and Atrous MobileNetV2 architecture to significantly improve the accuracy and reliability of brain tumor detection and classification, paving the way for improved clinical outcomes.</t>
  </si>
  <si>
    <t>Agrawal, Arth; Chaki, Jyotismita</t>
  </si>
  <si>
    <t>Chaki, J (corresponding author), Vellore Inst Technol, Sch Comp Sci &amp; Engn, Vellore, India.</t>
  </si>
  <si>
    <t>jyotismita.c@gmail.com</t>
  </si>
  <si>
    <t>[Agrawal, Arth; Chaki, Jyotismita] Vellore Inst Technol, Sch Comp Sci &amp; Engn, Vellore, India</t>
  </si>
  <si>
    <t>CerebralNet meets Explainable AI: Brain tumor detection and classification with probabilistic augmentation and a deep learning approach</t>
  </si>
  <si>
    <t>Brain Tumor; Deep Learning; Atrous Convolution and Spatial Pyramid; Pooling; MobileNetV2; Local Interpretable Model-agnostic Explana-tions; Image Augmentation</t>
  </si>
  <si>
    <t>Chaki, Jyotismita/T-4882-2019</t>
  </si>
  <si>
    <t>Chaki, Jyotismita/0000-0003-1804-8590; Agrawal, Arth/0009-0000-5285-3441</t>
  </si>
  <si>
    <t>110</t>
  </si>
  <si>
    <t>108210</t>
  </si>
  <si>
    <t>10.1016/j.bspc.2025.108210</t>
  </si>
  <si>
    <t>http://dx.doi.org/10.1016/j.bspc.2025.108210</t>
  </si>
  <si>
    <t>4AV3Q</t>
  </si>
  <si>
    <t>WOS:001513617800005</t>
  </si>
  <si>
    <t>Chen, HM; Gomez, C; Correa, ZM; Liu, A; Milman, T; Eiger-Moscovich, M; Chévez-Barrios, P; Salomao, D; Unberath, M</t>
  </si>
  <si>
    <t>Algorithmic decision support is rapidly becoming a staple of personalized medicine, particularly for high-stakes recommendations such as cancer subtyping in which access to patient-specific information can drastically alter the course of treatment, and thus, patient outcome. To enhance the utility of decision support systems, it is vital to provide not just recommendations, but also contextual information that aids human understanding and improves collaboration between humans and machines. This paper introduces an automated, explainable system designed to assist pathologists with cancer subtyping from digital cytopathology images, incorporating interactive content inspection for quick assessment of cell composition. Adhering to human-centered design principles, our approach draws from a formative study to mirror pathologists' examination processes in the algorithm's design. Our deep learning-based method first analyzes every cell in the cytopathology slide to extract and cluster their appearance, and then uses an interpretable rule set to determine cancer subtypes based on overall cell composition clusters. This method enables verification of cell composition through interactive inspection and offers transparent decision rules, enhancing human-machine collaboration without sacrificing performance compared to traditional "black box" models. The proposed method achieves an accuracy of 87.5 % and 93.1 % for Uveal Melanoma and Cervical Cancer subtyping, respectively, which compares favorably to all competing approaches, including deep "black box" models. Summarizing a user study with pathologists, participants expressed positive feedback about the proposed explainable cancer subtyping pipeline due to its clinically-acceptable high accuracy and support for understandable and reliable explanations. Most importantly, the system's adherence to standard diagnostic procedures was perceived as a strength as it may facilitate integration into clinical practice.</t>
  </si>
  <si>
    <t>Chen, Haomin; Gomez, Catalina; Correa, Zelia M.; Liu, Alvin; Milman, Tatyana; Eiger-Moscovich, Maya; Chevez-Barrios, Patricia; Salomao, Diva; Unberath, Mathias</t>
  </si>
  <si>
    <t>Unberath, M (corresponding author), Johns Hopkins, Dept Comp Sci, Baltimore, MD 21218 USA.; Unberath, M (corresponding author), Johns Hopkins Univ, Wilmer Eye Inst, Sch Med, Baltimore, MD 21218 USA.</t>
  </si>
  <si>
    <t>hchen135@jhu.edu; unberath@jhu.edu</t>
  </si>
  <si>
    <t>[Chen, Haomin; Gomez, Catalina; Unberath, Mathias] Johns Hopkins, Dept Comp Sci, Baltimore, MD 21218 USA; [Correa, Zelia M.] Univ Miami, Sylvester Comprehens Canc Ctr, Miami, FL USA; [Liu, Alvin; Unberath, Mathias] Johns Hopkins Univ, Wilmer Eye Inst, Sch Med, Baltimore, MD 21218 USA; [Milman, Tatyana] Thomas Jefferson Univ, Wills Eye Hosp, Sidney Kimmel Med Coll, Dept Pathol, Philadelphia, PA USA; [Eiger-Moscovich, Maya] Hadassah Med Ctr, Div Ophthalmol, Jerusalem, Israel; [Chevez-Barrios, Patricia] Weill Cornell Med Coll, Dept Pathol &amp; Genom Med, Houston Methodist, Houston, TX USA; [Salomao, Diva] Mayo Fdn Med Educ &amp; Res, Dept Lab Med &amp; Pathol, Minneapolis, MN USA</t>
  </si>
  <si>
    <t>Johns Hopkins University; University of Miami; Johns Hopkins University; Johns Hopkins Medicine; Thomas Jefferson University; Hebrew University of Jerusalem; Hadassah University Hospital; Hadassah University Medical Center; Houston Methodist; Cornell University</t>
  </si>
  <si>
    <t>An interactive and explainable AI approach to improve human-machine teaming in cancer subtyping from digital cytopathology</t>
  </si>
  <si>
    <t>Deep learning; Digital cytopathology; Explainable machine learning</t>
  </si>
  <si>
    <t>DEEP; CLASSIFICATION; SURVIVAL</t>
  </si>
  <si>
    <t>Eiger-Moscovich, Maya/0000-0002-5560-0906; Correa, Zelia/0000-0003-2946-3757; Salomao, Diva/0000-0001-5066-9667; Chen, Haomin/0000-0003-0785-1855; Chevez-Barrios, Patricia/0000-0001-6275-2660</t>
  </si>
  <si>
    <t>103856</t>
  </si>
  <si>
    <t>10.1016/j.media.2025.103856</t>
  </si>
  <si>
    <t>http://dx.doi.org/10.1016/j.media.2025.103856</t>
  </si>
  <si>
    <t>A1901</t>
  </si>
  <si>
    <t>41205246</t>
  </si>
  <si>
    <t>WOS:001619272900002</t>
  </si>
  <si>
    <t>Mohsen, S; Khadragy, S; Alnaim, N; Albehaijan, N; Ibrahim, AF</t>
  </si>
  <si>
    <t>Alzheimer's disease (AD) is a progressive neurodegenerative disorder that requires early and accurate diagnosis to improve patient outcomes. In this paper, an attention-enhanced hybrid deep learning (DL) framework is proposed that combines Convolutional Neural Network (CNN) and Swin Transformer (Swin-T) architectures for multi-class Alzheimer's classification. The proposed model integrates an attention mechanism to enhance feature representation and improve classification performance. Experiments are conducted on a dataset containing three classes: Mild Demented, Very Mild Demented, and Non-Demented. To improve the model's generalization, data augmentation techniques are applied to enhance the model's performance. Additionally, three explainable artificial intelligence (XAI) techniques are employed, including Grad-CAM++, Integrated Gradients, and Saliency maps, to interpret the model's predictions and to provide visual insights into decision-making processes. The proposed attention-enhanced hybrid CNN-Swin-T model achieves a testing accuracy of 99.92% and reaches 99.71%, 99.73%, and 99.72%, for precision, recall, and F1-score, respectively. The hybrid CNN-Swin-T with attention outperforms three implemented models: baseline CNN, standalone Swin-T, and hybrid CNN-Swin-T. The explainability results validate the proposed model's focus on relevant regions, increasing trust in automated diagnosis systems. Finally, a comparative analysis with an ablation study is presented to demonstrate that the integration of the attention mechanism with a hybrid CNN-Swin-T architecture leads to the highest performance and more reliable predictions compared to the other three models.</t>
  </si>
  <si>
    <t>Mohsen, Saeed; Khadragy, Saada; Alnaim, Norah; Albehaijan, Noorah; Ibrahim, Ahmed F.</t>
  </si>
  <si>
    <t>Mohsen, S (corresponding author), Al Madinah Higher Inst Engn &amp; Technol, Dept Elect &amp; Commun Engn, Giza 12947, Egypt.; Mohsen, S (corresponding author), King Salman Int Univ KSIU, Fac Comp Sci &amp; Engn, Dept Artificial Intelligence Engn, South Sinai 46511, Egypt.</t>
  </si>
  <si>
    <t>saidconnections@gmail.com</t>
  </si>
  <si>
    <t>[Mohsen, Saeed] Al Madinah Higher Inst Engn &amp; Technol, Dept Elect &amp; Commun Engn, Giza 12947, Egypt; [Mohsen, Saeed] King Salman Int Univ KSIU, Fac Comp Sci &amp; Engn, Dept Artificial Intelligence Engn, South Sinai 46511, Egypt; [Khadragy, Saada; Ibrahim, Ahmed F.] Umm Al Quwain Univ, Coll Arts &amp; Sci, POB 536, Umm Al Quwain, U Arab Emirates; [Alnaim, Norah; Albehaijan, Noorah] Imam Abdulrahman Bin Faisal Univ, Coll Sci &amp; Humanities Jubail, Dept Comp Sci, Dammam 34212, Saudi Arabia</t>
  </si>
  <si>
    <t>King Salman International University; Imam Abdulrahman Bin Faisal University</t>
  </si>
  <si>
    <t>A Hybrid Architecture of CNN-Swin-T Integrated with Attention Mechanism and Explainable AI for Alzheimer's Disease Classification</t>
  </si>
  <si>
    <t>Alzheimer's disease; deep learning; CNN; swin transformer; attention mechanism; explainable AI; medical image classification; data augmentation</t>
  </si>
  <si>
    <t>TRANSFORMER</t>
  </si>
  <si>
    <t>Mohsen, Saeed/GQH-2016-2022; Norah Alnaim, MIEEE/AAA-6877-2021</t>
  </si>
  <si>
    <t>10.3390/computers15060361</t>
  </si>
  <si>
    <t>http://dx.doi.org/10.3390/computers15060361</t>
  </si>
  <si>
    <t>KA0KJ</t>
  </si>
  <si>
    <t>WOS:001802023700001</t>
  </si>
  <si>
    <t>Arisdakessian, S; Wahab, OA; Mourad, A; Otrok, H; Guizani, M</t>
  </si>
  <si>
    <t>In the past several years, the world has witnessed an acute surge in the production and usage of smart devices which are referred to as the Internet of Things (IoT). These devices interact with each other as well as with their surrounding environments to sense, gather and process data of various kinds. Such devices are now part of our everyday's life and are being actively used in several verticals, such as transportation, healthcare, and smart homes. IoT devices, which usually are resource-constrained, often need to communicate with other devices, such as fog nodes and/or cloud computing servers to accomplish certain tasks that demand large resource requirements. These communications entail unprecedented security vulnerabilities, where malicious parties find in this heterogeneous and multiparty architecture a compelling platform to launch their attacks. In this work, we conduct an in-depth survey on the existing intrusion detection solutions proposed for the IoT ecosystem which includes the IoT devices as well as the communications between the IoT, fog computing, and cloud computing layers. Although some survey articles already exist, the originality of this work stems from the three following points: 1) discuss the security issues of the IoT ecosystem not only from the perspective of IoT devices but also taking into account the communications between the IoT, fog, and cloud computing layers; 2) propose a novel two-level classification scheme that first categorizes the literature based on the approach used to detect attacks and then classify each approach into a set of subtechniques; and 3) propose a comprehensive cybersecurity framework that combines the concepts of explainable artificial intelligence (XAI), federated learning, game theory, and social psychology to offer future IoT systems a strong protection against cyberattacks.</t>
  </si>
  <si>
    <t>Arisdakessian, Sarhad; Wahab, Omar Abdel; Mourad, Azzam; Otrok, Hadi; Guizani, Mohsen</t>
  </si>
  <si>
    <t>Guizani, M (corresponding author), Mohamed Bin Zayed Univ Artificial Intelligence, Dept ML, Abu Dhabi, U Arab Emirates.</t>
  </si>
  <si>
    <t>mguizani@ieee.org; hadi.otrok@ku.ac.ae; omar.abdulwahab@uqo.ca; aris04@uqo.ca; azzam.mourad@lau.edu.lb</t>
  </si>
  <si>
    <t>Natural Sciences and Engineering Research Council of Canada (NSERC) [RGPIN-2020-04707]</t>
  </si>
  <si>
    <t>Natural Sciences and Engineering Research Council of Canada (NSERC) (Natural Sciences and Engineering Research Council of Canada (NSERC))</t>
  </si>
  <si>
    <t>This work was supported by the Natural Sciences and Engineering Research Council of Canada (NSERC) under Grant RGPIN-2020-04707.</t>
  </si>
  <si>
    <t>[Arisdakessian, Sarhad; Wahab, Omar Abdel] Univ Quebec Outaouais, Dept Comp Sci &amp; Engn, Gatineau, PQ J8Y 3G5, Canada; [Mourad, Azzam] Lebanese Amer Univ, Dept Comp Sci &amp; Math, Beirut, Lebanon; [Mourad, Azzam] New York Univ Abu Dhabi, Sci Div, Abu Dhabi, U Arab Emirates; [Otrok, Hadi] Khalifa Univ, Dept EECS, Abu Dhabi, U Arab Emirates; [Guizani, Mohsen] Mohamed Bin Zayed Univ Artificial Intelligence, Dept ML, Abu Dhabi, U Arab Emirates</t>
  </si>
  <si>
    <t>University of Quebec; University Quebec Outaouais; Lebanese American University; New York University; New York University Abu Dhabi; Khalifa University of Science &amp; Technology; Mohamed bin Zayed University of Artificial Intelligence MBZUAI</t>
  </si>
  <si>
    <t>A Survey on IoT Intrusion Detection: Federated Learning, Game Theory, Social Psychology, and Explainable AI as Future Directions</t>
  </si>
  <si>
    <t>Internet of Things; Intrusion detection; Cloud computing; Taxonomy; Collaborative work; Game theory; Edge computing; Cybersecurity; explainable artificial intelligence (XAI); federated learning (FL); game theory; internet of Things (IoT); intrusion detection systems (IDSs)</t>
  </si>
  <si>
    <t>DETECTION SYSTEM; COMPREHENSIVE SURVEY; ANOMALY DETECTION; INTERNET; SECURITY</t>
  </si>
  <si>
    <t>Mourad, Azzam/A-7204-2008; Otrok, Hadi/P-9861-2019; Abdel Wahab, Omar/M-9331-2019; Mohsen, Guizani/D-9103-2018</t>
  </si>
  <si>
    <t>Mourad, Azzam/0000-0001-9434-5322; Otrok, Hadi/0000-0002-9574-5384; Abdel Wahab, Omar/0000-0002-3991-4673</t>
  </si>
  <si>
    <t>143</t>
  </si>
  <si>
    <t>153</t>
  </si>
  <si>
    <t>163</t>
  </si>
  <si>
    <t>MAR 1 2023</t>
  </si>
  <si>
    <t>4059</t>
  </si>
  <si>
    <t>4092</t>
  </si>
  <si>
    <t>10.1109/JIOT.2022.3203249</t>
  </si>
  <si>
    <t>http://dx.doi.org/10.1109/JIOT.2022.3203249</t>
  </si>
  <si>
    <t>D2DN9</t>
  </si>
  <si>
    <t>WOS:000966879600001</t>
  </si>
  <si>
    <t>Mersal, FA; Mersal, NA; Ibrahim, NM; Elgazzar, SE; Alanazi, AM; Alzughaibi, S; Alanazi, EM; Elsayed, EA</t>
  </si>
  <si>
    <t>Background Artificial intelligence (AI) is increasingly embedded in clinical decision-making, making trust in AI-generated recommendations essential for safe and effective healthcare delivery. Nursing students, as future practitioners, are critical stakeholders in this transition; however, their trust in AI within rapidly digitizing educational and clinical contexts in Saudi Arabia remains underexplored, despite national digital health initiatives aligned with Vision 2030.Objective This study examined nursing students' trust in AI-driven clinical recommendations across Saudi universities and investigated how perceived risks, perceived benefits, AI education, and academic progression influence trust development.Methods A multicenter cross-sectional survey was conducted between September and November 2025 across five Saudi nursing institutions (three all-male, one all-female, and one mixed-gender university). A total of 622 undergraduate nursing students completed validated instruments measuring functional and ethical trust, perceived benefits, perceived risks, applicability, and barriers to AI learning. Multiple linear regression and moderation analyses were performed using robust standard errors.Results Although students reported highly positive attitudes toward AI (mean = 3.94/5.00) and strong perceived benefits (mean = 3.98/5.00), overall trust in AI-generated clinical recommendations was low (mean = 2.28/5.00), indicating a trust-optimism paradox. Perceived risks positively predicted trust (beta = 0.136, p = 0.010), suggesting that awareness of AI limitations may enhance confidence. This association was substantially stronger among students with prior AI education, whereas senior students demonstrated a weakened risk-trust relationship (beta interaction = -0.274, p = 0.009), potentially reflecting skepticism shaped by limited clinical AI exposure.Conclusions Nursing students' trust in AI is dynamic and influenced by educational exposure and clinical experience. Transparent, structured AI education integrating technical and ethical dimensions is associated with calibrated trust and support for responsible AI adoption in clinical practice. These findings have direct implications for nursing education policy, suggesting that integrating transparent, evidence-based AI curricula into digital health education frameworks can support workforce readiness and responsible technology adoption aligned with national healthcare transformation initiatives.</t>
  </si>
  <si>
    <t>Mersal, Fathia Ahmed; Mersal, Nahed Ahmed; Ibrahim, Noha Mohammed; Elgazzar, Samia Eaid; Alanazi, Areej Musaad; Alzughaibi, Saleh; Alanazi, Eman M.; Elsayed, Ebtesam A.</t>
  </si>
  <si>
    <t>Mersal, FA (corresponding author), Northern Border Univ, Coll Nursing, Ar Ar, Saudi Arabia.</t>
  </si>
  <si>
    <t>Fathia.hassan@nbu.edu.sa</t>
  </si>
  <si>
    <t>Deanship of Scientific Research at Northern Border University [NBU-FFR-2026-3326-XX]</t>
  </si>
  <si>
    <t>Deanship of Scientific Research at Northern Border University (Northern Border University)</t>
  </si>
  <si>
    <t>The authors disclosed receipt of the following financial support for the research, authorship, and/or publication of this article: This work was supported by the Deanship of Scientific Research at NBU (grant number NBU-FFR-2026-3326-04).</t>
  </si>
  <si>
    <t>[Mersal, Fathia Ahmed] Northern Border Univ, Coll Nursing, Publ Hlth Nursing, Ar Ar, Saudi Arabia; [Mersal, Nahed Ahmed] King Abdulaziz Univ, Coll Nursing, Dept Med Surg Nursing, Jeddah, Saudi Arabia; [Ibrahim, Noha Mohammed] Univ Bisha, Coll Appl Med Sci, Dept Nursing, Bisha, Saudi Arabia; [Elgazzar, Samia Eaid] Qassim Univ, Coll Nursing, Dept Med &amp; Surg, Buraydah, Saudi Arabia; [Alanazi, Areej Musaad] Matern &amp; Children Hosp, Neonatal Intens Care Unit, Minist Hlth, Ar Ar, Saudi Arabia; [Alanazi, Areej Musaad] Northern Border Univ, Coll Nursing, Publ Hlth Nursing Dept, Ar Ar, Saudi Arabia; [Alzughaibi, Saleh; Alanazi, Eman M.] Saudi Elect Univ, Coll Hlth Sci, Hlth Informat Dept, Riyadh, Saudi Arabia; [Elsayed, Ebtesam A.] Saudi Elect Univ, Coll Hlth Sci, Publ Hlth Dept, Riyadh, Saudi Arabia; [Elsayed, Ebtesam A.] Ain Shams Univ, Fac Nursing, Family &amp; Community Hlth Nursing Dept, Cairo, Egypt</t>
  </si>
  <si>
    <t>Northern Border University; King Abdulaziz University; University of Bisha; Qassim University; Northern Border University; Saudi Electronic University; Saudi Electronic University; Egyptian Knowledge Bank (EKB); Ain Shams University</t>
  </si>
  <si>
    <t>Nursing students' trust in artificial intelligence (AI) clinical recommendations: A multicenter cross-sectional study of risk-benefit perceptions across Saudi Arabian universities</t>
  </si>
  <si>
    <t>Nursing students; artificial intelligence; trust in AI; perceived risks; perceived benefits; healthcare technology adoption; nursing education; clinical decision support systems; technology acceptance; AI literacy</t>
  </si>
  <si>
    <t>AUTOMATION; ACCEPTANCE; HEALTH; MODEL; BIAS</t>
  </si>
  <si>
    <t>Ibrahim, Noha/MHR-0013-2025; Elsayed, Ebtesam/HLG-3317-2023; Mersal, Fathia/JXY-0548-2024; Alzughaibi, Saleh/QTT-8715-2026; Mersal, Nahed/AAR-8963-2020</t>
  </si>
  <si>
    <t>Elsayed, Ebtesam/0000-0001-6425-6724; Mersal, Fathia/0000-0002-6450-5097; Mohammed, Noha/0000-0001-8469-7930</t>
  </si>
  <si>
    <t>20552076261429671</t>
  </si>
  <si>
    <t>10.1177/20552076261429671</t>
  </si>
  <si>
    <t>http://dx.doi.org/10.1177/20552076261429671</t>
  </si>
  <si>
    <t>EM2NL</t>
  </si>
  <si>
    <t>41783285</t>
  </si>
  <si>
    <t>WOS:001704427100001</t>
  </si>
  <si>
    <t>Huang, CX; Yi, XM; Li, XF; Chen, YQ; Cai, ZH; Ding, SP</t>
  </si>
  <si>
    <t>Tuberculosis (TB) remains a formidable global health threat, yet rapid and accurate diagnostic biomarkers capturing host immune-metabolic dysregulation remain elusive. Here, we aimed to map the TB immune microenvironment and engineer a reliable, explainable diagnostic signature targeting the macrophage-associated immune-metabolic axis. Utilizing single-cell RNA sequencing (scRNA-seq) as an exploratory discovery tool, we initially dissected the intercellular communication network in TB. We then deployed an exhaustive consensus machine learning framework, comprising 113 algorithm combinations, across multiple transcriptomic cohorts to pinpoint core diagnostic features. The optimal model was interpreted using SHapley Additive exPlanations (SHAP) and prospectively evaluated by enzyme-linked immunosorbent assay (ELISA) in an independent pilot clinical cohort. Furthermore, network pharmacology and molecular docking were leveraged to identify potential small-molecule modulators. scRNA-seq analysis highlighted a myeloid-biased immune reprogramming, wherein activated monocytes act as key inflammatory orchestrators through adhesion and migration signaling. Our large-scale machine learning screening identified an optimal glmBoost + RF ensemble model underpinned by a 6-gene mitochondrial-macrophage signature (IL1B, ATG3, CYBB, MX1, RPS27A, RPS3), achieving consistent diagnostic discrimination (AUC &gt; 0.79) across independent cohorts. Pilot clinical ELISA validation confirmed the systemic elevation of IL1B, ATG3, CYBB, and MX1 proteins in TB patients. Furthermore, computational molecular docking models suggested that the candidate phytochemicals galangin and kaempferol exhibit strong theoretical binding affinities within the catalytic pockets of IL1B and ATG3. We derived and provided preliminary validation for an AI-based, explainable 6-gene signature reflecting monocyte immune-metabolic reprogramming in TB. This signature not only demonstrates translational potential as a triage diagnostic biomarker, but also unveils candidate targets for further experimental investigation for host-directed therapeutics.</t>
  </si>
  <si>
    <t>Huang, Chunxiao; Yi, Xiaomei; Li, Xiangfang; Chen, Yuqian; Cai, Zihan; Ding, Shoupeng</t>
  </si>
  <si>
    <t>Ding, SP (corresponding author), Gutian Cty Hosp, Dept Lab Med, Gutian 352200, Peoples R China.; Cai, ZH (corresponding author), Siyang Hosp, Dept Med Lab, Siyang 223700, Peoples R China.</t>
  </si>
  <si>
    <t>2227839256@qq.com; zihancai001@163.com</t>
  </si>
  <si>
    <t>Natural Science Foundation of Ningde [2024J67]</t>
  </si>
  <si>
    <t>Natural Science Foundation of Ningde</t>
  </si>
  <si>
    <t>This work was supported by Natural Science Foundation of ningde, China(2024J67) and Guiding Science and Technology Plan Project of Suqian City(Z2025063).</t>
  </si>
  <si>
    <t>[Huang, Chunxiao; Chen, Yuqian; Ding, Shoupeng] Gutian Cty Hosp, Dept Lab Med, Gutian 352200, Peoples R China; [Cai, Zihan] Siyang Hosp, Dept Med Lab, Siyang 223700, Peoples R China; [Li, Xiangfang] Peoples Hosp Chuxiong Yi Autonomous Prefecture, Chuxiong 675000, Peoples R China; [Yi, Xiaomei] Ninghua Cty Gen Hosp, Dept Lab Med, Sanming, Fujian, Peoples R China</t>
  </si>
  <si>
    <t>Integrative single-cell profiling and explainable AI identify monocyte-metabolic signatures as diagnostic biomarkers and candidate therapeutic targets in tuberculosis</t>
  </si>
  <si>
    <t>ARCHIVES OF MICROBIOLOGY</t>
  </si>
  <si>
    <t>Tuberculosis; Machine learning; Macrophage immune-metabolic response; Host-directed therapy; Diagnostic biomarkers</t>
  </si>
  <si>
    <t>MYCOBACTERIUM-TUBERCULOSIS; MACROPHAGE</t>
  </si>
  <si>
    <t>0302-8933</t>
  </si>
  <si>
    <t>1432-072X</t>
  </si>
  <si>
    <t>ARCH MICROBIOL</t>
  </si>
  <si>
    <t>Arch. Microbiol.</t>
  </si>
  <si>
    <t>JUN 22 2026</t>
  </si>
  <si>
    <t>208</t>
  </si>
  <si>
    <t>450</t>
  </si>
  <si>
    <t>10.1007/s00203-026-05005-2</t>
  </si>
  <si>
    <t>http://dx.doi.org/10.1007/s00203-026-05005-2</t>
  </si>
  <si>
    <t>Microbiology</t>
  </si>
  <si>
    <t>JW9QI</t>
  </si>
  <si>
    <t>42329418</t>
  </si>
  <si>
    <t>WOS:001799940700005</t>
  </si>
  <si>
    <t>Tuteja, P; Wani, MA; Wani, NA; Bedi, J</t>
  </si>
  <si>
    <t>The identification and categorization of brain tumors from magnetic resonance imaging (MRI) scans pose a significant challenge in neuro-oncology, where prompt and precise diagnosis is crucial for enhancing patient survival and informing treatment approaches. Recent advancements in deep learning have markedly improved the precision and efficacy of automated tumor diagnosis; nonetheless, several cutting-edge models function as "black boxes" offering little transparency in their decision-making mechanisms. The absence of interpretability limits their use in therapeutic environments where confidence, elucidation, and regulatory adherence are essential. There is an increasing need for intelligent systems that attain high diagnostic precision while offering interpretable insights to facilitate clinical decision-making. This paper presents an innovative explainable artificial intelligence framework that incorporates a stacked ensemble deep learning architecture for the classification and segmentation of brain tumors, aiming to bridge the performance-interpretability gap. The proposed approach integrates three complimentary convolutional neural networks-DenseNet121, VGG16, and MobileNetV2-each meticulously fine-tuned on a curated MRI dataset including glioma, meningioma, pituitary tumors, and healthy controls to exploit varied feature extraction capabilities. A logistic regression meta-model consolidates the predictions of various basis classifiers, enhancing generalization, robustness, and transparency. The Local Interpretable Model-agnostic Explanations approach produces case-specific visual explanations that emphasize the picture areas affecting classification results, hence improving interpretability. Analysis of over 7000 MRI images indicates that the suggested framework attains around 99% accuracy, exhibiting good precision, recall, and F1-score across tumor classifications. ROC and precision-recall evaluations validate robust discriminative performance and dependability, underscoring its potential for elucidative clinical decision assistance.</t>
  </si>
  <si>
    <t>Tuteja, Pirishita; Wani, Muzafar Ahmad; Wani, Niyaz Ahmad; Bedi, Jatin</t>
  </si>
  <si>
    <t>Wani, NA (corresponding author), Manipal Univ Jaipur, Dept Comp Applicat, Jaipur 303007, Rajasthan, India.</t>
  </si>
  <si>
    <t>muzafarwan@cse.iitk.ac.in; neyaz32@gmail.com; jatin.bedi@thapar.edu; pirishita@s.amity.edu</t>
  </si>
  <si>
    <t>[Tuteja, Pirishita] Amity Univ Punjab, Amity Sch Engn &amp; Technol, Mohali, India; [Wani, Muzafar Ahmad] Indian Inst Technol Kanpur, Dept Comp Sci &amp; Engn, Kanpur, India; [Wani, Niyaz Ahmad] Manipal Univ Jaipur, Dept Comp Applicat, Jaipur 303007, Rajasthan, India; [Bedi, Jatin] Thapar Inst Engn &amp; Technol, Dept Comp Sci &amp; Engn, Patiala, Punjab, India</t>
  </si>
  <si>
    <t>Indian Institute of Technology System (IIT System); Indian Institute of Technology (IIT) - Kanpur; Manipal University Jaipur; Thapar Institute of Engineering &amp; Technology</t>
  </si>
  <si>
    <t>EASE-Net: An Explainable AI-Based Segmentation and Ensemble Network for Interpretable Brain Tumor Diagnosis and Classification in MRI Images</t>
  </si>
  <si>
    <t>ARABIAN JOURNAL FOR SCIENCE AND ENGINEERING</t>
  </si>
  <si>
    <t>Brain tumor; Explainable AI; LIME; Ensemble approach</t>
  </si>
  <si>
    <t>Bedi, Jatin/IUO-3257-2023; Wani, Niyaz/ABI-4499-2022</t>
  </si>
  <si>
    <t>2193-567X</t>
  </si>
  <si>
    <t>2191-4281</t>
  </si>
  <si>
    <t>ARAB J SCI ENG</t>
  </si>
  <si>
    <t>Arab. J. Sci. Eng.</t>
  </si>
  <si>
    <t>10.1007/s13369-026-11350-7</t>
  </si>
  <si>
    <t>http://dx.doi.org/10.1007/s13369-026-11350-7</t>
  </si>
  <si>
    <t>HT9CA</t>
  </si>
  <si>
    <t>WOS:001762590400001</t>
  </si>
  <si>
    <t>Dentamaro, V; Impedovo, D; Musti, L; Pirlo, G; Taurisano, P</t>
  </si>
  <si>
    <t>Parkinson's is the second most common neurodegenerative disease, affecting nearly 8.5M people and steadily increasing. In this research, Multimodal Deep Learning is investigated for the Prodromal stage detection of Parkinson's Disease (PD), combining different 3D architectures with the novel Excitation Network (EN) and supported by Explainable Artificial Intelligence (XAI) techniques. Utilizing data from the Parkinson's Progression Markers Initiative, this study introduces a joint co-learning approach for multimodal fusion, enabling end-to-end training of deep neural networks and facilitating the learning of complementary information from both imaging and clinical modalities. DenseNet with EN outperformed other models, showing a substantial increase in accuracy when supplemented with clinical data. XAI methods, such as Integrated Gradients for ResNet and DenseNet, and Attention Heatmaps for Vision Transformer (ViT), revealed that DenseNet focused on brain regions believed to be critical to prodromal pathophysiology, including the right temporal and left pre-frontal areas. Similarly, ViT highlighted the lateral ventricles associated with cognitive decline, indicating their potential in the Prodromal stage. These findings underscore the potential of these regions as early-stage PD biomarkers and showcase the proposed framework's efficacy in predicting subtypes of PD and aiding in early diagnosis, paving the way for innovative diagnostic tools and precision medicine.</t>
  </si>
  <si>
    <t>Dentamaro, Vincenzo; Impedovo, Donato; Musti, Luca; Pirlo, Giuseppe; Taurisano, Paolo</t>
  </si>
  <si>
    <t>Dentamaro, V (corresponding author), Univ Bari Aldo Moro, Dipartimento Informat, I-70125 Bari, Italy.</t>
  </si>
  <si>
    <t>vincenzo.dentamaro@uniba.it</t>
  </si>
  <si>
    <t>DARE - DigitAl lifelong pRevEntion [D.D. 931, 06/06/2022, PNC0000002, CUP B53C22006420001]; Complementary National Plan PNC-I.1 "Research initiatives for innovative technologies and pathways in the health and welfare sector"</t>
  </si>
  <si>
    <t>DARE - DigitAl lifelong pRevEntion; Complementary National Plan PNC-I.1 "Research initiatives for innovative technologies and pathways in the health and welfare sector"</t>
  </si>
  <si>
    <t>This research was co-funded by the Complementary National Plan PNC-I.1 "Research initiatives for innovative technologies and pathways in the health and welfare sector" D.D. 931 of 06/06/2022, DARE-DigitAl lifelong pRevEntion initiative, code PNC0000002, CUP B53C22006420001.</t>
  </si>
  <si>
    <t>[Dentamaro, Vincenzo; Impedovo, Donato; Musti, Luca; Pirlo, Giuseppe] Univ Bari Aldo Moro, Dipartimento Informat, I-70125 Bari, Italy; [Taurisano, Paolo] Univ Bari Aldo Moro, Dipartimento Biomed Traslaz &amp; Neurosci DiBraiN, Bari, Italy</t>
  </si>
  <si>
    <t>Universita degli Studi di Bari Aldo Moro; Universita degli Studi di Bari Aldo Moro</t>
  </si>
  <si>
    <t>Enhancing early Parkinson's disease detection through multimodal deep learning and explainable AI: insights from the PPMI database</t>
  </si>
  <si>
    <t>COGNITIVE IMPAIRMENT; DIAGNOSIS; FEATURES; RISK</t>
  </si>
  <si>
    <t>Taurisano, Paolo/U-1828-2017; Dentamaro, Vincenzo/HLP-9943-2023; Pirlo, Giuseppe/I-1967-2012; Musti, Luca/KJL-4546-2024; Impedovo, Donato/S-5864-2019</t>
  </si>
  <si>
    <t>Taurisano, Paolo/0000-0001-6140-9326; Dentamaro, Vincenzo/0000-0003-1148-332X; Musti, Luca/0009-0008-8337-1275</t>
  </si>
  <si>
    <t>SEP 9 2024</t>
  </si>
  <si>
    <t>20941</t>
  </si>
  <si>
    <t>10.1038/s41598-024-70165-4</t>
  </si>
  <si>
    <t>http://dx.doi.org/10.1038/s41598-024-70165-4</t>
  </si>
  <si>
    <t>J1B8M</t>
  </si>
  <si>
    <t>39251639</t>
  </si>
  <si>
    <t>WOS:001334500800020</t>
  </si>
  <si>
    <t>Ebrahimi, A; Henriksen, MBH; Brasen, CL; Hilberg, O; Hansen, TF; Jensen, LH; Peimankar, A; Wiil, UK</t>
  </si>
  <si>
    <t>Background Smoking is a critical risk factor responsible for over eight million annual deaths worldwide. It is essential to obtain information on smoking habits to advance research and implement preventive measures such as screening of high-risk individuals. In most countries, including Denmark, smoking habits are not systematically recorded and at best documented within unstructured free-text segments of electronic health records (EHRs). This would require researchers and clinicians to manually navigate through extensive amounts of unstructured data, which is one of the main reasons that smoking habits are rarely integrated into larger studies. Our aim is to develop machine learning models to classify patients' smoking status from their EHRs.Methods This study proposes an efficient natural language processing (NLP) pipeline capable of classifying patients' smoking status and providing explanations for the decisions. The proposed NLP pipeline comprises four distinct components, which are; (1) considering preprocessing techniques to address abbreviations, punctuation, and other textual irregularities, (2) four cutting-edge feature extraction techniques, i.e. Embedding, BERT, Word2Vec, and Count Vectorizer, employed to extract the optimal features, (3) utilization of a Stacking-based Ensemble (SE) model and a Convolutional Long Short-Term Memory Neural Network (CNN-LSTM) for the identification of smoking status, and (4) application of a local interpretable model-agnostic explanation to explain the decisions rendered by the detection models. The EHRs of 23,132 patients with suspected lung cancer were collected from the Region of Southern Denmark during the period 1/1/2009-31/12/2018. A medical professional annotated the data into 'Smoker' and 'Non-Smoker' with further classifications as 'Active-Smoker', 'Former-Smoker', and 'Never-Smoker'. Subsequently, the annotated dataset was used for the development of binary and multiclass classification models. An extensive comparison was conducted of the detection performance across various model architectures.Results The results of experimental validation confirm the consistency among the models. However, for binary classification, BERT method with CNN-LSTM architecture outperformed other models by achieving precision, recall, and F1-scores between 97% and 99% for both Never-Smokers and Active-Smokers. In multiclass classification, the Embedding technique with CNN-LSTM architecture yielded the most favorable results in class-specific evaluations, with equal performance measures of 97% for Never-Smoker and measures in the range of 86 to 89% for Active-Smoker and 91-92% for Never-Smoker.Conclusion Our proposed NLP pipeline achieved a high level of classification performance. In addition, we presented the explanation of the decision made by the best performing detection model. Future work will expand the model's capabilities to analyze longer notes and a broader range of categories to maximize its utility in further research and screening applications.</t>
  </si>
  <si>
    <t>Ebrahimi, Ali; Henriksen, Margrethe Bang Hostgaard; Brasen, Claus Lohman; Hilberg, Ole; Hansen, Torben Frostrup; Jensen, Lars Henrik; Peimankar, Abdolrahman; Wiil, Uffe Kock</t>
  </si>
  <si>
    <t>Ebrahimi, A (corresponding author), Univ Southern Denmark, Maersk Mc Kinney Moller Inst, SDU Hlth Informat &amp; Technol, DK-5230 Odense, Denmark.</t>
  </si>
  <si>
    <t>The authors would like to thank Karin Larsen, Research secretary, The Department of Oncology, Lillebaelt Hospital, University Hospital of Southern Denmark, for helping in proofreading the manuscript.</t>
  </si>
  <si>
    <t>[Ebrahimi, Ali; Peimankar, Abdolrahman; Wiil, Uffe Kock] Univ Southern Denmark, Maersk Mc Kinney Moller Inst, SDU Hlth Informat &amp; Technol, DK-5230 Odense, Denmark; [Henriksen, Margrethe Bang Hostgaard; Hansen, Torben Frostrup; Jensen, Lars Henrik] Univ Hosp Southern Denmark, Lillebaelt Hosp, Dept Oncol, DK-7100 Vejle, Denmark; [Brasen, Claus Lohman] Univ Hosp Southern Denmark, Lillebaelt Hosp, Dept Biochem &amp; Immunol, DK-7100 Vejle, Denmark; [Brasen, Claus Lohman; Hilberg, Ole; Hansen, Torben Frostrup] Univ Southern Denmark, Inst Reg Hlth Res, Odense, Denmark; [Hilberg, Ole] Univ Hosp Southern Denmark, Lillebaelt Hosp, Dept Internal Med, Vejle, Denmark</t>
  </si>
  <si>
    <t>University of Southern Denmark; University of Southern Denmark; Lillebaelt Hospital; University of Southern Denmark; Lillebaelt Hospital; University of Southern Denmark; University of Southern Denmark; Lillebaelt Hospital</t>
  </si>
  <si>
    <t>Identification of patients' smoking status using an explainable AI approach: a Danish electronic health records case study</t>
  </si>
  <si>
    <t>BMC MEDICAL RESEARCH METHODOLOGY</t>
  </si>
  <si>
    <t>Natural language processing; Text classification; Stacking-based ensemble; Deep learning; CNN; LSTM; Explainable Artificial Intelligence (XAI); Electronic health record; Smoking status</t>
  </si>
  <si>
    <t>Ebrahimi, Ali/O-9627-2018; Jensen, Lars Henrik/P-6252-2018; Peimankar, Abdolrahman/J-8182-2019; Brasen, Claus Lohman/ABG-9421-2021; Wiil, Uffe K/P-4226-2018</t>
  </si>
  <si>
    <t>Høstgaard Bang Henriksen, Margrethe/0000-0002-1245-8874; Ebrahimi, Ali/0000-0002-3332-6205; Jensen, Lars Henrik/0000-0002-0020-1537; Peimankar, Abdolrahman/0000-0002-3180-4365; Brasen, Claus Lohman/0000-0001-8654-2449; Hansen, Torben/0000-0001-7476-671X; Wiil, Uffe K/0000-0001-6898-4083</t>
  </si>
  <si>
    <t>1471-2288</t>
  </si>
  <si>
    <t>BMC MED RES METHODOL</t>
  </si>
  <si>
    <t>BMC Med. Res. Methodol.</t>
  </si>
  <si>
    <t>MAY 17 2024</t>
  </si>
  <si>
    <t>10.1186/s12874-024-02231-4</t>
  </si>
  <si>
    <t>http://dx.doi.org/10.1186/s12874-024-02231-4</t>
  </si>
  <si>
    <t>RI5F0</t>
  </si>
  <si>
    <t>38760718</t>
  </si>
  <si>
    <t>WOS:001227040500001</t>
  </si>
  <si>
    <t>Ayoob, M; Nettasinghe, O; Sylvester, V; Bowala, H; Mohideen, H</t>
  </si>
  <si>
    <t>Accurate and interpretable segmentation of medical images is crucial for computer-aided diagnosis and image-guided interventions. This study explores the integration of semantic segmentation and explainable AI techniques on the MnMs-2 Cardiac MRI dataset. We propose a segmentation model that achieves competitive dice scores (nearly 90 %) and Hausdorff distance (less than 70), demonstrating its effectiveness for cardiac MRI analysis. Furthermore, we leverage Grad-CAM, and Feature Ablation, explainable AI techniques, to visualise the regions of interest guiding the model predictions for a target class. This integration enhances interpretability, allowing us to gain insights into the model decision-making process and build trust in its predictions.</t>
  </si>
  <si>
    <t>Ayoob, Mohamed; Nettasinghe, Oshan; Sylvester, Vithushan; Bowala, Helmini; Mohideen, Hamdaan</t>
  </si>
  <si>
    <t>Ayoob, M (corresponding author), Informat Inst Technol, Colombo, Sri Lanka.</t>
  </si>
  <si>
    <t>hamdaan.20200977@iit.ac.lk; oshan.20191052@iit.ac.lk; ayoob.m@iit.ac.lk; helmini.2019948@iit.ac.lk; vithushan.2019830@iit.ac.lk</t>
  </si>
  <si>
    <t>[Ayoob, Mohamed; Nettasinghe, Oshan; Sylvester, Vithushan; Bowala, Helmini; Mohideen, Hamdaan] Informat Inst Technol, Colombo, Sri Lanka</t>
  </si>
  <si>
    <t>Peering into the Heart: A Comprehensive Exploration of Semantic Segmentation and Explainable AI on the MnMs-2 Cardiac MRI Dataset</t>
  </si>
  <si>
    <t>APPLIED COMPUTER SYSTEMS</t>
  </si>
  <si>
    <t>Cardiac magnetic resonance imaging (CMRI) semantic segmentation; explainable AI (XAI); residual blocks; vision transformer (ViT)</t>
  </si>
  <si>
    <t>Bowala, Helmini/0009-0004-4468-902X; Ayoob, Mohamed/0000-0003-3585-4383; Nettasinghe, Oshan/0009-0000-9093-1914; sylvester, vithushan/0009-0006-5289-8176; Mohideen, Haaan/0009-0003-3465-0976</t>
  </si>
  <si>
    <t>Paradigm Publishing Services-De Gruyter Brill Sp Zoo</t>
  </si>
  <si>
    <t>Warsaw</t>
  </si>
  <si>
    <t>ul Nowogrodzka 4/3, Warsaw, POLAND</t>
  </si>
  <si>
    <t>2255-8683</t>
  </si>
  <si>
    <t>2255-8691</t>
  </si>
  <si>
    <t>APPL COMPUT SYST</t>
  </si>
  <si>
    <t>Appl. Comput. Syst.</t>
  </si>
  <si>
    <t>JAN 1 2025</t>
  </si>
  <si>
    <t>10.2478/acss-2025-0002</t>
  </si>
  <si>
    <t>http://dx.doi.org/10.2478/acss-2025-0002</t>
  </si>
  <si>
    <t>S8U0M</t>
  </si>
  <si>
    <t>WOS:001400893000001</t>
  </si>
  <si>
    <t>Anttila, A; Nuutinen, M; Leskelä, RL; Van Gils, M; Sauni, R</t>
  </si>
  <si>
    <t>Objective To identify and explore variable groups and individual predictors of long sickness absences outside of well-known predictors such as service use and previous sickness absence using machine learning, explainable artificial intelligence methods and a submodel approach.Design Retrospective study of prospectively collected registry data on sickness absences and a questionnaire used in health examinations.Setting Electronic medical record data of one large occupational health service provider in Finland.Participants 11 533 employees of various occupations who, between 2011 and 2019, had at least once completed a health questionnaire that could be linked to service usage data and who had not had their initial health check within 1 year before or 3 months after completing the questionnaire.Primary outcome measures To identify predictors of at least one long sickness absence period (&gt;= 30 days) during a 2-year follow-up.Results The highest area under the receiver operating characteristic curve (AUROC) values among the submodel groups were for the sickness absence and service use submodels (0.68-0.74). The AUROC values for the submodels of sociodemographic factors, health habits or diseases data category ranged from 0.55 to 0.67 and from 0.55 to 0.67 for the submodels of questionnaire data. The AUROC value of the ensemble model that combined all submodels was 0.79 (95% CI 0.788 to 0.794). The most important factors predicting long sickness absences based on the submodels were reported pain, number of symptoms and diseases, body mass index and short sleep duration. Additionally, several work and mental health-related variables increased the risk of long sickness absence.Results The highest area under the receiver operating characteristic curve (AUROC) values among the submodel groups were for the sickness absence and service use submodels (0.68-0.74). The AUROC values for the submodels of sociodemographic factors, health habits or diseases data category ranged from 0.55 to 0.67 and from 0.55 to 0.67 for the submodels of questionnaire data. The AUROC value of the ensemble model that combined all submodels was 0.79 (95% CI 0.788 to 0.794). The most important factors predicting long sickness absences based on the submodels were reported pain, number of symptoms and diseases, body mass index and short sleep duration. Additionally, several work and mental health-related variables increased the risk of long sickness absence.Conclusions Other variables besides service use and sickness absence increase the accuracy in predicting long sickness absence and providing information for planning interventions that could have a beneficial impact on work disability risk.</t>
  </si>
  <si>
    <t>Anttila, Anniina; Nuutinen, Mikko; Leskela, Riikka-Leena; Van Gils, Mark; Sauni, Riitta</t>
  </si>
  <si>
    <t>Anttila, A (corresponding author), Tampere Univ, Fac Med &amp; Hlth Technol, Tampere, Finland.</t>
  </si>
  <si>
    <t>anniina.anttila@finla.fi; mark.vangils@tuni.fi; riitta.sauni@tuni.fi; mikko.nuutinen@nhg.fi; riikka-leena.leskela@nhg.fi</t>
  </si>
  <si>
    <t>Finnish Work Environment Fund [220127]</t>
  </si>
  <si>
    <t>Finnish Work Environment Fund</t>
  </si>
  <si>
    <t>This study was funded by the Finnish Work Environment Fund (project no: 220127).</t>
  </si>
  <si>
    <t>[Anttila, Anniina; Van Gils, Mark; Sauni, Riitta] Tampere Univ, Fac Med &amp; Hlth Technol, Tampere, Finland; [Nuutinen, Mikko; Leskela, Riikka-Leena] Nord Healthcare Grp Oy, Helsinki, Finland</t>
  </si>
  <si>
    <t>Tampere University</t>
  </si>
  <si>
    <t>Identifying risk factors of long sickness absences: a registry-based study using explainable AI methods</t>
  </si>
  <si>
    <t>BMJ OPEN</t>
  </si>
  <si>
    <t>Artificial Intelligence; Occupational Health Services; PREVENTIVE MEDICINE</t>
  </si>
  <si>
    <t>HEALTH INTERVENTION PROGRAM; PREDICTION MODELS; WORKERS; VALIDATION</t>
  </si>
  <si>
    <t>Leskelä, Riikka-Leena/JDM-9630-2023</t>
  </si>
  <si>
    <t>Anttila, Anniina/0009-0006-5234-0332; Sauni, Riitta/0000-0002-9808-3638; Leskelä, Riikka-Leena/0000-0002-9255-2958; van Gils, Mark/0000-0002-0029-1771</t>
  </si>
  <si>
    <t>2044-6055</t>
  </si>
  <si>
    <t>BMJ Open</t>
  </si>
  <si>
    <t>NOV 3 2025</t>
  </si>
  <si>
    <t>e101921</t>
  </si>
  <si>
    <t>10.1136/bmjopen-2025-101921</t>
  </si>
  <si>
    <t>http://dx.doi.org/10.1136/bmjopen-2025-101921</t>
  </si>
  <si>
    <t>9LT9H</t>
  </si>
  <si>
    <t>41248362</t>
  </si>
  <si>
    <t>WOS:001609397100001</t>
  </si>
  <si>
    <t>Hameed, S; Nauman, M; Akhtar, N; Fayyaz, MAB; Nawaz, R</t>
  </si>
  <si>
    <t>Introduction Mental disorders are highly prevalent in modern society, leading to substantial personal and societal burdens. Among these, depression is one of the most common, often exacerbated by socioeconomic, clinical, and individual risk factors. With the rise of social media, user-generated content offers valuable opportunities for the early detection of mental disorders through computational approaches.Methods This study explores the early detection of depression using black-box machine learning (ML) models, including Support Vector Machines (SVM), Random Forests (RF), Extreme Gradient Boosting (XGB), and Artificial Neural Networks (ANN). Advanced Natural Language Processing (NLP) techniques TF-IDF, Latent Dirichlet Allocation (LDA), N-grams, Bag of Words (BoW), and GloVe embeddings were employed to extract linguistic and semantic features. To address the interpretability limitations of black-box models, Explainable AI (XAI) methods were integrated, specifically the Local Interpretable Model-Agnostic Explanations (LIME).Results Experimental findings demonstrate that SVM achieved the highest accuracy in detecting depression from social media data, outperforming RF and other models. The application of LIME enabled granular insights into model predictions, highlighting linguistic markers strongly aligned with established psychological research.Discussion Unlike most prior studies that focus primarily on classification accuracy, this work emphasizes both predictive performance and interpretability. The integration of LIME not only enhanced transparency and interpretability but also improved the potential clinical trustworthiness of ML-based depression detection models.</t>
  </si>
  <si>
    <t>Hameed, Sidra; Nauman, Muhammad; Akhtar, Nadeem; Fayyaz, Muhammad A. B.; Nawaz, Raheel</t>
  </si>
  <si>
    <t>Fayyaz, MAB (corresponding author), Manchester Metropolitan Univ, OTEHM, Manchester, England.</t>
  </si>
  <si>
    <t>m.fayyaz@mmu.ac.uk</t>
  </si>
  <si>
    <t>[Hameed, Sidra; Nauman, Muhammad] Islamia Univ Bahawalpur, Fac Comp, Bahawalpur, Punjab, Pakistan; [Akhtar, Nadeem] Univ Punjab, Dept Informat Technol, FCIT, Lahore, Pakistan; [Fayyaz, Muhammad A. B.] Manchester Metropolitan Univ, OTEHM, Manchester, England; [Nawaz, Raheel] Pro VC Staffordshire Univ, Stoke On Trent, Staffs, England</t>
  </si>
  <si>
    <t>Islamia University of Bahawalpur; University of Punjab; Manchester Metropolitan University</t>
  </si>
  <si>
    <t>Explainable AI-driven depression detection from social media using natural language processing and black box machine learning models</t>
  </si>
  <si>
    <t>mental illness detection; natural language processing; machine learning; explainable artificial intelligence; Local Interpretable Model-Agnostic Explanations (LIME)</t>
  </si>
  <si>
    <t>ARTIFICIAL-INTELLIGENCE; MENTAL-ILLNESS</t>
  </si>
  <si>
    <t>Nauman, Muhammad/AAY-9613-2021; Nawaz, Raheel/AAX-5293-2021</t>
  </si>
  <si>
    <t>Fayyaz, Muhammad A B/0000-0002-1794-3000; Akhtar, Nadeem/0000-0003-2475-5590; Hameed, Sidra/0009-0002-3975-8778</t>
  </si>
  <si>
    <t>111</t>
  </si>
  <si>
    <t>SEP 11 2025</t>
  </si>
  <si>
    <t>1627078</t>
  </si>
  <si>
    <t>10.3389/frai.2025.1627078</t>
  </si>
  <si>
    <t>http://dx.doi.org/10.3389/frai.2025.1627078</t>
  </si>
  <si>
    <t>7RY0T</t>
  </si>
  <si>
    <t>41018736</t>
  </si>
  <si>
    <t>WOS:001578227800001</t>
  </si>
  <si>
    <t>Alsharaiah, MA; Almaiah, MA; Shehab, R; Obeidat, M; El-Qirem, FA; Aldhyani, T</t>
  </si>
  <si>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</si>
  <si>
    <t>Alsharaiah, Mohammad A.; Almaiah, Mohammed Amin; Shehab, Rami; Obeidat, Mansour; El-Qirem, Fuad Ali; Aldhyani, Theyazn</t>
  </si>
  <si>
    <t>Almaiah, MA (corresponding author), Univ Jordan, King Abdullah Sch Informat Technol 2, Amman, Jordan.; Shehab, R (corresponding author), King Faisal Univ, Vice Presidency Postgrad Studies &amp; Sci Res, Al Hasa 31982, Saudi Arabia.</t>
  </si>
  <si>
    <t>M.ALsharaiah@ju.edu.jo; Rtshehab@kfu.edu.sa; beautywings-1994@hotmail.com; m_almaiah@ju.edu.jo; taldhyani@kfu.edu.sa; mobaydat@kfu.edu.sa</t>
  </si>
  <si>
    <t>Deanship of Scientific Research, Vice Presidency for Graduate Studies and Scientific Research, King Faisal University, Saudi Arabia [KFU251782]</t>
  </si>
  <si>
    <t>This work was supported by the Deanship of Scientific Research, Vice Presidency for Graduate Studies and Scientific Research, King Faisal University, Saudi Arabia (Grant No. KFU251782).</t>
  </si>
  <si>
    <t>[Alsharaiah, Mohammad A.; Almaiah, Mohammed Amin] Univ Jordan, King Abdullah Sch Informat Technol 2, Amman, Jordan; [Shehab, Rami] King Faisal Univ, Vice Presidency Postgrad Studies &amp; Sci Res, Al Hasa 31982, Saudi Arabia; [Obeidat, Mansour; Aldhyani, Theyazn] King Faisal Univ, Appl Coll, Al Hasa, Saudi Arabia; [El-Qirem, Fuad Ali] Al Zaytoonah Univ Jordan, Fac Architecture &amp; Design, Amman 11733, Jordan</t>
  </si>
  <si>
    <t>University of Jordan; King Faisal University; King Faisal University; Al-Zaytoonah University of Jordan</t>
  </si>
  <si>
    <t>An explainable AI-driven transformer model for spoofing attack detection in Internet of Medical Things (IoMT) networks</t>
  </si>
  <si>
    <t>Explainable AI; Transformer model; Spoofing; Classification; Attack</t>
  </si>
  <si>
    <t>INTRUSION DETECTION SYSTEMS</t>
  </si>
  <si>
    <t>Almaayah, Mohammed/Q-9742-2019; Obeidat, Mansour/PUE-4040-2026; Alsharaiah, Mohammad/GSD-3335-2022; aldhyani, Theyazn/AEQ-0194-2022</t>
  </si>
  <si>
    <t>ALIAS SAARA, MUMEENA/0009-0008-1376-038X; Shehab, Rami/0009-0007-4262-921X; Alsharaiah, Mohammad A/0009-0003-1372-8009; , Mansour/0009-0002-1649-5573</t>
  </si>
  <si>
    <t>MAY 13 2025</t>
  </si>
  <si>
    <t>488</t>
  </si>
  <si>
    <t>10.1007/s42452-025-07071-5</t>
  </si>
  <si>
    <t>http://dx.doi.org/10.1007/s42452-025-07071-5</t>
  </si>
  <si>
    <t>2OG6L</t>
  </si>
  <si>
    <t>WOS:001487375600003</t>
  </si>
  <si>
    <t>Simsek, MU</t>
  </si>
  <si>
    <t>Half of individuals with neurofibromatosis (NF) inherit the disorder from an affected parent, while the remaining cases arise from sporadic. Neurofibromatosis data is generally tabular that ML algorithms have shown successful results on tabular data. However, insufficient data is a significant factor affecting performance. There is an also another limitations as clinical interpretability-an essential requirement for trust, transparency, and ethical use in medical decision making. Therefore, the proposed frameworks bridges data augmentation, ML interpretability with natural language explanation. Extreme Gradient Boosting (XGBoost) emerges as the best-performing model, achieving approximately 0.80 accuracy and 0.80 F-score, substantially improving upon previously reported results on the same dataset. The integration of Explainable Artificial Intelligence (XAI) techniques such as SHAP (SHapley Additive exPlanations), LIME (Local Interpretable Model-agnostic Explanations), and PFI (Permutation Feature Importance) becomes crucial for uncovering the underlying relationships between genetic, phenotypic, and demographic features. Furthermore, integrating Large Language Models (LLMs) enables the automatic interpretation and textual summarization of XAI outputs, translating complex importance maps and feature interactions into human-readable clinical insights. These XAI artefacts are translated into concise clinical narratives by the Phi-3-mini LLM, and the resulting explanations are quantitatively assessed with global/local faithfulness, hallucination rate, and feature- and text-level consistency metrics, demonstrating high alignment between narrative and XAI evidence after prompt optimization. Consequently, the proposed framework delivers a transparent and auditable decision-support pipeline for health dataset and offers a reusable template for integrating XAI and LLM-based explanation in rare-disease tabular modeling. This hybrid framework bridges the gap between computational reasoning and medical understanding. This framework give us to knowledge-driven decision support system for NF diagnosis and risk assessment. The proposed approach not only improves model explainability but also promotes trustworthy AI practices in rare genetic disease research.</t>
  </si>
  <si>
    <t>Simsek, Mehmet Ulvi</t>
  </si>
  <si>
    <t>Simsek, MU (corresponding author), Ankara Yildirim Beyazit Univ, Dept Software Engn, TR-06010 Ankara, Turkiye.</t>
  </si>
  <si>
    <t>mehmetulvisimsek@aybu.edu.tr</t>
  </si>
  <si>
    <t>[Simsek, Mehmet Ulvi] Ankara Yildirim Beyazit Univ, Dept Software Engn, TR-06010 Ankara, Turkiye</t>
  </si>
  <si>
    <t>Ankara Yildirim Beyazit University</t>
  </si>
  <si>
    <t>LLM-Based XAI Framework for Neurofibromatosis Classification</t>
  </si>
  <si>
    <t>Feeds; Filtering; Circuits; Feedback; Filters; MIMICs; Millimeter wave integrated circuits; Monolithic integrated circuits; LoRa; Communication systems; XAI; LLM; machine learning; AI</t>
  </si>
  <si>
    <t>ARTIFICIAL-INTELLIGENCE; NETWORKS; MODELS; TYPE-1</t>
  </si>
  <si>
    <t>Simsek, Mehmet/LZG-0773-2025</t>
  </si>
  <si>
    <t>66004</t>
  </si>
  <si>
    <t>66020</t>
  </si>
  <si>
    <t>10.1109/ACCESS.2026.3688620</t>
  </si>
  <si>
    <t>http://dx.doi.org/10.1109/ACCESS.2026.3688620</t>
  </si>
  <si>
    <t>HN2KQ</t>
  </si>
  <si>
    <t>WOS:001758066600010</t>
  </si>
  <si>
    <t>Park, KM; Pattnaik, S; Liew, N; Kundu, T; Kures, AO; Pinsky, E</t>
  </si>
  <si>
    <t>Highlights What are the main findings? Gradient boosting achieved the highest accuracy in pricing prediction ( = 0.7610), while ARIMA delivered the lowest demand-forecasting RMSE (0.0758) and LSTM provided the strongest neural network performance for volatile demand swings. The novel PCA-K-Means vendor segmentation identified three performance clusters: high-performing, cost-efficient, and mixed vendors, enabling strategic supply chain optimization and up to 15-25% reduction in logistics costs. What are the implications of the main findings? Pharmaceutical companies can integrate these AI/ML models to enhance operational efficiency, reduce stockouts and holding costs, and improve decision-making in areas such as pricing, balancing supply and demand, and vendor management. The study establishes empirical benchmarks and best practices for applying AI in pharmaceutical logistics, demonstrating how data-driven modeling can strengthen supply chain resilience and inform future AI governance in healthcare.Highlights What are the main findings? Gradient boosting achieved the highest accuracy in pricing prediction ( = 0.7610), while ARIMA delivered the lowest demand-forecasting RMSE (0.0758) and LSTM provided the strongest neural network performance for volatile demand swings. The novel PCA-K-Means vendor segmentation identified three performance clusters: high-performing, cost-efficient, and mixed vendors, enabling strategic supply chain optimization and up to 15-25% reduction in logistics costs. What are the implications of the main findings? Pharmaceutical companies can integrate these AI/ML models to enhance operational efficiency, reduce stockouts and holding costs, and improve decision-making in areas such as pricing, balancing supply and demand, and vendor management. The study establishes empirical benchmarks and best practices for applying AI in pharmaceutical logistics, demonstrating how data-driven modeling can strengthen supply chain resilience and inform future AI governance in healthcare.Abstract Pharmaceutical manufacturing and logistics rely on accurate prediction and decision making to safeguard product quality, delivery reliability, and patient outcomes. Despite rapid advances in artificial intelligence (AI) and machine learning (ML), few studies benchmark model performance across the diverse operational demands of global pharmaceutical supply chains. Predictive setbacks contribute to financial losses, reduced supply chain efficacy, and potential adverse health consequences, yet understanding these failures offers firms opportunities to refine strategy and strengthen resilience. Drawing on 1.2 million shipments spanning 39 countries, we compare traditional statistical models (ARIMA), ensemble methods (random forests, gradient boosting), and deep neural networks (LSTM, GRU, CNN, ANN) across pricing, demand forecasting, vendor management, and shipment planning. Gradient boosting produced the strongest pricing performance, while ARIMA delivered the lowest demand-forecasting errors but with limited explanatory power; neural networks captured nonlinear demand shocks and achieved superior maintenance-risk classification. We also identified three vendor performance clusters-high-performing, cost-efficient, and mixed-reliability vendors-enabling firms to better align shipment criticality with vendor capabilities by prioritizing high performers for urgent deliveries, leveraging cost-efficient vendors for non-urgent volumes, and managing mixed performers through targeted oversight.These insights highlight the value of our evidence-based roadmap for selecting algorithms in high-stakes healthcare logistics, in rapidly evolving, technologically complex global contexts where increasing algorithmic sophistication elevates the standards for safer, smarter pharmaceutical supply chains.</t>
  </si>
  <si>
    <t>Park, Kathleen Marshall; Pattnaik, Sarthak; Liew, Natasya; Kundu, Triparna; Kures, Ali Ozcan; Pinsky, Eugene</t>
  </si>
  <si>
    <t>Park, KM (corresponding author), Boston Univ, Global Dev Policy Ctr, MET Dept Adm Sci, Boston, MA 02215 USA.; Park, KM (corresponding author), Boston Univ, Inst Global Sustainabil, Boston, MA 02215 USA.</t>
  </si>
  <si>
    <t>epinsky@bu.edu; kmparque@bu.edu</t>
  </si>
  <si>
    <t>[Park, Kathleen Marshall] Boston Univ, Global Dev Policy Ctr, MET Dept Adm Sci, Boston, MA 02215 USA; [Park, Kathleen Marshall] Boston Univ, Inst Global Sustainabil, Boston, MA 02215 USA; [Pattnaik, Sarthak; Liew, Natasya; Kundu, Triparna; Kures, Ali Ozcan; Pinsky, Eugene] Boston Univ, MET Dept Comp Sci, Boston, MA 02215 USA</t>
  </si>
  <si>
    <t>Boston University; Boston University; Boston University</t>
  </si>
  <si>
    <t>Smarter Chains, Safer Medicines: From Predictive Failures to Algorithmic Fixes in Global Pharmaceutical Logistics</t>
  </si>
  <si>
    <t>FORECASTING</t>
  </si>
  <si>
    <t>machine learning; artificial intelligence; pharmaceutical logistics; supply chain optimization; drug manufacturing; prediction and decision-making processes; algorithmic innovations; predictive failures; resilience; competitiveness; demand forecasting; convolutional neural networks; artificial neural networks; reinforcement learning; cost efficiency enhancement; shipment mode selection</t>
  </si>
  <si>
    <t>Pattnaik, Sarthak/QHW-4535-2026; Pinsky, Eugene/MCY-5735-2025</t>
  </si>
  <si>
    <t>Kundu, Triparna/0009-0005-9517-3020; , Ali Ozcan Kures/0009-0006-8286-8437; Pattnaik, Sarthak/0009-0004-4994-4800</t>
  </si>
  <si>
    <t>2571-9394</t>
  </si>
  <si>
    <t>FORECASTING-BASEL</t>
  </si>
  <si>
    <t>Forecasting</t>
  </si>
  <si>
    <t>DEC 12 2025</t>
  </si>
  <si>
    <t>10.3390/forecast7040078</t>
  </si>
  <si>
    <t>http://dx.doi.org/10.3390/forecast7040078</t>
  </si>
  <si>
    <t>AG0CO</t>
  </si>
  <si>
    <t>WOS:001647241000001</t>
  </si>
  <si>
    <t>Chen, ZQ; Shu, J; Wang, DW; Sun, EL; Wang, B; Qi, L; Zhang, HR; Han, SM; Wu, Y; Wang, GX</t>
  </si>
  <si>
    <t>Background: As artificial intelligence (AI) transforms medicine, understanding physicians' knowledge, attitudes, and practices (KAP) toward AI is crucial. However, large-scale nationwide studies among Chinese physicians are lacking. This study investigates KAP toward AI among Chinese physicians and analyzes its influencing factors. Methods: A nationwide cross-sectional online survey was conducted from January 15 to March 14, 2024. Multistage sampling was used to recruit practicing physicians across China. A validated, self-administered questionnaire was used to assess demographic characteristics and KAP. The statistical analyses included descriptive statistics, non-parametric tests, multivariate logistic regression, and Spearman correlation. Results: This study included 1,137 participants, with 346 (30.4%) demonstrating good AI knowledge. While 1,034 (90.9%) held positive attitudes toward AI, only 51.2% agreed that medical AI is safe. The rate of clinical AI implementation remained low, with only 328 physicians (28.8%) reporting good AI practices. While "AI in medicine" is the broad field of study, Chinese physicians strongly prefer the term "AI-assisted medicine" (75.1%) to describe AI's functional role, emphasizing its assistive nature. Multivariate analysis identified male gender (OR 1.85; 95% CI 1.42-2.41) and age 50-59 years (OR 2.20; 95% CI 1.31-3.71) as independent predictors of good AI knowledge. Chief physicians showed more positive attitudes than residents (OR 2.06; 95% CI 1.15-3.69). Factors significantly associated with good AI practices included male gender (OR 1.35; 95% CI 1.02-1.80), doctoral degree (OR 2.50; 95% CI 1.71-3.67), and specialization in obstetrics/gynecology (OR 4.95; 95% CI 1.80-13.60), internal medicine (OR 3.94; 95% CI 1.51-10.26), or surgery (OR 4.62; 95% CI 1.77-12.04), compared to pediatrics. Significant positive correlations were found between knowledge and attitude (r = 0.172), knowledge and practice (r = 0.441), and attitude and practice (r = 0.242) (all P &lt; 0.001). Conclusions: This study found that among Chinese physicians, senior physicians (aged 50-59 years) demonstrated higher AI knowledge than younger colleagues. Additionally, AI adoption rates varied significantly by specialty, with pediatrics showing lower adoption compared to surgery, internal medicine, and obstetrics/gynecology. These findings support targeted strategies, including specialized education for younger and female physicians and the prioritization of AI tool development for underserved specialties such as pediatrics, to foster responsible AI integration into Chinese clinical practice.</t>
  </si>
  <si>
    <t>Chen, Zhiqiang; Shu, Jun; Wang, Dawei; Sun, Erlian; Wang, Bei; Qi, Lei; Zhang, Haoran; Han, Shuming; Wu, Yan; Wang, Guangxin</t>
  </si>
  <si>
    <t>Wang, GX (corresponding author), Shandong First Med Univ, Cent Hosp, Shandong Innovat Ctr Intelligent Diagnost Technol, 105 Jiefang Rd, Jinan 250013, Shandong, Peoples R China.</t>
  </si>
  <si>
    <t>y22183@email.sdfmu.edu.cn</t>
  </si>
  <si>
    <t>[Chen, Zhiqiang; Han, Shuming] Shandong First Med Univ, Cent Hosp, Dept Pediat, Jinan 250013, Shandong, Peoples R China; [Chen, Zhiqiang; Wang, Guangxin] Shandong First Med Univ, Cent Hosp, Shandong Innovat Ctr Intelligent Diagnost Technol, 105 Jiefang Rd, Jinan 250013, Shandong, Peoples R China; [Shu, Jun] Southern Med Univ, NanFang Hosp, Div Med Affairs, Guangzhou 510515, Guangdong, Peoples R China; [Wang, Dawei] Shandong First Med Univ, Shandong Prov Hosp, Dept Endocrinol, Jinan 250021, Shandong, Peoples R China; [Sun, Erlian] Shandong First Med Univ, Shandong Prov Hosp, Dept Healthcare Resp Med, Jinan 250021, Shandong, Peoples R China; [Wang, Bei] Shandong Univ, Shandong Prov Qianfoshan Hosp, Dept Med Ultrasound, Jinan 250014, Shandong, Peoples R China; [Qi, Lei] Shandong First Med Univ, Cent Hosp, Intens Care Unit, Jinan 250013, Shandong, Peoples R China; [Zhang, Haoran; Wu, Yan] Shandong Second Med Univ, Sch Clin Med, Weifang 261053, Shandong, Peoples R China</t>
  </si>
  <si>
    <t>Shandong First Medical University &amp; Shandong Academy of Medical Sciences; Shandong First Medical University &amp; Shandong Academy of Medical Sciences; Southern Medical University - China; Shandong First Medical University &amp; Shandong Academy of Medical Sciences; Shandong First Medical University &amp; Shandong Academy of Medical Sciences; Shandong University; Shandong First Medical University &amp; Shandong Academy of Medical Sciences; Shandong First Medical University &amp; Shandong Academy of Medical Sciences; Shandong Second Medical University</t>
  </si>
  <si>
    <t>Knowledge, attitudes, and practices toward artificial intelligence in medicine among Chinese physicians: A cross-sectional study from January to March 2024 with analysis of influencing factors</t>
  </si>
  <si>
    <t>Artificial intelligence; Physicians; Knowledge; Attitude; Practice; Cross-sectional study; Influencing factors</t>
  </si>
  <si>
    <t>CARE</t>
  </si>
  <si>
    <t>han, shuming/0009-0008-4853-0648; Zhang, Haoran/0009-0007-3384-9739</t>
  </si>
  <si>
    <t>106476</t>
  </si>
  <si>
    <t>10.1016/j.ijmedinf.2026.106476</t>
  </si>
  <si>
    <t>http://dx.doi.org/10.1016/j.ijmedinf.2026.106476</t>
  </si>
  <si>
    <t>ID2FN</t>
  </si>
  <si>
    <t>42114372</t>
  </si>
  <si>
    <t>WOS:001768905600001</t>
  </si>
  <si>
    <t>Kowshalya, M; Suchitra; Dhanaraj, RK; Pamucar, D</t>
  </si>
  <si>
    <t>Image Captioning is a crucial task that enables systems to generate descriptive sentences for visual content. Though image captioning systems bloom at the intersection of Computer Vision and Natural Language Processing, these models act mostly as black boxes offering little or no insight into how captions are derived. We present a novel explainable image captioning framework that integrates a Convolutional Neural Network encoder with a Transformer decoder. Attention-based heatmaps are used to explain the visuals offering transparency in the decision making process. The method evaluates captioning quality and interpretability on the MS COCO dataset using BLEU, METEOR, CIDER and SPICE. The method enhances the trustworthiness and transparency, making it reliable for applications like healthcare, education, security, surveillance and forecasting. A reproducible method for integrating visual explainability into image captioning exploring transformer decoder attention maps. The method contributes to the growing body of eXplainable AI (XAI) by addressing the transparency gap in vision-language models Balance performance with interpretability paving the way for more transparent and trustworthy AI systems.</t>
  </si>
  <si>
    <t>Kowshalya, Meena; Suchitra; Dhanaraj, Rajesh Kumar; Pamucar, Dragan</t>
  </si>
  <si>
    <t>Kowshalya, M (corresponding author), Govt Coll Technol, Dept Comp Sci &amp; Engn, Coimbatore, India.; Dhanaraj, RK (corresponding author), Symbiosis Int Deemed Univ, Symbiosis Inst Comp Studies &amp; Res SICSR, Pune, India.; Pamucar, D (corresponding author), Szecheny Istvan Univ, Gyor, Hungary.</t>
  </si>
  <si>
    <t>pamucar.dragan@sze.hu; rajesh.dhanaraj@sicsr.ac.in; suchitra.g.ece@gct.ac.in; meenakowsalya@gct.ac.in</t>
  </si>
  <si>
    <t>[Kowshalya, Meena] Govt Coll Technol, Dept Comp Sci &amp; Engn, Coimbatore, India; [Suchitra] Govt Coll Technol, Dept Elect &amp; Commun Engn, Coimbatore, India; [Dhanaraj, Rajesh Kumar] Symbiosis Int Deemed Univ, Symbiosis Inst Comp Studies &amp; Res SICSR, Pune, India; [Pamucar, Dragan] Szecheny Istvan Univ, Gyor, Hungary</t>
  </si>
  <si>
    <t>Symbiosis International University; Symbiosis Institute of Computer Studies &amp; Research (SICSR); University of Istvan Szechenyi</t>
  </si>
  <si>
    <t>A vision explainability method for image captioning using transformer decoder attention maps</t>
  </si>
  <si>
    <t>Image captioning; Transformer models; Visual attention maps; Convolutional neural network; Explainable AI</t>
  </si>
  <si>
    <t>Pamucar, Dragan/AAG-8288-2019; Dhanaraj, Rajesh Kumar/AAQ-6545-2021; A, Meena kowshalya/AAH-7173-2020</t>
  </si>
  <si>
    <t>Dhanaraj, Rajesh Kumar/0000-0002-2038-7359; Kowshalya, Meena/0000-0002-4475-8628</t>
  </si>
  <si>
    <t>103744</t>
  </si>
  <si>
    <t>10.1016/j.mex.2025.103744</t>
  </si>
  <si>
    <t>http://dx.doi.org/10.1016/j.mex.2025.103744</t>
  </si>
  <si>
    <t>Q3237</t>
  </si>
  <si>
    <t>41438405</t>
  </si>
  <si>
    <t>WOS:001634474000002</t>
  </si>
  <si>
    <t>Nillmani; Sharma, N; Saba, L; Khanna, NN; Kalra, MK; Fouda, MM; Suri, JS</t>
  </si>
  <si>
    <t>Background and Motivation: COVID-19 has resulted in a massive loss of life during the last two years. The current imaging-based diagnostic methods for COVID-19 detection in multiclass pneumonia-type chest X-rays are not so successful in clinical practice due to high error rates. Our hypothesis states that if we can have a segmentation-based classification error rate &lt;5%, typically adopted for 510 (K) regulatory purposes, the diagnostic system can be adapted in clinical settings. Method: This study proposes 16 types of segmentation-based classification deep learning-based systems for automatic, rapid, and precise detection of COVID-19. The two deep learning-based segmentation networks, namely UNet and UNet+, along with eight classification models, namely VGG16, VGG19, Xception, InceptionV3, Densenet201, NASNetMobile, Resnet50, and MobileNet, were applied to select the best-suited combination of networks. Using the cross-entropy loss function, the system performance was evaluated by Dice, Jaccard, area-under-the-curve (AUC), and receiver operating characteristics (ROC) and validated using Grad-CAM in explainable AI framework. Results: The best performing segmentation model was UNet, which exhibited the accuracy, loss, Dice, Jaccard, and AUC of 96.35%, 0.15%, 94.88%, 90.38%, and 0.99 (p-value &lt;0.0001), respectively. The best performing segmentation-based classification model was UNet+Xception, which exhibited the accuracy, precision, recall, F1-score, and AUC of 97.45%, 97.46%, 97.45%, 97.43%, and 0.998 (p-value &lt;0.0001), respectively. Our system outperformed existing methods for segmentation-based classification models. The mean improvement of the UNet+Xception system over all the remaining studies was 8.27%. Conclusion: The segmentation-based classification is a viable option as the hypothesis (error rate &lt;5%) holds true and is thus adaptable in clinical practice.</t>
  </si>
  <si>
    <t>Nillmani; Sharma, Neeraj; Saba, Luca; Khanna, Narendra N.; Kalra, Mannudeep K.; Fouda, Mostafa M.; Suri, Jasjit S.</t>
  </si>
  <si>
    <t>Suri, JS (corresponding author), Idaho State Univ, Dept ECE, Pocatello, ID 83209 USA.; Suri, JS (corresponding author), AtheroPointTM, Stroke Diagnost &amp; Monitoring Div, Roseville, CA 95661 USA.; Suri, JS (corresponding author), Global Biomed Technol Inc, Knowledge Engn Ctr, Roseville, CA 95661 USA.</t>
  </si>
  <si>
    <t>[Nillmani; Sharma, Neeraj] Indian Inst Technol BHU, Sch Biomed Engn, Varanasi 221005, Uttar Pradesh, India; [Saba, Luca] Azienda Osped Univ AOU, Dept Radiol, I-100015 Cagliari, Italy; [Khanna, Narendra N.] Indraprastha APOLLO Hosp, Dept Cardiol, New Delhi 110020, India; [Kalra, Mannudeep K.] Massachusetts Gen Hosp, Dept Radiol, Boston, MA 02115 USA; [Fouda, Mostafa M.; Suri, Jasjit S.] Idaho State Univ, Dept ECE, Pocatello, ID 83209 USA; [Suri, Jasjit S.] AtheroPointTM, Stroke Diagnost &amp; Monitoring Div, Roseville, CA 95661 USA; [Suri, Jasjit S.] Global Biomed Technol Inc, Knowledge Engn Ctr, Roseville, CA 95661 USA</t>
  </si>
  <si>
    <t>Indian Institute of Technology System (IIT System); Indian Institute of Technology BHU Varanasi (IIT BHU Varanasi); Harvard University; Harvard University Medical Affiliates; Massachusetts General Hospital; Idaho State University</t>
  </si>
  <si>
    <t>Segmentation-Based Classification Deep Learning Model Embedded with Explainable AI for COVID-19 Detection in Chest X-ray Scans</t>
  </si>
  <si>
    <t>COVID-19; chest X-ray; classification; regulatory; precision; error rate; deep learning; segmentation; UNet; Xception</t>
  </si>
  <si>
    <t>U-NET; ULTRASOUND; SARS-COV-2; LESIONS; FUTURE; TOOL</t>
  </si>
  <si>
    <t>Fouda, Mostafa/G-7324-2012; Kalra, Mannudeep/LXW-4237-2024</t>
  </si>
  <si>
    <t>Khanna, Narena N/0000-0002-6935-0039; Fouda, Mostafa/0000-0003-1790-8640; , Nillmani/0000-0002-0502-4816</t>
  </si>
  <si>
    <t>2132</t>
  </si>
  <si>
    <t>10.3390/diagnostics12092132</t>
  </si>
  <si>
    <t>http://dx.doi.org/10.3390/diagnostics12092132</t>
  </si>
  <si>
    <t>4Q8LK</t>
  </si>
  <si>
    <t>36140533</t>
  </si>
  <si>
    <t>WOS:000856328000001</t>
  </si>
  <si>
    <t>Daghyani, M; Wang, LYY; Hashemi, N; Medhat, B; Abdelsamad, B; Velez, ER; Li, XX; Tsang, MYC; Luong, C; Abolmaesumi, P; Tsang, TSM</t>
  </si>
  <si>
    <t>Purpose Echocardiographic interpretation requires video-level reasoning and guideline-based measurement analysis, which current deep learning models for cardiac ultrasound do not support. We present EchoAgent, a framework that enables structured, interpretable automation for this domain. Methods EchoAgent orchestrates specialized vision tools under large language model (LLM) control to perform temporal localization, spatial measurement, and clinical interpretation. A key contribution is a measurement-feasibility prediction model that determines whether anatomical structures are reliably measurable in each frame, enabling autonomous tool selection. We curated a benchmark of diverse, clinically validated video-query pairs for evaluation. To assess robustness across institutions, we further evaluate EchoAgent on a curated subset of the publicly available MIMIC-IV-EchoQA benchmark, specifically targeting questions answerable via linear measurements to remain within the current framework's scope. Results EchoAgent outperforms current medical VLMs and cardiac foundation models in video-level reasoning, demonstrating superior accuracy and interpretability on both our internal benchmark and the external MIMIC-IV-EchoQA subset. Outputs are grounded in visual evidence and clinical guidelines, supporting transparency and traceability. Conclusion This work demonstrates the feasibility of agentic, guideline-aligned reasoning for echocardiographic video analysis, enabled by task-specific tools and full video-level automation. EchoAgent provides a framework for enhancing transparency and guideline-adherence, representing a step toward more trustworthy AI in cardiac ultrasound. Our code will be made publicly available at https://github.com/DeepRCL/EchoAgent.</t>
  </si>
  <si>
    <t>Daghyani, Matin; Wang, Lyuyang; Hashemi, Nima; Medhat, Bassant; Abdelsamad, Baraa; Rojas Velez, Eros; Li, XiaoXiao; Tsang, Michael Y. C.; Luong, Christina; Abolmaesumi, Purang; Tsang, Teresa S. M.</t>
  </si>
  <si>
    <t>Daghyani, M; Wang, LYY (corresponding author), Univ British Columbia, Vancouver, BC, Canada.</t>
  </si>
  <si>
    <t>anne@ece.ubc.ca; matin.daghyani@ece.ubc.ca</t>
  </si>
  <si>
    <t>Canadian Institutes of Health Research (CIHR); Natural Sciences and Engineering Research Council of Canada (NSERC)</t>
  </si>
  <si>
    <t>Canadian Institutes of Health Research (CIHR) (Canadian Institutes of Health Research (CIHR)); Natural Sciences and Engineering Research Council of Canada (NSERC) (Natural Sciences and Engineering Research Council of Canada (NSERC))</t>
  </si>
  <si>
    <t>This research was supported in part by the Canadian Institutes of Health Research (CIHR) and the Natural Sciences and Engineering Research Council of Canada (NSERC), and through computational resources and services provided by Advanced Research Computing at the University of British Columbia.</t>
  </si>
  <si>
    <t>[Daghyani, Matin; Wang, Lyuyang; Hashemi, Nima; Medhat, Bassant; Abdelsamad, Baraa; Rojas Velez, Eros; Li, XiaoXiao; Luong, Christina; Abolmaesumi, Purang; Tsang, Teresa S. M.] Univ British Columbia, Vancouver, BC, Canada; [Tsang, Michael Y. C.; Luong, Christina; Tsang, Teresa S. M.] Vancouver Gen Hosp, Vancouver, BC, Canada</t>
  </si>
  <si>
    <t>University of British Columbia; University of British Columbia</t>
  </si>
  <si>
    <t>EchoAgent: guideline-centric reasoning agent for echocardiography measurement and interpretation</t>
  </si>
  <si>
    <t>INTERNATIONAL JOURNAL OF COMPUTER ASSISTED RADIOLOGY AND SURGERY</t>
  </si>
  <si>
    <t>Echocardiography; Agentic AI; Reasoning; Large language models</t>
  </si>
  <si>
    <t>Abolmaesumi, Purang/AAE-6670-2019; Tsang, Teresa/AAO-3518-2021</t>
  </si>
  <si>
    <t>1861-6410</t>
  </si>
  <si>
    <t>1861-6429</t>
  </si>
  <si>
    <t>INT J COMPUT ASS RAD</t>
  </si>
  <si>
    <t>Int. J. Comput. Assist. Radiol. Surg.</t>
  </si>
  <si>
    <t>1293</t>
  </si>
  <si>
    <t>1300</t>
  </si>
  <si>
    <t>10.1007/s11548-026-03694-0</t>
  </si>
  <si>
    <t>http://dx.doi.org/10.1007/s11548-026-03694-0</t>
  </si>
  <si>
    <t>Engineering, Biomedical; Radiology, Nuclear Medicine &amp; Medical Imaging; Surgery</t>
  </si>
  <si>
    <t>Engineering; Radiology, Nuclear Medicine &amp; Medical Imaging; Surgery</t>
  </si>
  <si>
    <t>MI5JE</t>
  </si>
  <si>
    <t>42138794</t>
  </si>
  <si>
    <t>WOS:001767376800001</t>
  </si>
  <si>
    <t>Dash, D; Karaddi, SH; Sharma, D; Sharma, LD</t>
  </si>
  <si>
    <t>Pulmonary disease (PD) is one of the most common diseases worldwide. To detect the PDs, several tests like RT-PCR, CBC, and antigen tests were used. But these are time-consuming processes. Therefore, chest radiographs are used to classify the PDs, but this may lead to false results due to similar lung lesions and nodules present in the chest radiograph. So, deep learning-based models were introduced, but these conventional models were less efficient. As a result, we propose the 30-layer novel PD classification network termed as PULMONET to classify the PDs from multi-modal chest images. In this, we have used 9917 chest multi-modal images to classify PDs into binary and ten classes. The model is trained with 50 epochs, 64 batch sizes, Adam optimizer and 5-fold cross-validation is used. In 5 folds, four folds were used for training and remaining one fold was used for validation to avoid overfitting and provide efficient data for training. The proposed model provides the highest accuracy of 99.17% for binary and 90.70% for ten-class classification scenarios respectively. Finally, we applied heat maps to initial and deeper layers to study the network behavior to acknowledge the decision-making of the PULMONET. The experimental findings show significant increases across performance parameters and good classification accuracy, demonstrating the resilience of the technique. In the proposed 30-layer PULMONET, the diagnostic accuracy of medical picture analysis is generally increased. Lastly, we investigated network behavior and the issue of misclassification by applying the t-SNE and activation maps to the network's initial and deeper layers. These activations show clear clusters of the correctly classified and misclassified classes. Also, we used a custom segmentation map to view the best discriminative features that are more useful for the decision made by the model. The datasets, codes, and figures that are used in this work is available in: https://www.kaggle.com/datasets/sahebgoudkaraddi/pulmonary-diseases-datasetsct-cxr</t>
  </si>
  <si>
    <t>Dash, Debashish; Karaddi, Sahebgoud Hanamantray; Sharma, Diksha; Sharma, Lakhan Dev</t>
  </si>
  <si>
    <t>Dash, D (corresponding author), Vellore Inst Technol, Sch Elect Engn SENSE, Vellore 632014, Tamil Nadu, India.</t>
  </si>
  <si>
    <t>debashish.dash@vit.ac.in</t>
  </si>
  <si>
    <t>Vellore Institute of Technology, Vellore</t>
  </si>
  <si>
    <t>Open access funding provided by Vellore Institute of Technology.</t>
  </si>
  <si>
    <t>[Dash, Debashish] Vellore Inst Technol, Sch Elect Engn SENSE, Vellore 632014, Tamil Nadu, India; [Karaddi, Sahebgoud Hanamantray] Kishkinda Univ, Dept ECE, Ballari 583101, Karnataka, India; [Sharma, Diksha] IIIT, Dept ECE, Sri City 571646, India; [Sharma, Lakhan Dev] VIT AP Univ, Sch Elect Engn, Amaravathi 522237, India</t>
  </si>
  <si>
    <t>Vellore Institute of Technology (VIT); VIT Vellore; VIT-AP University</t>
  </si>
  <si>
    <t>Classification of pulmonary disorders using pulmonary network with explainable AI framework from chest multi-modal images</t>
  </si>
  <si>
    <t>Lung diseases; PULMONET; Data processing; Visualization; T-SNE</t>
  </si>
  <si>
    <t>X-RAY; COVID-19; CT; DIAGNOSIS; ENSEMBLE</t>
  </si>
  <si>
    <t>SHARMA, LAKHAN/D-4578-2019; Karaddi, Sahebgoud/GRY-4679-2022; DASH, DEBASHISH/J-1851-2015</t>
  </si>
  <si>
    <t>APR 17 2026</t>
  </si>
  <si>
    <t>17831</t>
  </si>
  <si>
    <t>10.1038/s41598-026-47815-w</t>
  </si>
  <si>
    <t>http://dx.doi.org/10.1038/s41598-026-47815-w</t>
  </si>
  <si>
    <t>JG8KL</t>
  </si>
  <si>
    <t>41998198</t>
  </si>
  <si>
    <t>WOS:001789003100028</t>
  </si>
  <si>
    <t>White, A; Saranti, M; Garcez, AD; Hope, TMH; Price, CJ; Bowman, H</t>
  </si>
  <si>
    <t>Machine learning offers great potential for automated prediction of post-stroke symptoms and their response to rehabilitation. Major challenges for this endeavour include the very high dimensionality of neuroimaging data, the relatively small size of the datasets available for learning and interpreting the predictive features, as well as, how to effectively combine neuroimaging and tabular data (e.g. demographic information and clinical characteristics). This paper evaluates several solutions based on two strategies. The first is to use 2D images that summarise MRI scans. The second is to select key features that improve classification accuracy. Additionally, we introduce the novel approach of training a convolutional neural network (CNN) on images that combine regions-of-interests (ROIs) extracted from MRIs, with symbolic representations of tabular data. We evaluate a series of CNN architectures (both 2D and a 3D) that are trained on different representations of MRI and tabular data, to predict whether a composite measure of post-stroke spoken picture description ability is in the aphasic or non-aphasic range. MRI and tabular data were acquired from 758 English speaking stroke survivors who participated in the PLORAS study. Each participant was assigned to one of five different groups that were matched for initial severity of symptoms, recovery time, left lesion size and the months or years post-stroke that spoken description scores were collected. Training and validation were carried out on the first four groups. The fifth (lock-box/test set) group was used to test how well model accuracy generalises to new (unseen) data. The classification accuracy for a baseline logistic regression was 0.678 based on lesion size alone, rising to 0.757 and 0.813 when initial symptom severity and recovery time were successively added. The highest classification accuracy (0.854), area under the curve (0.899) and F1 score (0.901) were observed when 8 regions of interest were extracted from each MRI scan and combined with lesion size, initial severity and recovery time in a 2D Residual Neural Network (ResNet). This was also the best model when data were limited to the 286 participants with moderate or severe initial aphasia (with area under curve = 0.865), a group that would be considered more difficult to classify. Our findings demonstrate how imaging and tabular data can be combined to achieve high post-stroke classification accuracy, even when the dataset is small in machine learning terms. We conclude by proposing how the current models could be improved to achieve even higher levels of accuracy using images from hospital scanners.</t>
  </si>
  <si>
    <t>White, Adam; Saranti, Margarita; Garcez, Artur d'Avila; Hope, Thomas M. H.; Price, Cathy J.; Bowman, Howard</t>
  </si>
  <si>
    <t>Bowman, H (corresponding author), Univ Birmingham, Sch Psychol, Birmingham B15 2TT, England.</t>
  </si>
  <si>
    <t>Wellcome [203147/Z/16/Z, 205103/Z/16/Z, 224562/Z/21/Z]; Medical Research Council [MR/M023672/1]; Stroke Association [TSA 2014/02]; Stroke Association Doctoral Fellowship [SA PGF 22\100013]; Medical Research Council [MR/M023672/1] Funding Source: researchfish; Wellcome Trust [224562/Z/21/Z] Funding Source: Wellcome Trust</t>
  </si>
  <si>
    <t>Wellcome (Wellcome Trust); Medical Research Council (UK Research &amp; Innovation (UKRI), Medical Research Council UK (MRC)); Stroke Association; Stroke Association Doctoral Fellowship; Medical Research Council (UK Research &amp; Innovation (UKRI), Medical Research Council UK (MRC)); Wellcome Trust (Wellcome Trust)</t>
  </si>
  <si>
    <t>Data acquisition was funded by the Wellcome [203147/Z/16/Z; 205103/Z/16/Z; 224562/Z/21/Z] , the Medical Research Council [MR/M023672/1] and the Stroke Association [TSA 2014/02] . PLORAS team members contributed to the acquisition and analysis of behavioural data. They include: Storm Anderson, Rachel Bruce, Megan Docksey, Kate Ledingham, Louise Lim, Sophie Roberts, and Hayley Woodgate. We are indebted to the patients and their carers for their generous assistance with our research. Margarita Saranti is supported by a Stroke Associa- tion Doctoral Fellowship (SA PGF 22\100013) . For the purpose of Open Access, the author has applied a CC BY public copyright licence to any Author Accepted Manuscript version arising from this submission. We would also like to thank the two reviewers and the handling editor, who made very valuable suggestions that have substantially improved the article.</t>
  </si>
  <si>
    <t>[White, Adam; Garcez, Artur d'Avila] City Univ London, Dept Comp Sci, London, England; [Bowman, Howard] Univ Birmingham, Sch Comp Sci, Birmingham, England; [Hope, Thomas M. H.; Price, Cathy J.] UCL, Wellcome Ctr Human Neuroimaging, London, England</t>
  </si>
  <si>
    <t>City St Georges, University of London; University of Birmingham; University of London; University College London</t>
  </si>
  <si>
    <t>Predicting recovery following stroke: Deep learning, multimodal data and feature selection using explainable AI</t>
  </si>
  <si>
    <t>FALSE DISCOVERY RATE; LANGUAGE OUTCOMES; CLASSIFICATION; NORMALIZATION; APHASIA</t>
  </si>
  <si>
    <t>Price, Catherine/W-5271-2019</t>
  </si>
  <si>
    <t>Price, Catherine/0000-0001-7448-4835</t>
  </si>
  <si>
    <t>103638</t>
  </si>
  <si>
    <t>10.1016/j.nicl.2024.103638</t>
  </si>
  <si>
    <t>http://dx.doi.org/10.1016/j.nicl.2024.103638</t>
  </si>
  <si>
    <t>YS6O1</t>
  </si>
  <si>
    <t>39002223</t>
  </si>
  <si>
    <t>WOS:001270516600001</t>
  </si>
  <si>
    <t>Alqhatni, A; Babu, TKSR; Mahesh, TR; Khan, SB; Saidani, O; Quasim, MT</t>
  </si>
  <si>
    <t>Precise classification of lung cancer stages based on CT images remains a significant challenge in oncology. This is vitally necessary for determining prognosis and creating practical treatment plans. Traditional methods mainly rely on human interpretation, which can be inconsistent and prone to fluctuation. To overcome these limitations an automated deep learning model based on the EfficientNet-B0 based architecture is proposed. Explainable AI features enhanced through Gradient-weighted Class Activation Mapping (Grad-CAM) help further boost this model. Training of the model was conducted with 1,190 CT scans from the IQ-OTH/NCCD dataset. All the images fell into the benign, malignant, and normal categories. The suggested technique performs remarkably well, reaching 99% accuracy, 99% precision, and recall rates of 96% for benign cases, 99% for malignant cases, and 100% for normal occurrences. Grad-CAM makes the model more interpretable and transparent by providing visual explanations of its results. It identifies the most important regions in the scans that significantly contribute to the classification results. Apart from contributing to the field of medical image analysis, accurate precision and complete explanations also bring automated diagnosis systems credibility and reliability.</t>
  </si>
  <si>
    <t>Alqhatni, Abdulmajeed; Babu, T. K. S. Rathish; Mahesh, T. R.; Khan, Surbhi Bhatia; Saidani, Oumaima; Quasim, Mohammad Tabrez</t>
  </si>
  <si>
    <t>Khan, SB (corresponding author), Univ Salford, Sch Sci Engn &amp; Environm, Salford, England.; Khan, SB (corresponding author), Lovely Profess Univ, Div Res &amp; Dev, Phagwara, India.; Saidani, O (corresponding author), Princess Nourah Bint Abdulrahman Univ, Coll Comp &amp; Informat Sci, Dept Informat Syst, Riyadh, Saudi Arabia.</t>
  </si>
  <si>
    <t>s.khan138@salford.ac.uk; ocsaidani@pnu.edu.sa</t>
  </si>
  <si>
    <t>Deanship of Graduate Studies and Scientific Research at Najran University [NU/GP/SERC/13/575]; Princess Nourah bint Abdulrahman University Researchers Supporting Project [PNURSP2025R760]; Princess Nourah bint Abdulrahman University, Riyadh, Saudi Arabia</t>
  </si>
  <si>
    <t>Deanship of Graduate Studies and Scientific Research at Najran University; Princess Nourah bint Abdulrahman University Researchers Supporting Project (Princess Nourah bint Abdulrahman University); Princess Nourah bint Abdulrahman University, Riyadh, Saudi Arabia (Princess Nourah bint Abdulrahman University)</t>
  </si>
  <si>
    <t>The author(s) declare that financial support was received for the research and/or publication of this article. The authors are thankful to the Deanship of Graduate Studies and Scientific Research at Najran University for funding this work under the Growth Funding Program grant code (NU/GP/SERC/13/575). This research is supported by Princess Nourah bint Abdulrahman University Researchers Supporting Project number (PNURSP2025R760), Princess Nourah bint Abdulrahman University, Riyadh, Saudi Arabia.</t>
  </si>
  <si>
    <t>[Alqhatni, Abdulmajeed] Najran Univ, Coll Comp Sci &amp; Informat Syst, Dept Informat Syst, Najran, Saudi Arabia; [Babu, T. K. S. Rathish] SRM Inst Sci &amp; Technol, Dept Comp Sci &amp; Engn, Chennai, India; [Mahesh, T. R.] JAIN Deemed Univ, Dept Comp Sci &amp; Engn, Bengaluru, India; [Khan, Surbhi Bhatia] Univ Salford, Sch Sci Engn &amp; Environm, Salford, England; [Khan, Surbhi Bhatia] Lovely Profess Univ, Div Res &amp; Dev, Phagwara, India; [Saidani, Oumaima] Princess Nourah Bint Abdulrahman Univ, Coll Comp &amp; Informat Sci, Dept Informat Syst, Riyadh, Saudi Arabia; [Quasim, Mohammad Tabrez] Univ Bisha, Coll Comp &amp; Informat Technol, Dept Comp Sci &amp; Artificial Intelligence, Bisha, Saudi Arabia</t>
  </si>
  <si>
    <t>Najran University; SRM Institute of Science &amp; Technology Chennai; Jain University; University of Salford; Lovely Professional University; Princess Nourah bint Abdulrahman University; University of Bisha</t>
  </si>
  <si>
    <t>Automated classification and explainable AI analysis of lung cancer stages using EfficientNet and gradient-weighted class activation mapping</t>
  </si>
  <si>
    <t>lung cancer staging; EfficientNet; explainable artificial intelligence; Gradient-weighted class activation mapping (Grad-CAM); CT image classification; diagnostic imaging</t>
  </si>
  <si>
    <t>TR, Mahesh/AAC-2339-2020; BABU, RATHISH/AHB-5122-2022; Quasim, Mohammad/AAR-9123-2020; bhatia, surbhi/ADA-8643-2022</t>
  </si>
  <si>
    <t>SEP 10 2025</t>
  </si>
  <si>
    <t>1625183</t>
  </si>
  <si>
    <t>10.3389/fmed.2025.1625183</t>
  </si>
  <si>
    <t>http://dx.doi.org/10.3389/fmed.2025.1625183</t>
  </si>
  <si>
    <t>7RA7M</t>
  </si>
  <si>
    <t>41001382</t>
  </si>
  <si>
    <t>WOS:001577620000001</t>
  </si>
  <si>
    <t>Kanagaraj, G; Rajeshkumar, S; Vivekrabinson, K; Singh, JB</t>
  </si>
  <si>
    <t>Accurate classification of blood clots in ischemic stroke patients is vital for effective treatment planning. Nonetheless, difficulties like subtle visual differences and complicated clot structures make manual diagnosis time-consuming and error-prone. This article introduces an innovative model named the Efficient Shuffle Attention Forward Harmonic Network (ESAFH-Net) for classifying blood clots in ischemic stroke patients. Unlike existing blood clot classification approaches, the proposed ESAFH-Net uniquely integrates shuffle attention with harmonic analysis within an EfficientNet backbone to capture both local and global clot characteristics. Furthermore, this study is among the first to incorporate Explainable Artificial Intelligence (XAI) for interpretable classification of Cardioembolic (CE) and Large Artery Atherosclerosis (LAA) clots using whole-slide digital pathology images. Firstly, the input whole slide digital pathology image is obtained from the given dataset. The acquired image is subjected to enhancement using Contrast Limited Adaptive Histogram Equalization (CLAHE) to enhance visual quality. Next, blood clot segmentation is performed using a Recurrent Residual Convolutional Neural Network based on U-Net (R2U-Net), with a log loss function. Thereafter, morphological features and Gray-Level Co-Occurrence Matrix (GLCM) features are mined. Finally, blood clot classification is performed using the proposed ESAFH-Net, enabling differentiation between CE and LAA types. Moreover, ESAFH-Net is a hybrid model that incorporates EfficientNet, Shuffle Attention Network (SA-NET), and harmonic analysis. Furthermore, the interpretability of the proposed technique is validated using XAI. The efficacy of ESAFH-Net is validated employing evaluation measures, achieving a True Positive Rate (TPR) of 92.885%, an accuracy of 92.595%, and a False Positive Rate (FPR) of 7.617%.</t>
  </si>
  <si>
    <t>Kanagaraj, G.; Rajeshkumar, S.; Vivekrabinson, K.; Bharath Singh, J.</t>
  </si>
  <si>
    <t>Kanagaraj, G (corresponding author), Kumaraguru Coll Technol, Dept Comp Sci &amp; Engn, Athipalayam Rd,Chinnavedampatti, Coimbatore 641049, Tamil Nadu, India.</t>
  </si>
  <si>
    <t>kanagarajg435@gmail.com</t>
  </si>
  <si>
    <t>[Kanagaraj, G.] Kumaraguru Coll Technol, Dept Comp Sci &amp; Engn, Athipalayam Rd,Chinnavedampatti, Coimbatore 641049, Tamil Nadu, India; [Rajeshkumar, S.] KPR Inst Engn &amp; Technol, Dept Comp Sci &amp; Engn, Avinashi Coimbatore Rd, Coimbatore 641407, Tamil Nadu, India; [Vivekrabinson, K.; Bharath Singh, J.] Kalsalingam Acad Res &amp; Educ, Dept Comp Sci &amp; Engn, Sriviliputhur 626126, India</t>
  </si>
  <si>
    <t>Kumaraguru College of Technology</t>
  </si>
  <si>
    <t>Blood Clot Classification in Ischemic Stroke Patients using ESAFH-Net with Explainable AI</t>
  </si>
  <si>
    <t>TRANSLATIONAL STROKE RESEARCH</t>
  </si>
  <si>
    <t>Whole slide digital pathology image; Blood clot classification; Ischemic stroke patients; Deep Learning; Explainable Artificial Intelligence</t>
  </si>
  <si>
    <t>Rajeshkumar, S/KYR-6828-2024</t>
  </si>
  <si>
    <t>S, Rajeshkumar/0000-0001-7546-7447</t>
  </si>
  <si>
    <t>1868-4483</t>
  </si>
  <si>
    <t>1868-601X</t>
  </si>
  <si>
    <t>TRANSL STROKE RES</t>
  </si>
  <si>
    <t>Transl. Stroke Res.</t>
  </si>
  <si>
    <t>FEB 24 2026</t>
  </si>
  <si>
    <t>10.1007/s12975-026-01411-2</t>
  </si>
  <si>
    <t>http://dx.doi.org/10.1007/s12975-026-01411-2</t>
  </si>
  <si>
    <t>EC6ZK</t>
  </si>
  <si>
    <t>41731176</t>
  </si>
  <si>
    <t>WOS:001697944700001</t>
  </si>
  <si>
    <t>Hasan, KK; Akhtar, MM; Hasnat, MA; Khandakar, H</t>
  </si>
  <si>
    <t>Purpose This study examines how artificial intelligence (AI) innovation and ethical governance influence sustainable healthcare outcomes in Bangladesh, with patient trust and perceived safety acting as mediators and digital and health literacy serving as moderating conditions.&lt;br /&gt; Design/methodology/approach A qualitative research design was employed, using semi-structured interviews with five purposively selected stakeholders representing policy, technical, managerial and community health perspectives. Data were analyzed thematically following Braun and Clarke's six-phase approach, using a hybrid deductive-inductive coding strategy supported by NVivo 14. A dual-stage literature review (comprehensive and integrative) informed the conceptual moderated-mediation framework grounded in ethical governance theory, digital transformation theory and the trust-based model of patient engagement.&lt;br /&gt; Findings The findings reveal that AI innovation enhances diagnostic accuracy, efficiency and personalization, while ethical governance -through fairness audits, transparency protocols and accountability measures - builds user confidence and inclusivity. Patient trust and perceived safety emerged as pivotal mechanisms translating technical and ethical design into engagement and adherence. Digital and health literacy significantly moderated these relationships, with low literacy limiting accessibility and equitable impact and targeted literacy interventions enhancing trust and participation.&lt;br /&gt; Practical implications The study recommends embedding ethics-by-design principles, culturally adapted interpretability features, and literacy-focused engagement strategies into AI healthcare systems. Policymakers should establish unified ethical AI frameworks, strengthen regulatory enforcement and integrate AI ethics into national health literacy and workforce development initiatives.&lt;br /&gt; Originality/valueThis research offers one of the first empirically grounded moderated-mediation models linking AI innovation, ethical governance, patient trust and literacy to sustainable healthcare outcomes in a low-resource, Muslim-majority context. It advances theory by integrating ethical governance and digital transformation perspectives with behavioral trust models, and provides actionable insights for inclusive and context-sensitive AI adoption in healthcare systems of emerging economies.</t>
  </si>
  <si>
    <t>Hasan, Khandakar Kamrul; Akhtar, Mst. Mousumi; Hasnat, Md. Abu; Khandakar, Hissan</t>
  </si>
  <si>
    <t>Hasnat, MA (corresponding author), HHH Res Consultancy &amp; Dev, Dhaka, Bangladesh.; Hasnat, MA (corresponding author), Univ Scholars, Dept Business Adm, Dhaka, Bangladesh.</t>
  </si>
  <si>
    <t>hkhandakar@crimson.ua.edu; kkhasan@gmail.com; abuhasnat400@gmail.com; dr.mousumi400@gmail.com</t>
  </si>
  <si>
    <t>[Hasan, Khandakar Kamrul; Hasnat, Md. Abu; Khandakar, Hissan] HHH Res Consultancy &amp; Dev, Dhaka, Bangladesh; [Hasan, Khandakar Kamrul; Hasnat, Md. Abu] Univ Scholars, Dept Business Adm, Dhaka, Bangladesh; [Akhtar, Mst. Mousumi] Islami Bank Cent Hosp, Dept Gynecol, Dhaka, Bangladesh; [Akhtar, Mst. Mousumi] Bangladesh Coll Phys &amp; Surg, FCPS Part 1, Obstet &amp; Gynaecol, Dhaka, Bangladesh</t>
  </si>
  <si>
    <t>Ethical AI innovation in healthcare and sustainable development in Bangladesh</t>
  </si>
  <si>
    <t>JOURNAL OF HEALTH ORGANIZATION AND MANAGEMENT</t>
  </si>
  <si>
    <t>Ethical AI governance; Patient trust; Digital health literacy; Sustainable healthcare; Bangladesh</t>
  </si>
  <si>
    <t>Hasnat, Dr. Md/JEP-3332-2023; Khandakar, Hissan/PQV-8007-2026; Hasan, Dr. Khandakar Kamrul/AAS-8470-2021</t>
  </si>
  <si>
    <t>1477-7266</t>
  </si>
  <si>
    <t>1758-7247</t>
  </si>
  <si>
    <t>J HEALTH ORGAN MANAG</t>
  </si>
  <si>
    <t>J. Health Organ. Manag.</t>
  </si>
  <si>
    <t>10.1108/JHOM-12-2025-0862</t>
  </si>
  <si>
    <t>http://dx.doi.org/10.1108/JHOM-12-2025-0862</t>
  </si>
  <si>
    <t>Health Policy &amp; Services</t>
  </si>
  <si>
    <t>FL6GO</t>
  </si>
  <si>
    <t>WOS:001721676600001</t>
  </si>
  <si>
    <t>Ilyas, M; Okafor, K; Sohrab, F; Abrahamsson, P</t>
  </si>
  <si>
    <t>The interpretability crisis in Artificial Intelligence (AI) has intensified with the widespread adoption of complex closed box models in critical domains such as healthcare, finance, and cybersecurity. This issue is particularly acute for tabular data, which exhibits heterogeneity, sparsity, nontrivial feature interactions, and lacks spatial structure. This paper presents a systematic survey of intrinsically interpretable deep learning (IIDL) methods tailored for tabular data. We propose a two-dimensional framework that integrates method-centric analysis across pre-model, in-model, and post-model interpretability stages with systems-centric dimensions of timing, target, scope, and audience. Core IIDL architectures, including additive, attention-based, concept-driven, prototype-driven, and hybrid models, are critically reviewed and benchmarked using representative methods such as Neural Additive Models (NAM) and TabNet. We rigorously examine foundational assumptions underlying each architectural family, identifying critical validity constraints including additivity limitations, stability-sparsity trade-offs, supervision requirements, geometric constraints, and computational complexity barriers. Comparative analysis with post-hoc approaches such as SHapley Additive exPlanations (SHAP) and Local Interpretable Model-agnostic Explanations (LIME) highlights their respective robustness and interpretability trade-offs. The survey identifies open challenges in adversarial robustness, causal fidelity evaluation, human-centered interpretability, and mitigation of architectural assumption violations in deployment. Overall, this work provides a methodological and systems-level roadmap for responsible, transparent, and trustworthy AI deployment in regulated environments.</t>
  </si>
  <si>
    <t>Ilyas, Muhammad; Okafor, Kenenna; Sohrab, Fahad; Abrahamsson, Pekka</t>
  </si>
  <si>
    <t>Sohrab, F (corresponding author), Tampere Univ, Fac Informat Technol &amp; Commun Sci, Tampere 33100, Finland.</t>
  </si>
  <si>
    <t>fahad.sohrab@tuni.fi</t>
  </si>
  <si>
    <t>[Ilyas, Muhammad] Al Ain Univ, Coll Engn, Dept Cybersecur, Al Ain, U Arab Emirates; [Okafor, Kenenna] Altinbas Univ, Fac Elect &amp; Comp Engn, TR-34217 Istanbul, Turkiye; [Sohrab, Fahad; Abrahamsson, Pekka] Tampere Univ, Fac Informat Technol &amp; Commun Sci, Tampere 33100, Finland</t>
  </si>
  <si>
    <t>Al Ain University of Science &amp; Technology UAE; Altinbas University; Tampere University</t>
  </si>
  <si>
    <t>A Two-Way Survey of Intrinsically Interpretable Deep Learning for Tabular Data: Bridging Methods and Systems</t>
  </si>
  <si>
    <t>Artificial intelligence; Vectors; Ethics; Closed box; Training; Prototypes; Medical services; Additives; Symbols; Surveys; Adversarial robustness; artificial intelligence; attention mechanisms; causal inference; data analysis; deep learning; explainable AI; interpretability; neural networks</t>
  </si>
  <si>
    <t>BLACK-BOX; ARTIFICIAL-INTELLIGENCE; EXPLANATIONS; AI; DECISIONS; QUALITY</t>
  </si>
  <si>
    <t>Abrahamsson, Pekka/KFS-4739-2024; Sohrab, Fahad/NNH-0580-2025; İlyas, Muhammad/AAG-9803-2021</t>
  </si>
  <si>
    <t>Okafor, Kenenna/0009-0006-5217-3925</t>
  </si>
  <si>
    <t>49151</t>
  </si>
  <si>
    <t>49191</t>
  </si>
  <si>
    <t>10.1109/ACCESS.2026.3676942</t>
  </si>
  <si>
    <t>http://dx.doi.org/10.1109/ACCESS.2026.3676942</t>
  </si>
  <si>
    <t>GB8UL</t>
  </si>
  <si>
    <t>WOS:001732696000011</t>
  </si>
  <si>
    <t>Khandaker, S; Rahman, MM; Azad, A; Moni, MA; Hossain, MA</t>
  </si>
  <si>
    <t>Recognizing medicinal plants from images is crucial for biodiversity conservation and drug discovery, yet existing datasets are scarce and geographically limited. Ancient Bengal's medical system, Ayurveda, Unani, and Homeopathy, prominently rely on medicinal plants as natural product-based drugs. In this work, we present BDHerbalPlants, a curated dataset comprising 1792 high-quality images of 8 species of herbal plants native to Bangladesh. We benchmark five modern CNN-driven frameworks (EfficientNet-B3, EfficientNetV2-S, RegNetY3.2GF, Xception, DenseNet201) and a transformer model (ViT-Base), along with a custom hybrid CNN to analyze performance variability. The models were optimized with Adam optimizer, cross-entropy loss, and training methodologies including early stopping and learning rate scheduling. We evaluate the impact of augmentation by comparing raw data training results (accuracy ranging from 96% to 99%) with augmented data training performance (accuracy ranging from 98% to 99.5%). ViT-Base gains the highest accuracy on raw data (99.3%, F1 score = 0.991), while with augmentation, Xception has the highest accuracy (99.5%, F1 score = 0.997). To interpret the models' decisions, we apply LIME to the top-performing model, revealing the leaf regions with the most critical patterns and validating the models' emphasis on botanical features. Lastly, we demonstrate real-time inference via a Hugging Face Space, enabling user-friendly plant identification in field conditions. We demonstrate that in a consistent training protocol, model choice and augmentation have an influence on performance, and XAI and real-time deployment offer clarity and usefulness in the field of recognition.</t>
  </si>
  <si>
    <t>Khandaker, Sunzil; Rahman, Md Mizanur; Azad, Akm; Moni, Mohammad Ali; Hossain, Md. Ali</t>
  </si>
  <si>
    <t>Hossain, MA (corresponding author), Daffodil Int Univ, Fac Sci &amp; Informat Technol, Dept CSE, Dhaka 1216, Bangladesh.; Moni, MA (corresponding author), Charles Sturt Univ, Artificial Intelligence &amp; Cyber Future Ctr, AI &amp; Digital Hlth Technol, Bathurst, NSW 2795, Australia.; Moni, MA (corresponding author), Charles Sturt Univ, Rural Hlth Res Inst, AI &amp; Digital Hlth Technol, Orange, NSW 2800, Australia.; Hossain, MA (corresponding author), Daffodil Int Univ, NanoBio Technol Ctr, Dhaka, Bangladesh.; Moni, MA (corresponding author), Washington Univ Sci &amp; Technol, Sch IT, Alexandria, VA 22314 USA.</t>
  </si>
  <si>
    <t>khandaker15-5383@diu.edu.bd; mizanurrahman.cse@diu.edu.bd; kazad@imamu.edu.sa; ali.cse@diu.edu.bd; mmoni@csu.edu.au</t>
  </si>
  <si>
    <t>University of Queensland, Australia</t>
  </si>
  <si>
    <t>University of Queensland, Australia (University of Queensland)</t>
  </si>
  <si>
    <t>The authors are grateful to the Faculty of Science &amp; Information Technology (FSIT) and Department of CSE of Daffodil International University, for the assistance in obtaining permission to capture images from the National Botanical Garden. We thank the financial support from The University of Queensland, Australia. This research did not receive any specific grant from funding agencies in the public, commercial, or not-for-profit sectors.</t>
  </si>
  <si>
    <t>[Khandaker, Sunzil; Rahman, Md Mizanur; Hossain, Md. Ali] Daffodil Int Univ, Fac Sci &amp; Informat Technol, Dept CSE, Dhaka 1216, Bangladesh; [Azad, Akm] Imam Mohammad Ibn Saud Islamic Univ, Dept Math &amp; Stat, Riyadh, Saudi Arabia; [Moni, Mohammad Ali] Charles Sturt Univ, Artificial Intelligence &amp; Cyber Future Ctr, AI &amp; Digital Hlth Technol, Bathurst, NSW 2795, Australia; [Moni, Mohammad Ali] Charles Sturt Univ, Rural Hlth Res Inst, AI &amp; Digital Hlth Technol, Orange, NSW 2800, Australia; [Khandaker, Sunzil; Rahman, Md Mizanur; Hossain, Md. Ali] Daffodil Int Univ, NanoBio Technol Ctr, Dhaka, Bangladesh; [Moni, Mohammad Ali] Washington Univ Sci &amp; Technol, Sch IT, Alexandria, VA 22314 USA</t>
  </si>
  <si>
    <t>Daffodil International University; Imam Mohammad Ibn Saud Islamic University (IMSIU); Charles Sturt University; Charles Sturt University; Daffodil International University</t>
  </si>
  <si>
    <t>Transparent deep learning for medicinal plant recognition: A hybrid CNN-ViT approach with explainable AI on BDHerbalPlants</t>
  </si>
  <si>
    <t>SMART AGRICULTURAL TECHNOLOGY</t>
  </si>
  <si>
    <t>Computer vision; Agriculture science; Data augmentation; Deep cnn; Explainable ai; Medicinal Plant Recognition; BDHerbalPlants</t>
  </si>
  <si>
    <t>Azad, AKM/JLL-1350-2023; Mansournia, Mohammad/AFA-8899-2022; Hossain, Md Ali/ADT-4020-2022</t>
  </si>
  <si>
    <t>2772-3755</t>
  </si>
  <si>
    <t>SMART AGR TECHNOL</t>
  </si>
  <si>
    <t>Smart Agric. Technol.</t>
  </si>
  <si>
    <t>101862</t>
  </si>
  <si>
    <t>10.1016/j.atech.2026.101862</t>
  </si>
  <si>
    <t>http://dx.doi.org/10.1016/j.atech.2026.101862</t>
  </si>
  <si>
    <t>Agricultural Engineering; Agriculture, Multidisciplinary; Agronomy</t>
  </si>
  <si>
    <t>Agriculture</t>
  </si>
  <si>
    <t>FI3RH</t>
  </si>
  <si>
    <t>WOS:001719458600001</t>
  </si>
  <si>
    <t>Bifarin, OO; Fernández, FM</t>
  </si>
  <si>
    <t>Metabolomics generates complex data necessitating advanced computational methods for generating biological insight. While machine learning (ML) is promising, the challenges of selecting the best algorithms and tuning hyperparameters, particularly for nonexperts, remain. Automated machine learning (AutoML) can streamline this process; however, the issue of interpretability could persist. This research introduces a unified pipeline that combines AutoML with explainable AI (XAI) techniques to optimize metabolomics analysis. We tested our approach on two data sets: renal cell carcinoma (RCC) urine metabolomics and ovarian cancer (OC) serum metabolomics. AutoML, using Auto-sklearn, surpassed standalone ML algorithms like SVM and k-Nearest Neighbors in differentiating between RCC and healthy controls, as well as OC patients and those with other gynecological cancers. The effectiveness of Auto-sklearn is highlighted by its AUC scores of 0.97 for RCC and 0.85 for OC, obtained from the unseen test sets. Importantly, on most of the metrics considered, Auto-sklearn demonstrated a better classification performance, leveraging a mix of algorithms and ensemble techniques. Shapley Additive Explanations (SHAP) provided a global ranking of feature importance, identifying dibutylamine and ganglioside GM(d34:1) as the top discriminative metabolites for RCC and OC, respectively. Waterfall plots offered local explanations by illustrating the influence of each metabolite on individual predictions. Dependence plots spotlighted metabolite interactions, such as the connection between hippuric acid and one of its derivatives in RCC, and between GM3(d34:1) and GM3(18:1_16:0) in OC, hinting at potential mechanistic relationships. Through decision plots, a detailed error analysis was conducted, contrasting feature importance for correctly versus incorrectly classified samples. In essence, our pipeline emphasizes the importance of harmonizing AutoML and XAI, facilitating both simplified ML application and improved interpretability in metabolomics data science.</t>
  </si>
  <si>
    <t>Bifarin, Olatomiwa O.; Fernandez, Facundo M.</t>
  </si>
  <si>
    <t>Fernández, FM (corresponding author), Georgia Inst Technol, Sch Chem &amp; Biochem, Atlanta, GA 30332 USA.; Fernández, FM (corresponding author), Georgia Inst Technol, Petit Inst Bioengn &amp; Biosci, Atlanta, GA 30332 USA.</t>
  </si>
  <si>
    <t>facundo.fernandez@chemistry.gatech.edu</t>
  </si>
  <si>
    <t>NIH [1R01CA218664-01]</t>
  </si>
  <si>
    <t>F.M.F. acknowledges support by NIH 1R01CA218664-01.</t>
  </si>
  <si>
    <t>[Bifarin, Olatomiwa O.; Fernandez, Facundo M.] Georgia Inst Technol, Sch Chem &amp; Biochem, Atlanta, GA 30332 USA; [Fernandez, Facundo M.] Georgia Inst Technol, Petit Inst Bioengn &amp; Biosci, Atlanta, GA 30332 USA</t>
  </si>
  <si>
    <t>University System of Georgia; Georgia Institute of Technology; University System of Georgia; Georgia Institute of Technology</t>
  </si>
  <si>
    <t>Automated Machine Learning and Explainable AI (AutoML-XAI) for Metabolomics: Improving Cancer Diagnostics</t>
  </si>
  <si>
    <t>JOURNAL OF THE AMERICAN SOCIETY FOR MASS SPECTROMETRY</t>
  </si>
  <si>
    <t>metabolomics; automated machine learning; explainableAI; cancer biology; Shapley additive explanations</t>
  </si>
  <si>
    <t>Fernandez, Facundo/B-7015-2008</t>
  </si>
  <si>
    <t>Bifarin, Olatomiwa/0000-0002-5379-0881</t>
  </si>
  <si>
    <t>1044-0305</t>
  </si>
  <si>
    <t>1879-1123</t>
  </si>
  <si>
    <t>J AM SOC MASS SPECTR</t>
  </si>
  <si>
    <t>J. Am. Soc. Mass Spectrom.</t>
  </si>
  <si>
    <t>MAY 1 2024</t>
  </si>
  <si>
    <t>1089</t>
  </si>
  <si>
    <t>10.1021/jasms.3c00403</t>
  </si>
  <si>
    <t>http://dx.doi.org/10.1021/jasms.3c00403</t>
  </si>
  <si>
    <t>Biochemical Research Methods; Chemistry, Analytical; Chemistry, Physical; Spectroscopy</t>
  </si>
  <si>
    <t>Biochemistry &amp; Molecular Biology; Chemistry; Spectroscopy</t>
  </si>
  <si>
    <t>TQ9X4</t>
  </si>
  <si>
    <t>38690775</t>
  </si>
  <si>
    <t>WOS:001241874900001</t>
  </si>
  <si>
    <t>Darekar, G; Murad, T; Miao, HY; Thakuri, DS; Chand, GB</t>
  </si>
  <si>
    <t>Age is a significant risk factor for mild cognitive impairment (MCI) and Alzheimer's disease (AD) and identifying brain age patterns is critical for comprehending the normal aging and MCI/AD processes. Prior studies have widely established the univariate relationships between brain regions and age, while multivariate associations remain largely unexplored. Herein, various artificial intelligence (AI) models were used to perform brain age prediction using an MRI dataset (n = 825). The optimal AI model was then integrated with the feature importance methods, namely Shapley additive explanations (SHAP), local interpretable model-agnostic explanations, and layer-wise relevance propagation, to identify the significant multivariate brain regions hierarchically involved in this prediction. Our results showed that the deep learning model (referred to as AgeNet) outperformed conventional machine learning models for brain age prediction, and that AgeNet integrated with SHAP (referred to as AgeNet-SHAP) identified all ground-truth perturbed regions as key predictors of brain age in semi-simulation, demonstrating the validity of our methodology. In the experimental dataset, when compared to cognitively normal (CN) participants, MCI exhibited moderate differences in brain regions, whereas AD showed highly robust and widely distributed regional differences. Individualized AgeNet-SHAP regional features further showed associations with clinical severity scores in the AD continuum. These results collectively facilitate data-driven explainable AI approaches for disease progression, diagnostics, prognostics, and personalized medicine efforts.</t>
  </si>
  <si>
    <t>Darekar, Gauri; Murad, Taslim; Miao, Hui-Yuan; Thakuri, Deepa S.; Chand, Ganesh B.</t>
  </si>
  <si>
    <t>Chand, GB (corresponding author), Washington Univ, Sch Med, Dept Radiol, 4565 Scott Ave, St Louis, MO 63110 USA.</t>
  </si>
  <si>
    <t>gchand@wustl.edu</t>
  </si>
  <si>
    <t>Mallinckrodt Institute of Radiology [U01 AG024904]; ADNI (National Institutes of Health) [W81XWH-12-2-0012]; DOD ADNI (Department of Defense); National Institute on Aging; National Institute of Biomedical Imaging and Bioengineering; Alzheimer's Association; Alzheimer's Drug Discovery Foundation; Araclon Biotech; Biogen; Bristol-Myers Squibb Company; CereSpir, Inc.; Cogstate; Elan Pharmaceuticals, Inc.; Eli Lilly and Company; EuroImmun; F. Hoffmann-La Roche Ltd; Fujirebio; IXICO Ltd; Johnson &amp; Johnson Pharmaceutical Research &amp; Development LLC.; Merck Co., Inc.; Meso Scale Diagnostics; NeuroRx Research; Novartis Pharmaceuticals Corporation; Pfizer Inc.; Piramal Imaging; Takeda Pharmaceutical Company; Canadian Institutes of Health Research; ADNI clinical sites in Canada; Foundation for the National Institutes of Health; Northern California Institute for Research and Education; Laboratory for Neuro Imaging at the University of Southern California</t>
  </si>
  <si>
    <t>Mallinckrodt Institute of Radiology; ADNI (National Institutes of Health) (United States Department of Health &amp; Human Services, National Institutes of Health (NIH) - USA); DOD ADNI (Department of Defense) (United States Department of Defense); National Institute on Aging (United States Department of Health &amp; Human Services, National Institutes of Health (NIH) - USA, NIH National Institute on Aging (NIA)); National Institute of Biomedical Imaging and Bioengineering (United States Department of Health &amp; Human Services, National Institutes of Health (NIH) - USA, NIH National Institute of Biomedical Imaging &amp; Bioengineering (NIBIB)); Alzheimer's Association (Alzheimer's Association); Alzheimer's Drug Discovery Foundation; Araclon Biotech; Biogen (Biogen); Bristol-Myers Squibb Company (Bristol-Myers Squibb); CereSpir, Inc.; Cogstate (CogState Limited); Elan Pharmaceuticals, Inc.; Eli Lilly and Company (Eli Lilly); EuroImmun; F. Hoffmann-La Roche Ltd (Roche Holding); Fujirebio; IXICO Ltd; Johnson &amp; Johnson Pharmaceutical Research &amp; Development LLC. (Johnson &amp; Johnson, Johnson &amp; Johnson USA); Merck Co., Inc. (Merck &amp; Company); Meso Scale Diagnostics; NeuroRx Research; Novartis Pharmaceuticals Corporation (Novartis); Pfizer Inc. (Pfizer); Piramal Imaging; Takeda Pharmaceutical Company (Takeda Pharmaceutical Company Ltd); Canadian Institutes of Health Research (Canadian Institutes of Health Research (CIHR)); ADNI clinical sites in Canada; Foundation for the National Institutes of Health; Northern California Institute for Research and Education; Laboratory for Neuro Imaging at the University of Southern California</t>
  </si>
  <si>
    <t>The authors acknowledge the publicly available ADNI dataset (https://adni.loni.usc.edu). Data collection and sharing for this project was funded by the ADNI (National Institutes of Health Grant U01 AG024904) and DOD ADNI (Department of Defense award number W81XWH-12-2-0012). ADNI is funded by the National Institute on Aging, the National Institute of Biomedical Imaging and Bioengineering, and through generous contributions from the following: AbbVie, Alzheimer's Association; Alzheimer's Drug Discovery Foundation; Araclon Biotech; BioClinica, Inc.; Biogen; Bristol-Myers Squibb Company; CereSpir, Inc.; Cogstate; Eisai Inc.; Elan Pharmaceuticals, Inc.; Eli Lilly and Company; EuroImmun; F. Hoffmann-La Roche Ltd and its affiliated company Genentech, Inc.; Fujirebio; GE Healthcare; IXICO Ltd; Janssen Alzheimer Immunotherapy Research &amp; Development, LLC.; Johnson &amp; Johnson Pharmaceutical Research &amp; Development LLC.; Lumosity; Lundbeck; Merck &amp; Co., Inc.; Meso Scale Diagnostics, LLC.; NeuroRx Research; Neurotrack Technologies; Novartis Pharmaceuticals Corporation; Pfizer Inc.; Piramal Imaging; Servier; Takeda Pharmaceutical Company; and Transition Therapeutics. The Canadian Institutes of Health Research is providing funds to support ADNI clinical sites in Canada. Private sector contributions are facilitated by the Foundation for the National Institutes of Health (www.fnih.org). The grantee organization is the Northern California Institute for Research and Education, and the study is coordinated by the Alzheimer's Therapeutic Research Institute at the University of Southern California. ADNI data are disseminated by the Laboratory for Neuro Imaging at the University of Southern California. The preliminary preprint of this work is available on medRxiv (doi: https://doi.org/10.1101/2025.02.28.25323097) and will be linked to the published version after the paper is published.</t>
  </si>
  <si>
    <t>[Darekar, Gauri; Murad, Taslim; Miao, Hui-Yuan; Thakuri, Deepa S.; Chand, Ganesh B.] Washington Univ, Mallinckrodt Inst Radiol, Sch Med, Dept Radiol, St Louis, MO 63110 USA; [Darekar, Gauri] Washington Univ, Inst Informat Data Sci &amp; Biostat, Sch Med, St Louis, MO 63110 USA; [Thakuri, Deepa S.] Univ Missouri, Sch Med, Columbia, MO 65212 USA; [Chand, Ganesh B.] Washington Univ, Knight Alzheimer Dis Res Ctr, Sch Med, Imaging Core, St Louis, MO 63110 USA; [Chand, Ganesh B.] Washington Univ, Inst Clin &amp; Translat Sci, Sch Med, St Louis, MO 63110 USA; [Chand, Ganesh B.] Washington Univ, Neurogenom &amp; Informat Ctr, Sch Med, St Louis, MO 63110 USA</t>
  </si>
  <si>
    <t>Washington University (WUSTL); Washington University (WUSTL); University of Missouri System; University of Missouri Columbia; Washington University (WUSTL); Washington University (WUSTL); Washington University (WUSTL)</t>
  </si>
  <si>
    <t>An explainable AI approach for mapping multivariate regional brain age and clinical severity patterns in Alzheimer's disease</t>
  </si>
  <si>
    <t>BIOLOGY METHODS &amp; PROTOCOLS</t>
  </si>
  <si>
    <t>Alzheimer's disease (AD); mild cognitive impairment (MCI); brain age; deep learning (DL); machine learning (ML); feature importance; SHapley Additive exPlanations (SHAP)</t>
  </si>
  <si>
    <t>ASSOCIATIONS; INDIVIDUALS; REGRESSION; SIGNATURES; NETWORK; VOLUME</t>
  </si>
  <si>
    <t>murad, taslim/MGV-9115-2025; Miao, Huiyuan/OOK-2245-2025</t>
  </si>
  <si>
    <t>Chand, Ganesh/0000-0002-9857-5800; murad, taslim/0000-0001-6434-3297; Miao, Huiyuan/0009-0007-4127-4146</t>
  </si>
  <si>
    <t>2396-8923</t>
  </si>
  <si>
    <t>BIOL METHODS PROTOC</t>
  </si>
  <si>
    <t>Biol. Methods Protoc.</t>
  </si>
  <si>
    <t>bpaf051</t>
  </si>
  <si>
    <t>10.1093/biomethods/bpaf051</t>
  </si>
  <si>
    <t>http://dx.doi.org/10.1093/biomethods/bpaf051</t>
  </si>
  <si>
    <t>Biochemical Research Methods</t>
  </si>
  <si>
    <t>6KZ2Y</t>
  </si>
  <si>
    <t>40860594</t>
  </si>
  <si>
    <t>WOS:001555854900001</t>
  </si>
  <si>
    <t>Arjmandi, N; Sebzari, AR; Molaei, F; Rezaei, S; Rezaie-Yazdi, M; Rezaie-Yazdi, M</t>
  </si>
  <si>
    <t>Purpose This study evaluated the impact of a commercial AI-assisted contouring tool on intra- and inter-observer variability in prostate radiation therapy and assessed the dosimetric consequences of geometric contour differences.Methods Two experienced radiation oncologists independently delineated clinical target volume (CTV) and organs at risk (OARs) for prostate cancer patients. Manual contours (Cman) and AI-generated contours (CAI) were compared with adjusted AI contours (CAI,adj). A consensus reference (Cref) served as the benchmark. To evaluate clinical impact, treatment plans were recalculated and replanned on each contour set under identical beam geometries to assess dose-volume histogram (DVH) parameters.Results AI-assisted contouring significantly improved both intra- and inter-observer agreement. Inter-observer analysis revealed that the Dice similarity coefficient (DSCs) for CTV increased from 0.78 (+/- 0.11) for Cman to 0.89 (+/- 0.09) for CAI, adj. Similarly, intra-observer analysis revealed that both oncologists showed significantly higher DSCs for CAI, adj compared to Cman. A thorough geometric comparison to the Cref revealed that while adjustments to CAI improved accuracy, they generally did not surpass Cman for CTV and rectum. Dosimetric analyses demonstrated that, under fixed plan geometry, both Cman and CAI,adj contours yielded lower planning target volume (PTV) D95% values compared with Cref, whereas after replanning, all plans met institutional criteria with no clinically significant differences among contour sets.Conclusion AI-assisted contouring in prostate radiotherapy reduced intra- and inter-observer variability and improved contouring consistency. However, CAI, adj did not consistently surpass Cman, especially for the CTV and rectum, where automation bias or selective clinical acceptance may have influenced edits. Fixed-plan recalculations revealed dose differences from minor geometric deviations. These findings underscore the importance of structured quality assurance (QA) and human oversight to mitigate automation bias while leveraging AI's efficiency. The single-institution design with two oncologists and one AI software limits generalizability, underscoring the need for multi-observer validation.</t>
  </si>
  <si>
    <t>Arjmandi, Najmeh; Sebzari, Ahmed Reza; Molaei, Fatemeh; Rezaei, Saeid; Rezaie-Yazdi, Maryam; Rezaie-Yazdi, Malihe</t>
  </si>
  <si>
    <t>Rezaie-Yazdi, M; Rezaie-Yazdi, M (corresponding author), Birjand Univ Med Sci, Iran Mehr Hosp, Dept Radiat Oncol, Phys Unit, Birjand, Iran.</t>
  </si>
  <si>
    <t>Maryam.rez2002@gmail.com; Malihe.rezaie92@gmail.com</t>
  </si>
  <si>
    <t>[Arjmandi, Najmeh] Gerash Univ Med Sci, Sch Paramed Sci, Dept Radiol, Gerash, Iran; [Sebzari, Ahmed Reza] Birjand Univ Med Sci, Sch Med, Dept Internal Med, Birjand, Iran; [Sebzari, Ahmed Reza; Molaei, Fatemeh] Birjand Univ Med Sci, Iran Mehr Hosp, Dept Radiat Oncol, Birjand, Iran; [Rezaei, Saeid] Univ Tehran Med Sci, Canc Res Inst, Radiat Oncol Res Ctr, Tehran, Iran; [Rezaie-Yazdi, Maryam; Rezaie-Yazdi, Malihe] Birjand Univ Med Sci, Iran Mehr Hosp, Dept Radiat Oncol, Phys Unit, Birjand, Iran</t>
  </si>
  <si>
    <t>Birjand University of Medical Sciences; Birjand University of Medical Sciences; Tehran University of Medical Sciences; Birjand University of Medical Sciences</t>
  </si>
  <si>
    <t>Clinical validation of AI-assisted contouring in prostate radiation therapy treatment planning: Highlighting automation bias and the need for standardized quality assurance</t>
  </si>
  <si>
    <t>JOURNAL OF APPLIED CLINICAL MEDICAL PHYSICS</t>
  </si>
  <si>
    <t>Auto-contouring; Automation bias; Deep learning; Inter-observer variability; Intra-observer variability; Quality assurance; Radiotherapy</t>
  </si>
  <si>
    <t>IMPLEMENTATION; ACCURACY</t>
  </si>
  <si>
    <t>1526-9914</t>
  </si>
  <si>
    <t>J APPL CLIN MED PHYS</t>
  </si>
  <si>
    <t>J. Appl. Clin. Med. Phys</t>
  </si>
  <si>
    <t>e70425</t>
  </si>
  <si>
    <t>10.1002/acm2.70425</t>
  </si>
  <si>
    <t>http://dx.doi.org/10.1002/acm2.70425</t>
  </si>
  <si>
    <t>Z5065</t>
  </si>
  <si>
    <t>41414851</t>
  </si>
  <si>
    <t>WOS:001642680500001</t>
  </si>
  <si>
    <t>Nayan, NM; Rana, A; Islam, MM; Uddin, J; Yasmin, T; Uddin, J</t>
  </si>
  <si>
    <t>Parkinson's disease (PD) is a progressive neurological disorder that affects millions globally, posing significant challenges in early and accurate diagnosis. Recent advancements in machine learning (ML) offer promising approaches for addressing these challenges by enabling more precise and efficient PD predictions. This paper proposes an enhanced ML framework for PD prediction, integrating data balancing, feature selection, and explainable AI techniques. We evaluate nine different ML algorithms using a dataset of clinical and voice features. To address the class imbalance, we employ the Synthetic Minority Oversampling Technique (SMOTE) and NearMiss, comparing results to an imbalanced baseline. Feature engineering approaches, including Featurewiz, Tree based Feature Importance and the chi-square test, are utilized to identify key predictive features such as Pitch Period Entropy (PPE), Noise-to-Harmonic Ratio (NHR), and other voice biomarkers. Explainable AI (XAI) techniques (SHAP and LIME) interpret model decision-making and highlight influential features. The best-performing model, KNN with SMOTE, achieved 92% accuracy, F1-score 0.94, and a G-Mean of 0.95-demonstrating balanced, reliable PD detection. While some models achieved higher accuracy on imbalanced data (up to 97%), their performance lacked sensitivity and balance. Our findings suggest that combining SMOTE with feature engineering and XAI substantially enhances model fairness, performance, and interpretability. This research advances PD prediction by providing an accurate and interpretable ML-based diagnostic tool to support early diagnosis and better patient management.</t>
  </si>
  <si>
    <t>Nayan, Nasim Mahmud; Rana, Al Mamun; Islam, Md. Monirul; Uddin, Jia; Yasmin, Tahmina; Uddin, Jasim</t>
  </si>
  <si>
    <t>Uddin, J (corresponding author), Cardiff Metropolitan Univ, Cardiff Sch Technol, EM RFMic Engn Grp, Cardiff, Wales.</t>
  </si>
  <si>
    <t>juddin@cardiffmet.ac.uk</t>
  </si>
  <si>
    <t>[Nayan, Nasim Mahmud] Univ Informat Technol &amp; Sci UITS, Dept Comp Sci &amp; Engn, Dhaka, Bangladesh; [Rana, Al Mamun] Rajshahi Univ, Fac Fine Arts, Rajshahi, Bangladesh; [Islam, Md. Monirul] Hankuk Univ Foreign Studies, Dept Informat &amp; Commun Engn, Seoul, South Korea; [Uddin, Jia] Woosong Univ, Artificial Intelligence &amp; Big Data Dept, Daejeon, South Korea; [Yasmin, Tahmina] Univ Birmingham, Sch Geog Earth &amp; Environm Sci, Birmingham, England; [Uddin, Jasim] Cardiff Metropolitan Univ, Cardiff Sch Technol, EM RFMic Engn Grp, Cardiff, Wales</t>
  </si>
  <si>
    <t>University of Rajshahi; Hankuk University Foreign Studies; Woosong University; University of Birmingham; Cardiff Metropolitan University</t>
  </si>
  <si>
    <t>An interpretable and balanced machine learning framework for Parkinson's disease prediction using feature engineering and explainable AI</t>
  </si>
  <si>
    <t>HEALTH-CARE; BIG DATA; ANALYTICS</t>
  </si>
  <si>
    <t>Yasmin, Tahmina/0000-0001-8915-9963</t>
  </si>
  <si>
    <t>e0333418</t>
  </si>
  <si>
    <t>10.1371/journal.pone.0333418</t>
  </si>
  <si>
    <t>http://dx.doi.org/10.1371/journal.pone.0333418</t>
  </si>
  <si>
    <t>9IC9N</t>
  </si>
  <si>
    <t>41171887</t>
  </si>
  <si>
    <t>WOS:001606905600020</t>
  </si>
  <si>
    <t>Sreekala, R; Malathi, D</t>
  </si>
  <si>
    <t>Skin cancer is a significant worldwide health problem, and early identification is important in providing better treatment and enhancing patient recovery. But accurately diagnosing skin cancer is complex because of the diverse range of subtypes and the complex nature. To tackle this issue, this work presents an explainable artificial intelligence (XAI)-based approach for skin cancer segmentation and classification. The suggested model combines a Channel Attention U-Net (CA-U-Net) for lesion segmentation and classification. The CA-U-Net considers attention mechanisms for delineating important features and enhancing the segmentation accuracy of skin lesions. Further, it integrates the Arctic puffin optimizer (APO) for hyperparameter optimization and enhances classification performance. Furthermore, the XAI module-based Grad-CAM provides visual interpretability by making saliency maps and allows clinicians to obtain an understanding into the decision-making process. The demonstration on the two benchmark skin cancer datasets shows that the proposed XAI-based model is superior over existing methods with respect to accuracies of 99.0% and 99.3%, respectively.</t>
  </si>
  <si>
    <t>Sreekala, R.; Malathi, D.</t>
  </si>
  <si>
    <t>Sreekala, R (corresponding author), SRM Inst Sci &amp; Technol, Dept Comp Technol, Kattankulathur 603203, Tamil Nadu, India.</t>
  </si>
  <si>
    <t>sr5749@srmist.edu.in</t>
  </si>
  <si>
    <t>[Sreekala, R.; Malathi, D.] SRM Inst Sci &amp; Technol, Dept Comp Technol, Chengalpattu, India</t>
  </si>
  <si>
    <t>SRM Institute of Science &amp; Technology Chennai</t>
  </si>
  <si>
    <t>Explainable AI-based skin cancer segmentation and classification using channel attention U-Net</t>
  </si>
  <si>
    <t>JOURNAL OF THE CHINESE INSTITUTE OF ENGINEERS</t>
  </si>
  <si>
    <t>Skin cancer; explainable artificial intelligence; channel attention U-Net; arctic puffin optimizer</t>
  </si>
  <si>
    <t>0253-3839</t>
  </si>
  <si>
    <t>2158-7299</t>
  </si>
  <si>
    <t>J CHIN INST ENG</t>
  </si>
  <si>
    <t>J. Chin. Inst. Eng.</t>
  </si>
  <si>
    <t>10.1080/02533839.2026.2662929</t>
  </si>
  <si>
    <t>http://dx.doi.org/10.1080/02533839.2026.2662929</t>
  </si>
  <si>
    <t>HG8CK</t>
  </si>
  <si>
    <t>WOS:001753701400001</t>
  </si>
  <si>
    <t>Sharma, N; Lalwani, P</t>
  </si>
  <si>
    <t>Diabetic Retinopathy (DR) is a serious condition affecting diabetes people caused by hemorrhage in the light-sensitive retinal area. DR sufferers should receive urgent therapy to avoid vision loss. The intelligent medical diagnosis system for DR is evolving as a result of the inclusion of Artificial Intelligence (AI) technology. The current AI-driven DR diagnosis techniques are hampered by numerous serious challenges, which undermine their performance. Model performance is generally degraded by low contrast, inhomogeneous lighting, and noise, rendering accurate results hard to achieve. As a result, the proposed study has created an Adaptive Gabor Filter (AGF) based on the Chaotic Map to improve filtering performance. The multi-folded features like Local Binary Patterns (LBP), Speeded-Up Robust Features (SURF), and Texture Energy Measurement (TEM) are extracted and fed into classification phase. The classification phase has the Attention layer, the dense block of DenseNet, and Optimized Gated Recurrent Unit (OGRU) based on a Self-Adaptive Northern Goshawk Optimization (SANGO) algorithm for enhancing classification performance. The system was evaluated using three datasets: DiaRetDB1, APTOS 2019, and EyePacs, which demonstrated its robustness and reliability. Furthermore, the Grad Cam in the suggested technique assures the effective implementation of segmentation and classification performance. Performance is demonstrated by the use of Intersection over Union (IoU), Accuracy, Precision, Recall, F1-Measure, Dice Similarity Coefficient (DSC), and other metrics. In addition, the five-fold categorization is used to analyse the outcome performance. The suggested model achieved an accuracy of 99.01% on the DiaRetDB1 dataset, 98.98% on the APTOS 2019 dataset, and 99.12% on the EyePacs dataset.</t>
  </si>
  <si>
    <t>Sharma, Neeraj; Lalwani, Praveen</t>
  </si>
  <si>
    <t>Sharma, N (corresponding author), VIT Bhopal Univ, Sch Comp Sci &amp; Engn, Sehore 466114, Madhya Pradesh, India.</t>
  </si>
  <si>
    <t>neeraj.sharma2019@vitbhopal.ac.in</t>
  </si>
  <si>
    <t>[Sharma, Neeraj; Lalwani, Praveen] VIT Bhopal Univ, Sch Comp Sci &amp; Engn, Sehore 466114, Madhya Pradesh, India</t>
  </si>
  <si>
    <t>VIT Bhopal University</t>
  </si>
  <si>
    <t>A multi model deep net with an explainable AI based framework for diabetic retinopathy segmentation and classification</t>
  </si>
  <si>
    <t>Diabetic Retinopathy; Adaptive Gabor filter; Modified U-Net; Multi-folded features; Self-Adaptive Northern Goshawk Optimization; Explainable AI and Grad Cam</t>
  </si>
  <si>
    <t>lalwani, praveen/AAP-4547-2020; Sharma, Neeraj/JXL-9261-2024</t>
  </si>
  <si>
    <t>Sharma, Neeraj/0009-0009-9258-6961</t>
  </si>
  <si>
    <t>MAR 13 2025</t>
  </si>
  <si>
    <t>8777</t>
  </si>
  <si>
    <t>10.1038/s41598-025-93376-9</t>
  </si>
  <si>
    <t>http://dx.doi.org/10.1038/s41598-025-93376-9</t>
  </si>
  <si>
    <t>0DQ7F</t>
  </si>
  <si>
    <t>40082685</t>
  </si>
  <si>
    <t>WOS:001444883200030</t>
  </si>
  <si>
    <t>Muhammad, A; Jin, Q; Musaddiq, MH; Mir, MS; Alkanan, M; Gulzar, Y</t>
  </si>
  <si>
    <t>Accurate and early classification of brain tumors using magnetic resonance imaging (MRI) plays a vital role in guiding timely diagnosis and therapeutic intervention. Traditional convolutional neural networks (CNNs) excel at capturing local anatomical patterns but often struggle with contextual reasoning, while Vision Transformers (ViTs) model long-range dependencies but may overlook fine-grained tumor details. To bridge this gap, we propose a hybrid deep learning framework that fuses ResNet and ViT backbones through a Cross-Gated Multi-Path Attention Fusion (CG-MAF) mechanism. CG-MAF performs dynamic, pixel-wise integration of local and global features using cross-attention and learnable gating, thereby adapting to the heterogeneous texture and spatial complexity of brain tumors. To further enhance interpretability and predictive stability, a gate-consistency loss is introduced, which enforces alignment between dual-branch attentional cues. Evaluated on a composite four-class brain MRI dataset, our model achieves state-of-the-art accuracy of 99.81% and an AUC of 0.9999. Ablation studies confirm the critical role of CG-MAF and gate-consistency loss, while Grad-CAM and Integrated Gradients provide multi-scale visual explanations that validate the model's attention on clinically relevant tumor regions. These findings highlight the potential of our approach for robust and interpretable brain tumor classification. All source code, trained models, and experimental results are publicly available at: https://github.com/MuhammadAhmad7171/Advance-brain-tumor to support full reproducibility.</t>
  </si>
  <si>
    <t>Muhammad, Ahmad; Jin, Qi; Hammad Musaddiq, Muhammad; Shuaib Mir, Mohammad; Alkanan, Mohannad; Gulzar, Yonis</t>
  </si>
  <si>
    <t>Jin, Q (corresponding author), Univ Elect Sci &amp; Technol China, Sch Informat &amp; Commun Engn, Chengdu 611731, Peoples R China.; Gulzar, Y (corresponding author), King Faisal Univ, Coll Business Adm, Dept Management Informat Syst, Al Hasa 31982, Saudi Arabia.</t>
  </si>
  <si>
    <t>ygulzar@kfu.edu.sa; qijin@uestc.edu.cn</t>
  </si>
  <si>
    <t>Deanship of Scientific Research, operating under the Vice Presidency for Graduate Studies and Scientific Research, King Faisal University, Saudi Arabia [KFU253161]; NNSFC CAAC [U2133211]</t>
  </si>
  <si>
    <t>Deanship of Scientific Research, operating under the Vice Presidency for Graduate Studies and Scientific Research, King Faisal University, Saudi Arabia; NNSFC CAAC</t>
  </si>
  <si>
    <t>This study has been supported by the Deanship of Scientific Research, operating under the Vice Presidency for Graduate Studies andScientific Research, King Faisal University, Saudi Arabia with Grant number KFU253161. The authors also acknowledge the funding bythe NNSFC &amp; CAAC under Grant U2133211.</t>
  </si>
  <si>
    <t>[Muhammad, Ahmad; Jin, Qi; Hammad Musaddiq, Muhammad] Univ Elect Sci &amp; Technol China, Sch Informat &amp; Commun Engn, Chengdu 611731, Peoples R China; [Shuaib Mir, Mohammad; Alkanan, Mohannad; Gulzar, Yonis] King Faisal Univ, Coll Business Adm, Dept Management Informat Syst, Al Hasa 31982, Saudi Arabia</t>
  </si>
  <si>
    <t>University of Electronic Science &amp; Technology of China; King Faisal University</t>
  </si>
  <si>
    <t>Explainable AI for Brain Tumor Classification Using Cross-Gated Multi-Path Attention Fusion and Gate-Consistency Loss</t>
  </si>
  <si>
    <t>Logic gates; Magnetic resonance imaging; Brain modeling; Accuracy; Brain tumors; Convolutional neural networks; Pipelines; Feature extraction; Transformers; Adaptation models; Brain tumor classification; MRI; deep learning; convolutional neural networks (CNN); vision transformer (ViT); hybrid models; cross-gated multi-path attention fusion (CG-MAF); gate-consistency loss; medical imaging; interpretability</t>
  </si>
  <si>
    <t>Alkanan, Mohannad/MEO-4773-2025; Mir, Mohammad Shuaib/KIG-0727-2024; Gulzar, Yonis/X-6394-2019</t>
  </si>
  <si>
    <t>, Muhammad Ahmad/0009-0003-6491-3802; Mir, Mohammad Shuaib/0009-0008-3212-5111; Gulzar, Yonis/0000-0002-6515-1569; Musaddiq, Muhammad Hammad/0000-0002-8656-4194</t>
  </si>
  <si>
    <t>192731</t>
  </si>
  <si>
    <t>192746</t>
  </si>
  <si>
    <t>10.1109/ACCESS.2025.3629532</t>
  </si>
  <si>
    <t>http://dx.doi.org/10.1109/ACCESS.2025.3629532</t>
  </si>
  <si>
    <t>I3564</t>
  </si>
  <si>
    <t>WOS:001626465900036</t>
  </si>
  <si>
    <t>Roach, M III; Zhang, JB; Mohamad, O; van der Wal, D; Simko, JP; DeVries, S; Huang, HC; Joun, S; Schaeffer, EM; Morgan, TM; Keim-Malpass, J; Chen, E; Yamashita, R; Monson, JM; Naz, F; Wallace, J; Bahary, JP; Wilke, D; Batra, S; Biedermann, GB; Faria, S; Hwang, L; Sandler, HM; Spratt, DE; Pugh, SL; Esteva, A; Tran, PT; Feng, FY</t>
  </si>
  <si>
    <t>PURPOSEArtificial intelligence (AI) tools could improve clinical decision making or exacerbate inequities because of bias. African American (AA) men reportedly have a worse prognosis for prostate cancer (PCa) and are underrepresented in the development genomic biomarkers. We assess the generalizability of tools developed using a multimodal AI (MMAI) deep learning system using digital histopathology and clinical data from NRG/Radiation Therapy Oncology Group PCa trials across racial subgroups. METHODSIn total, 5,708 patients from five randomized phase III trials were included. Two MMAI algorithms were evaluated: (1) the distant metastasis (DM) MMAI model optimized to predict risk of DM, and (2) the PCa-specific mortality (PCSM) MMAI model optimized to focus on prediction death in the presence of DM (DDM). The prognostic performance of the MMAI algorithms was evaluated in AA and non-AA subgroups using time to DM (primary end point) and time to DDM (secondary end point). Exploratory end points included time to biochemical failure and overall survival with Fine-Gray or Cox proportional hazards models. Cumulative incidence estimates were computed for time-to-event end points and compared using Gray's test. RESULTSThere were 948 (16.6%) AA patients, 4,731 non-AA patients (82.9%), and 29 (0.5%) patients with unknown or missing race status. The DM-MMAI algorithm showed a strong prognostic signal for DM in the AA (subdistribution hazard ratio [sHR], 1.2 [95% CI, 1.0 to 1.3]; P = .007) and non-AA subgroups (sHR, 1.4 [95% CI, 1.3 to 1.5]; P &lt; .001). Similarly, the PCSM-MMAI score showed a strong prognostic signal for DDM in both AA (sHR, 1.3 [95% CI, 1.1 to 1.5]; P = .001) and non-AA subgroups (sHR, 1.5 [95% CI, 1.4 to 1.6]; P &lt; .001), with similar distributions of risk. CONCLUSIONUsing cooperative group data sets with a racially diverse population, the MMAI algorithm performed well across racial subgroups without evidence of algorithmic bias.</t>
  </si>
  <si>
    <t>Roach III, Mack; Zhang, Jingbin; Mohamad, Osama; van der Wal, Douwe; Simko, Jeffry P.; DeVries, Sandy; Huang, Huei-Chung; Joun, Songwan; Schaeffer, Edward M.; Morgan, Todd M.; Keim-Malpass, Jessica; Chen, Emmalyn; Yamashita, Rikiya; Monson, Jedidiah M.; Naz, Farah; Wallace, James; Bahary, Jean-Paul; Wilke, Derek; Batra, Sonny; Biedermann, Gregory B.; Faria, Sergio; Hwang, Lindsay; Sandler, Howard M.; Spratt, Daniel E.; Pugh, Stephanie L.; Esteva, Andre; Tran, Phuoc T.; Feng, Felix Y.</t>
  </si>
  <si>
    <t>Roach, M III (corresponding author), UCSF, Med Ctr, San Francisco, CA 94143 USA.</t>
  </si>
  <si>
    <t>mack.roach@ucsf.edu</t>
  </si>
  <si>
    <t>NCORP [UG1CA189867]; NRGOncology Operations [U10CA180868]; NRG Oncology SDMC [U10CA180822]; NRG Specimen Bank [U24CA196067]; National Cancer Institute(NCI)</t>
  </si>
  <si>
    <t>NCORP; NRGOncology Operations; NRG Oncology SDMC; NRG Specimen Bank; National Cancer Institute(NCI) (United States Department of Health &amp; Human Services, National Institutes of Health (NIH) - USA, NIH National Cancer Institute (NCI))</t>
  </si>
  <si>
    <t>Supported by grants UG1CA189867 (NCORP), U10CA180868 (NRGOncology Operations), U10CA180822 (NRG Oncology SDMC), and U24CA196067 (NRG Specimen Bank), and the National Cancer Institute(NCI)</t>
  </si>
  <si>
    <t>[Roach III, Mack; Simko, Jeffry P.; DeVries, Sandy] UCSF, Med Ctr, San Francisco, CA 94143 USA; [Zhang, Jingbin; van der Wal, Douwe; Huang, Huei-Chung; Joun, Songwan; Keim-Malpass, Jessica; Chen, Emmalyn; Yamashita, Rikiya; Esteva, Andre] Artera, Santa Barbara, CA USA; [Mohamad, Osama; Feng, Felix Y.] Univ Calif San Francisco, San Francisco, CA USA; [Schaeffer, Edward M.] Northwestern Univ, Chicago, IL USA; [Morgan, Todd M.] Univ Michigan, Comprehens Canc Ctr, Ann Arbor, MI USA; [Monson, Jedidiah M.] Fresno Inc, Hematol Oncol Med Grp, Fresno, CA USA; [Naz, Farah] St Johns Hosp, Horizon Hlth Network, St John, NB, Canada; [Wallace, James] Ingalls Mem Hosp, Harvey, IL USA; [Bahary, Jean-Paul] CHUM Ctr Hosp Univ Montreal, Montreal, PQ, Canada; [Wilke, Derek] Nova Scotia Hlth, QEII Hlth Sci Ctr, Nova Scotia Canc Ctr, Halifax, NS, Canada; [Batra, Sonny] VA Boston Healthcare Syst, Boston, MA USA; [Biedermann, Gregory B.] Univ Missouri Ellis Fischel, Columbia, MO USA; [Faria, Sergio] McGill Univ, Res Inst, Hlth Ctr, Montreal, PQ, Canada; [Hwang, Lindsay] USC, Keck Sch Med, Los Angeles, CA USA; [Sandler, Howard M.] Cedars Sinai Med Ctr, Los Angeles, CA USA; [Spratt, Daniel E.] Case Western Reserve Univ, Univ Hosp Seidman Canc Ctr, Cleveland, OH USA; [Pugh, Stephanie L.] NRG Oncol Stat &amp; Data Management Ctr, Philadelphia, PA USA; [Pugh, Stephanie L.] Amer Coll Radiol, Philadelphia, PA USA; [Tran, Phuoc T.] Johns Hopkins Univ, Sidney Kimmel Canc Ctr, Baltimore, MD USA</t>
  </si>
  <si>
    <t>University of California System; University of California San Francisco; UCSF Medical Center; University of California System; University of California San Francisco; Northwestern University; University of Michigan System; University of Michigan; Universite de Montreal; Queen Elizabeth II Health Sciences Centre; Nova Scotia Health Authority; Harvard University; US Department of Veterans Affairs; Harvard University Medical Affiliates; Veterans Health Administration (VHA); VA Boston Healthcare System; University of Missouri System; University of Missouri Columbia; McGill University; University of Southern California; University of Southern California Keck Hospital; Cedars Sinai Medical Center; University System of Ohio; Case Western Reserve University; American College of Radiology; Johns Hopkins University</t>
  </si>
  <si>
    <t>Assessing Algorithmic Fairness With a Multimodal Artificial Intelligence Model in Men of African and Non-African Origin on NRG Oncology Prostate Cancer Phase III Trials</t>
  </si>
  <si>
    <t>JCO CLINICAL CANCER INFORMATICS</t>
  </si>
  <si>
    <t>RADIATION-THERAPY; ANDROGEN SUPPRESSION; HEALTH-CARE; BIG DATA; RADIOTHERAPY; SURVIVAL; RACE; BIAS; RECOMMENDATIONS; DEPRIVATION</t>
  </si>
  <si>
    <t>Spratt, Daniel/AAM-4612-2020; Morgan, Todd/A-8531-2012</t>
  </si>
  <si>
    <t>Biedermann, Gregory/0000-0002-1584-1756; Schaeffer, Edward/0000-0003-0699-1899</t>
  </si>
  <si>
    <t>2473-4276</t>
  </si>
  <si>
    <t>JCO CLIN CANCER INFO</t>
  </si>
  <si>
    <t>JCO Clin. Cancer Info.</t>
  </si>
  <si>
    <t>e2400284</t>
  </si>
  <si>
    <t>10.1200/CCI-24-00284</t>
  </si>
  <si>
    <t>http://dx.doi.org/10.1200/CCI-24-00284</t>
  </si>
  <si>
    <t>ER3XI</t>
  </si>
  <si>
    <t>40344545</t>
  </si>
  <si>
    <t>WOS:001707922600001</t>
  </si>
  <si>
    <t>Chakravarthy, SRS; Bharanidharan, N; Vinothini, C; Kumar, VV; Mahesh, TR; Guluwadi, S</t>
  </si>
  <si>
    <t>A recent global health crisis, COVID-19 is a significant global health crisis that has profoundly affected lifestyles. The detection of such diseases from similar thoracic anomalies using medical images is a challenging task. Thus, the requirement of an end-to-end automated system is vastly necessary in clinical treatments. In this way, the work proposes a Squeeze-and-Excitation Attention-based ResNet50 (SEA-ResNet50) model for detecting COVID-19 utilizing chest X-ray data. Here, the idea lies in improving the residual units of ResNet50 using the squeeze-and-excitation attention mechanism. For further enhancement, the Ranger optimizer and adaptive Mish activation function are employed to improve the feature learning of the SEA-ResNet50 model. For evaluation, two publicly available COVID-19 radiographic datasets are utilized. The chest X-ray input images are augmented during experimentation for robust evaluation against four output classes namely normal, pneumonia, lung opacity, and COVID-19. Then a comparative study is done for the SEA-ResNet50 model against VGG-16, Xception, ResNet18, ResNet50, and DenseNet121 architectures. The proposed framework of SEA-ResNet50 together with the Ranger optimizer and adaptive Mish activation provided maximum classification accuracies of 98.38% (multiclass) and 99.29% (binary classification) as compared with the existing CNN architectures. The proposed method achieved the highest Kappa validation scores of 0.975 (multiclass) and 0.98 (binary classification) over others. Furthermore, the visualization of the saliency maps of the abnormal regions is represented using the explainable artificial intelligence (XAI) model, thereby enhancing interpretability in disease diagnosis.</t>
  </si>
  <si>
    <t>Sannasi Chakravarthy, S. R.; Bharanidharan, N.; Vinothini, C.; Vinoth Kumar, Venkatesan; Mahesh, T. R.; Guluwadi, Suresh</t>
  </si>
  <si>
    <t>[Sannasi Chakravarthy, S. R.] Bannari Amman Inst Technol, Dept Elect &amp; Commun Engn, Sathyamangalam, India; [Bharanidharan, N.; Vinoth Kumar, Venkatesan] Vellore Inst Technol, Sch Comp Sci Engn &amp; Informat Syst, Vellore 632014, India; [Vinothini, C.] Dayananda Sagar Coll Engn, Dept Comp Sci &amp; Engn, Bangalore, India; [Mahesh, T. R.] JAIN, Dept Comp Sci &amp; Engn, Bengaluru 562112, India; [Guluwadi, Suresh] Adama Sci &amp; Technol Univ, Adama 302120, Ethiopia</t>
  </si>
  <si>
    <t>Bannari Amman Institute of Technology; Vellore Institute of Technology (VIT); VIT Vellore; Dayananda Sagar College of Engineering; Adama Science &amp; Technology University</t>
  </si>
  <si>
    <t>Adaptive Mish activation and ranger optimizer-based SEA-ResNet50 model with explainable AI for multiclass classification of COVID-19 chest X-ray images</t>
  </si>
  <si>
    <t>X-ray; COVID-19; Transfer learning; Explainable artificial intelligence; Deep-learning; Attention mechanism</t>
  </si>
  <si>
    <t>TR, Mahesh/AAC-2339-2020; N, BHARANIDHARAN/ABD-8512-2020</t>
  </si>
  <si>
    <t>N, BHARANIDHARAN/0000-0001-9064-8238; S R, Sannasi Chakravarthy/0000-0002-0162-7206</t>
  </si>
  <si>
    <t>206</t>
  </si>
  <si>
    <t>10.1186/s12880-024-01394-2</t>
  </si>
  <si>
    <t>http://dx.doi.org/10.1186/s12880-024-01394-2</t>
  </si>
  <si>
    <t>C2I8U</t>
  </si>
  <si>
    <t>39123118</t>
  </si>
  <si>
    <t>WOS:001287653900001</t>
  </si>
  <si>
    <t>Zabala, G; Pruitt, ZM; Fairbanks, RJ; Ratwani, R</t>
  </si>
  <si>
    <t>Background:Artificial intelligence (AI) technologies hold great promise for improving patient outcomes, reducing clinician workload, and enhancing patient engagement. However, improper design, implementation, and monitoring can introduce significant safety risks. Health care quality and safety leaders play a critical role in mitigating these risks. As AI adoption accelerates, understanding how these leaders perceive their institutions' progress in assessing and managing AI safety is critical for identifying gaps, addressing potential risks, and guiding safer clinical integration.Methods:Semi-structured interviews were conducted with 22 quality and safety leaders from 19 US health care organizations between March and April 2024. Participants included leaders from both single hospitals and multi-hospital systems, with an average of 16 years of experience. None had formal AI training, but some reported practical exposure. Interviews focused on participants' knowledge of AI, organizational structures for AI governance, and barriers to safe AI implementation. Thematic analysis was used to identify common themes and knowledge gaps.Results:Most organizations (78.9%) reported using steering committees for AI oversight, with some combining this with IT, research, or innovation teams. Barriers to AI implementation included interoperability challenges (78.9%), lack of AI expertise (68.4%), and difficulty evaluating AI effectiveness (52.6%). Participants highlighted the need for stronger governance and evidence-based tools but noted variability in their organizations' preparedness to adopt AI.Discussion:Health care organizations lack standardized approaches to AI safety and often rely on fragmented governance structures. Leaders emphasized the need for enhanced expertise, solutions to barriers that affect implementation, and alignment of AI tools with organizational priorities.Conclusions:Strengthening organizational knowledge, governance, and solution generation to barriers of implementation is essential to safely integrate AI into clinical care. Addressing these gaps will support patient safety and optimize AI's potential benefits.</t>
  </si>
  <si>
    <t>Zabala, Garrett; Pruitt, Zoe M.; Fairbanks, Rollin J.; Ratwani, Raj</t>
  </si>
  <si>
    <t>Pruitt, ZM (corresponding author), MedStar Hlth Natl Ctr Human Factors Healthcare, Dept Emergency Med, 3007 Tilden St, Suite 6N, NW, Washington, DC 20008 USA.</t>
  </si>
  <si>
    <t>Terry.Fairbanks@Medstar.net; garrett.zabala@medstar.net; Raj.M.Ratwani@medstar.net; zoe.m.pruitt@medstart.net</t>
  </si>
  <si>
    <t>Agency for Healthcare Research and Quality Safety Program for Telemedicine [R01 HS026481]</t>
  </si>
  <si>
    <t>Agency for Healthcare Research and Quality Safety Program for Telemedicine</t>
  </si>
  <si>
    <t>This work was funded by a grant from the Agency for Healthcare Research and Quality. Grant Award Number: R01 HS026481</t>
  </si>
  <si>
    <t>[Zabala, Garrett; Pruitt, Zoe M.; Ratwani, Raj] MedStar Hlth, MedStar Hlth Res Inst, MedStar Hlth Natl Ctr Human Factors Healthcare, Washington, DC USA; [Fairbanks, Rollin J.] MedStar Hlth, MedStar Hlth Inst Qual &amp; Safety, Columbia, MD USA; [Fairbanks, Rollin J.; Ratwani, Raj] Georgetown Univ, Dept Emergency Med, Sch Med, Washington, DC USA</t>
  </si>
  <si>
    <t>MedStar Health Research Institute; Georgetown University</t>
  </si>
  <si>
    <t>Assessing the Readiness of Health Care Organizations for Safe AI Integration: Perspectives From Quality and Safety Leaders</t>
  </si>
  <si>
    <t>JOURNAL OF PATIENT SAFETY</t>
  </si>
  <si>
    <t>artificial intelligence in health care; AI safety; clinical AI integration; AI governance; patient safety; health care quality; AI readiness; organizational structures; AI implementation barriers; health care leadership; health IT governance; AI oversight; digital health</t>
  </si>
  <si>
    <t>Ratwani, Raj/B-1375-2009</t>
  </si>
  <si>
    <t>1549-8417</t>
  </si>
  <si>
    <t>1549-8425</t>
  </si>
  <si>
    <t>J PATIENT SAF</t>
  </si>
  <si>
    <t>J. Patient Saf.</t>
  </si>
  <si>
    <t>10.1097/PTS.0000000000001428</t>
  </si>
  <si>
    <t>http://dx.doi.org/10.1097/PTS.0000000000001428</t>
  </si>
  <si>
    <t>EA1IJ</t>
  </si>
  <si>
    <t>41324142</t>
  </si>
  <si>
    <t>WOS:001696198200003</t>
  </si>
  <si>
    <t>Alahmadi, A; Davies, A; Vigo, M; Jay, C</t>
  </si>
  <si>
    <t>Background: Drug-induced QT-prolongation increases the risk of TdP arrhythmia attacks and sudden cardiac death. However, measuring the QT-interval and determining a precise cut-off QT/QTc value that could put a patient at risk of TdP is challenging and influenced by many factors including female sex, drug-free baseline, age, genetic predisposition, and bradycardia.Objectives: This paper presents a novel approach for intuitively and visually monitoring QT-prolongation showing a potential risk of TdP, which can be adjusted according to patient-specific risk factors, using a pseudo-coloring technique and explainable artificial intelligence (AI).Methods: We extended the development and evaluation of an explainable AI-based technique- visualized using pseudo-color on the ECG signal, thus intuitively 'explaining' how its decision was made -to detect QT-prolongation showing a potential risk of TdP according to a cut-off personalized QTc value (using Bazett's triangle QTc &gt; 60 ms relative to drug-free baseline and Bazett's QTc &gt; 500 ms as examples), and validated its performance using a large number of ECGs (n = 5050), acquired from a clinical trial assessing the effects of four known QT-prolonging drugs versus placebo on healthy subjects. We compared this new personalized approach to our previous study that used a more general approach using the QT-nomogram.Results and conclusions: The explainable AI-based algorithm can accurately detect QT-prolongation when adjusted to a personalized patient-specific cut-off QTc value showing a potential risk of TdP. Using triangle QTc &gt; 60 ms relative to drug-free baseline and QTc &gt; 500 ms as examples, the algorithm yielded a sensitivity of 0.95 and 0.79, and a specificity of 0.95 and 0.98, respectively. We found that adjusting pseudo-coloring according to Bazett's triangle QTc &gt; 60 ms relative to a drug-free baseline personalized to each patient provides better sensitivity than using Bazett's QTc &gt; 500 ms, which could underestimate a potentially clinically significant QT-prolongation with bradycardia.</t>
  </si>
  <si>
    <t>Alahmadi, Alaa; Davies, Alan; Vigo, Markel; Jay, Caroline</t>
  </si>
  <si>
    <t>Alahmadi, A (corresponding author), Janadah Bin Umayyah Rd, Tayba 42353, Al Madinah Al M, Saudi Arabia.</t>
  </si>
  <si>
    <t>aamahmdi@taibahu.edu.sa</t>
  </si>
  <si>
    <t>EPSRC [EP/X02945X/1] Funding Source: UKRI</t>
  </si>
  <si>
    <t>EPSRC (UK Research &amp; Innovation (UKRI), Engineering &amp; Physical Sciences Research Council (EPSRC))</t>
  </si>
  <si>
    <t>[Alahmadi, Alaa] Taibah Univ, Coll Comp Sci &amp; Engn Yanbu, Medina, Saudi Arabia; [Alahmadi, Alaa; Vigo, Markel; Jay, Caroline] Univ Manchester, Dept Comp Sci, Manchester, England; [Davies, Alan] Univ Manchester, Sch Hlth Sci, Div Informat Imaging &amp; Data Sci, Manchester, England; [Alahmadi, Alaa] Janadah Bin Umayyah Rd, Tayba 42353, Al Madinah Al M, Saudi Arabia</t>
  </si>
  <si>
    <t>Taibah University; University of Manchester; University of Manchester</t>
  </si>
  <si>
    <t>Personalized, intuitive &amp; visual QT-prolongation monitoring using patient-specific QTc threshold with pseudo-coloring and explainable AI</t>
  </si>
  <si>
    <t>JOURNAL OF ELECTROCARDIOLOGY</t>
  </si>
  <si>
    <t>Drug-induced QT-prolongation; QT-interval; LQTS; Torsades de pointes; Sudden cardiac death</t>
  </si>
  <si>
    <t>TORSADES-DE-POINTES; INTERVAL PROLONGATION; U WAVES; DRUGS; ANTIDEPRESSANTS</t>
  </si>
  <si>
    <t>Davies, Alan/E-7177-2019</t>
  </si>
  <si>
    <t>Vigo, Markel/0000-0003-4768-7623; Jay, Caroline/0000-0002-6080-1382; Davies, Alan/0000-0001-5737-5629</t>
  </si>
  <si>
    <t>CHURCHILL LIVINGSTONE INC MEDICAL PUBLISHERS</t>
  </si>
  <si>
    <t>CURTIS CENTER, INDEPENDENCE SQUARE WEST, PHILADELPHIA, PA 19106-3399 USA</t>
  </si>
  <si>
    <t>0022-0736</t>
  </si>
  <si>
    <t>1532-8430</t>
  </si>
  <si>
    <t>J ELECTROCARDIOL</t>
  </si>
  <si>
    <t>J. Electrocardiol.</t>
  </si>
  <si>
    <t>NOV-DEC 2023</t>
  </si>
  <si>
    <t>218</t>
  </si>
  <si>
    <t>223</t>
  </si>
  <si>
    <t>10.1016/j.jelectrocard.2023.09.012</t>
  </si>
  <si>
    <t>http://dx.doi.org/10.1016/j.jelectrocard.2023.09.012</t>
  </si>
  <si>
    <t>Y1PO7</t>
  </si>
  <si>
    <t>37837739</t>
  </si>
  <si>
    <t>WOS:001103058400001</t>
  </si>
  <si>
    <t>Ge, QT; Wang, ZD; Wang, YY; Chu, TH; Wang, ZY; Zhu, WK; Zhang, YZ; Chen, YH; Ye, DW; Xu, WH; Wang, Z; Abudurexiti, M</t>
  </si>
  <si>
    <t>Prostate cancer (PCa) remains clinically heterogeneous. We integrated single-cell and spatial transcriptomics with explainable machine learning to define a lethal tumor axis and establish an interpretable prognostic model. From 141,986 high-quality single cells spanning localized, hormone-sensitive, and castration-resistant PCa, we identified a malignant C4 epithelial subpopulation characterized by high chromosomal instability, androgen receptor and cell-cycle activation, and stemness potential. Spatial mapping further revealed immune-enriched yet suppressive niches, where fibroblasts and myeloid cells coexisted with exhausted lymphocytes, reflecting functional immune imbalance. We benchmarked 101 machine learning pipelines, selecting a Lasso plus PLS-Cox model that achieved strong concordance across independent cohorts. The C4-based risk score independently predicted recurrence-free survival after adjustment for age, Gleason score and T stage, and a nomogram combining this score with clinical variables showed good discrimination. SHAP interpretation highlighted MT1M, PCSK1N, and ACSL3 as major risk-driving features. PCSK1N was progressively upregulated from normal prostate to castration-resistant disease and promoted proliferation, clonogenicity, migration and enzalutamide resistance, while its inhibition sensitized organoids and xenografts to AR-targeted therapy. These findings define a C4-centered lethal tumor axis and provide an explainable, experimentally supported framework for prognostic stratification in PCa.</t>
  </si>
  <si>
    <t>Ge, Qintao; Wang, Zhenda; Wang, Yangyun; Chu, Tonghui; Wang, Zhongyuan; Zhu, Wenkai; Zhang, Youzhao; Chen, Yonghao; Ye, Dingwei; Xu, Wenhao; Wang, Zhong; Abudurexiti, Mierxiati</t>
  </si>
  <si>
    <t>Wang, Z; Abudurexiti, M (corresponding author), Shanghai Univ Med &amp; Hlth Sci, Pudong Gongli Hosp, Dept Urol &amp; Androl, Shanghai, Peoples R China.; Wang, Z; Abudurexiti, M (corresponding author), Univ Shanghai Sci &amp; Technol, Sch Gongli Hosp Med Technol, Shanghai, Peoples R China.; Ye, DW; Xu, WH (corresponding author), Fudan Univ, Dept Urol, Shanghai Canc Ctr, Shanghai, Peoples R China.; Ye, DW; Xu, WH (corresponding author), Fudan Univ, Qingdao Inst Life Sci, Shanghai Med Coll, Dept Oncol, Shanghai, Peoples R China.</t>
  </si>
  <si>
    <t>dingwei_ye@fudan.edu.cn; wz08560@glhospital.com; mierxiati@fudan.edu.cn; xwhao0407@163.com</t>
  </si>
  <si>
    <t>Natural Science Foundation of Xinjiang Uygur Autonomous Region, "Tianchi" talent introduction program [No. 65310025P000013109145]; Shanghai Pudong New Area Science and Technology Development Fund "Medical and health special subproject" [No. PKJ2023-Y28]; Key Discipline Development Initiative of the Shanghai Health System [No. 2024ZDXK0043]; New Quality Clinical Specialty Program of High-end Medical Disciplinary Construction in Shanghai Pudong New Area [No. 2024-PWXZ-13]; Science and Technology Program of Health Commission of Xinjiang Uygur Autonomous Region [No.2025001QNKYXM653125763]; National Key Clinical Specialty Construction Project [No. 10000015Z155080000004]; National Natural Science Foundation of China [No. 82560609]; Project of the National Natural Science Foundation Cultivation Fund, Gongli Hospital, Pudong New Area [No. 2024GPY-A03]</t>
  </si>
  <si>
    <t>Natural Science Foundation of Xinjiang Uygur Autonomous Region, "Tianchi" talent introduction program; Shanghai Pudong New Area Science and Technology Development Fund "Medical and health special subproject"; Key Discipline Development Initiative of the Shanghai Health System; New Quality Clinical Specialty Program of High-end Medical Disciplinary Construction in Shanghai Pudong New Area; Science and Technology Program of Health Commission of Xinjiang Uygur Autonomous Region; National Key Clinical Specialty Construction Project; National Natural Science Foundation of China (National Natural Science Foundation of China (NSFC)); Project of the National Natural Science Foundation Cultivation Fund, Gongli Hospital, Pudong New Area</t>
  </si>
  <si>
    <t>We greatly appreciate the patients and investigators who participated in the corresponding medical project for providing data. This work was supported by grants from the Shanghai Pudong New Area Science and Technology Development Fund "Medical and health special subproject" (No. PKJ2023-Y28), The Healthcare Talents Youth Program of Shanghai Pudong New Area 2026PDWSYCQN-10, Project of the National Natural Science Foundation Cultivation Fund, Gongli Hospital, Pudong New Area (No. 2024GPY-A03), New Quality Clinical Specialty Program of High-end Medical Disciplinary Construction in Shanghai Pudong New Area (No. 2024-PWXZ-13), Key Discipline Development Initiative of the Shanghai Health System (No. 2024ZDXK0043), National Key Clinical Specialty Construction Project (No. 10000015Z155080000004), National Natural Science Foundation of China (No. 82560609), the Natural Science Foundation of Xinjiang Uygur Autonomous Region(No. 2025D01C108), "Tianchi" talent introduction program (No. 65310025P000013109145), and Science and Technology Program of Health Commission of Xinjiang Uygur Autonomous Region (No. Youth Scientific Research Project) (2025001QNKYXM653125763).</t>
  </si>
  <si>
    <t>[Ge, Qintao; Wang, Zhenda; Chu, Tonghui; Zhang, Youzhao; Wang, Zhong; Abudurexiti, Mierxiati] Shanghai Univ Med &amp; Hlth Sci, Pudong Gongli Hosp, Dept Urol &amp; Androl, Shanghai, Peoples R China; [Ge, Qintao; Wang, Zhenda; Chu, Tonghui; Zhang, Youzhao; Wang, Zhong; Abudurexiti, Mierxiati] Univ Shanghai Sci &amp; Technol, Sch Gongli Hosp Med Technol, Shanghai, Peoples R China; [Ge, Qintao; Wang, Zhongyuan; Ye, Dingwei; Xu, Wenhao] Fudan Univ, Dept Urol, Shanghai Canc Ctr, Shanghai, Peoples R China; [Ge, Qintao; Wang, Zhongyuan; Ye, Dingwei; Xu, Wenhao] Fudan Univ, Qingdao Inst Life Sci, Shanghai Med Coll, Dept Oncol, Shanghai, Peoples R China; [Wang, Yangyun] Fudan Univ, Dept Pelv Floor Ctr, Minhang Dist Pelv Floor Ctr, Shanghai Peoples Hosp 5, Shanghai, Peoples R China; [Zhu, Wenkai] Kashi Guangdong Inst Sci &amp; Technol, Peoples Hosp Kashi 1, Kashi, Peoples R China; [Chen, Yonghao] Sichuan Univ, West China Hosp, Chengdu, Peoples R China</t>
  </si>
  <si>
    <t>Shanghai University of Medicine &amp; Health Sciences; University of Shanghai for Science &amp; Technology; Fudan University; Fudan University; Sichuan University</t>
  </si>
  <si>
    <t>Integrative single-cell and spatial transcriptomics with explainable AI reveal lethal prognostic axis in prostate cancer</t>
  </si>
  <si>
    <t>JAN 6 2026</t>
  </si>
  <si>
    <t>10.1038/s41746-025-02297-4</t>
  </si>
  <si>
    <t>http://dx.doi.org/10.1038/s41746-025-02297-4</t>
  </si>
  <si>
    <t>DB3VE</t>
  </si>
  <si>
    <t>41495164</t>
  </si>
  <si>
    <t>WOS:001679396100001</t>
  </si>
  <si>
    <t>Rathore, J; Singh, A; Rao, U</t>
  </si>
  <si>
    <t>Introduction: The hospital landscape is rapidly evolving, with Artificial Intelligence (AI) emerging as a central component of both administrative and clinical workflows. The classic Technology Acceptance Model (TAM), however, does not adequately account for the dynamic and complex nature of hospital workflows. Aim: To empirically validate an extended TAM that incorporates Organisational Culture (OC) and Trust in AI (TAI), and to examine how these factors influence healthcare professionals' perceptions of usefulness, Ease of Use (EOU), behavioural intention, and actual AI usage in hospital settings. Materials and Methods: The present cross-sectional survey was conducted across 5 hospitals in India's National Capital Region using a 27-item instrument. Data were collected via Google Forms between November 2024 and January 2025 from tertiary and quaternary care hospitals known to have adopted or piloted AI applications, including robotic process automation, virtual assistants, and diagnostic imaging systems. Partial Least Squares-Structural Equation Modelling (PLS-SEM) was employed to assess reliability, validity, model fit, path significance, and mediation effects. Results: The results validated the core TAM along with the proposed extended constructs. Key findings indicated that perceived EOU strongly predicted trust, while TAI directly predicted Actual Use (AU), exerting a stronger effect than behavioural intention. Organisational culture indirectly influenced AI adoption by shaping EOU and trust, fully mediating its effect on behavioural intention. Conclusion: AI adoption follows a mediated pathway in which OC indirectly influences intention to use through EOU, trust, and perceived usefulness, with trust emerging as a critical direct antecedent of actual usage. These findings underscore the practical imperative for healthcare administrators to implement robust AI governance mechanisms to enhance trustworthiness and to foster an innovative organisational culture.</t>
  </si>
  <si>
    <t>Rathore, Jigyasa; Singh, Akanksha; Rao, Ujjwal</t>
  </si>
  <si>
    <t>Singh, A (corresponding author), Amity Univ, J1 Block, Noida, Uttar Pradesh, India.</t>
  </si>
  <si>
    <t>asingh64@amity.edu</t>
  </si>
  <si>
    <t>[Rathore, Jigyasa; Singh, Akanksha] Amity Univ, Dept Amity Inst Publ Hlth &amp; Hosp Adm, Noida, Uttar Pradesh, India; [Rao, Ujjwal] Rector Healthcare, Dept Rector Healthcare, Pune, Maharashtra, India</t>
  </si>
  <si>
    <t>Amity University Noida</t>
  </si>
  <si>
    <t>Validation of an Extended Technology Acceptance Model Framework Incorporating Organisational Culture and Trust in AI usage within Hospitals: A Cross-sectional Study</t>
  </si>
  <si>
    <t>JOURNAL OF CLINICAL AND DIAGNOSTIC RESEARCH</t>
  </si>
  <si>
    <t>Artificial Intelligence; Hospital administration; Structural equation modelling; Trust</t>
  </si>
  <si>
    <t>USER ACCEPTANCE; TAM; ADOPTION</t>
  </si>
  <si>
    <t>SINGH, AKANKSHA/JGD-2178-2023; Rathore, Jigyasa/IST-5745-2023</t>
  </si>
  <si>
    <t>SINGH, AKANKSHA/0000-0002-4028-7160; Rathore, Jigyasa/0009-0002-5176-6105</t>
  </si>
  <si>
    <t>PREMCHAND SHANTIDEVI RESEARCH FOUNDATION</t>
  </si>
  <si>
    <t>DELHI</t>
  </si>
  <si>
    <t>71 JAIN COLONY, VEER NAGAR, DELHI, 110 007, INDIA</t>
  </si>
  <si>
    <t>2249-782X</t>
  </si>
  <si>
    <t>0973-709X</t>
  </si>
  <si>
    <t>J CLIN DIAGN RES</t>
  </si>
  <si>
    <t>J. Clin. Diagn. Res.</t>
  </si>
  <si>
    <t>IC06</t>
  </si>
  <si>
    <t>IC11</t>
  </si>
  <si>
    <t>10.7860/JCDR/2026/84554.22732</t>
  </si>
  <si>
    <t>http://dx.doi.org/10.7860/JCDR/2026/84554.22732</t>
  </si>
  <si>
    <t>FK5DC</t>
  </si>
  <si>
    <t>WOS:001720918500019</t>
  </si>
  <si>
    <t>Talaat, FM; Salem, M; Shehata, M; Shaban, WM</t>
  </si>
  <si>
    <t>The diagnosis of brain tumors is an extended process that significantly depends on the expertise and skills of radiologists. The rise in patient numbers has substantially elevated the data processing volume, making conventional methods both costly and inefficient. Recently, Artificial Intelligence (AI) has gained prominence for developing automated systems that can accurately diagnose or segment brain tumors in a shorter time frame. Many researchers have examined various algorithms that provide both speed and accuracy in detecting and classifying brain tumors. This paper proposes a new model based on AI, called the Brain Tumor Detection (BTD) model, based on brain tumor Magnetic Resonance Images (MRIs). The proposed BTC comprises three main modules: (i) Image Processing Module (IPM), (ii) Patient Detection Module (PDM), and (iii) Explainable AI (XAI). In the first module (i.e., IPM), the used dataset is preprocessed through two stages: feature extraction and feature selection. At first, the MRI is preprocessed, then the images are converted into a set of features using several feature extraction methods: gray level co-occurrence matrix, histogram of oriented gradient, local binary pattern, and Tamura feature. Next, the most effective features are selected from these features separately using Improved Gray Wolf Optimization (IGWO). IGWO is a hybrid methodology that consists of the Filter Selection Step (FSS) using information gain ratio as an initial selection stage and Binary Gray Wolf Optimization (BGWO) to make the proposed method better at detecting tumors by further optimizing and improving the chosen features. Then, these features are fed to PDM using several classifiers, and the final decision is based on weighted majority voting. Finally, through Local Interpretable Model-agnostic Explanations (LIME) XAI, the interpretability and transparency in decision-making processes are provided. The experiments are performed on a publicly available Brain MRI dataset that consists of 98 normal cases and 154 abnormal cases. During the experiments, the dataset was divided into 70% (177 cases) for training and 30% (75 cases) for testing. The numerical findings demonstrate that the BTD model outperforms its competitors in terms of accuracy, precision, recall, and F-measure. It introduces 98.8% accuracy, 97% precision, 97.5% recall, and 97.2% F-measure. The results demonstrate the potential of the proposed model to revolutionize brain tumor diagnosis, contribute to better treatment strategies, and improve patient outcomes.</t>
  </si>
  <si>
    <t>Talaat, Fatma M.; Salem, Mohamed; Shehata, Mohamed; Shaban, Warda M.</t>
  </si>
  <si>
    <t>Talaat, FM (corresponding author), Kafrelsheikh Univ, Fac Artificial Intelligence, Kafrelsheikh 33516, Egypt.; Talaat, FM (corresponding author), New Mansoura Univ, Fac Comp Sci &amp; Engn, Gamasa 35712, Egypt.; Shehata, M (corresponding author), Univ Louisville, Speed Sch Engn, Dept Bioengn, Louisville, KY 40292 USA.; Shehata, M (corresponding author), Mansoura Univ, Fac Engn, Comp &amp; Control Syst Engn Dept, Mansoura 35516, Egypt.</t>
  </si>
  <si>
    <t>fatma.nada@ai.kfs.edu.eg; mohamed.shehata@louisville.edu</t>
  </si>
  <si>
    <t>[Talaat, Fatma M.; Salem, Mohamed] Kafrelsheikh Univ, Fac Artificial Intelligence, Kafrelsheikh 33516, Egypt; [Talaat, Fatma M.] New Mansoura Univ, Fac Comp Sci &amp; Engn, Gamasa 35712, Egypt; [Shehata, Mohamed] Univ Louisville, Speed Sch Engn, Dept Bioengn, Louisville, KY 40292 USA; [Shehata, Mohamed] Mansoura Univ, Fac Engn, Comp &amp; Control Syst Engn Dept, Mansoura 35516, Egypt; [Shaban, Warda M.] Nile Higher Inst Engn &amp; Technol, Commun &amp; Elect Engn Dept, Mansoura 35511, Egypt</t>
  </si>
  <si>
    <t>Egyptian Knowledge Bank (EKB); Kafrelsheikh University; New Mansoura University; University of Louisville; Egyptian Knowledge Bank (EKB); Mansoura University</t>
  </si>
  <si>
    <t>An Efficient Explainable AI Model for Accurate Brain Tumor Detection Using MRI Images</t>
  </si>
  <si>
    <t>CMES-COMPUTER MODELING IN ENGINEERING &amp; SCIENCES</t>
  </si>
  <si>
    <t>Brain tumor detection; MRI images; explainable AI (XAI); improved gray wolf optimization (IGWO)</t>
  </si>
  <si>
    <t>M. Talaat, Fatma/IYS-7614-2023; Shehata, Mohamed/HGC-5417-2022</t>
  </si>
  <si>
    <t>mohammed, warda/0000-0001-7086-2958</t>
  </si>
  <si>
    <t>1526-1492</t>
  </si>
  <si>
    <t>1526-1506</t>
  </si>
  <si>
    <t>CMES-COMP MODEL ENG</t>
  </si>
  <si>
    <t>CMES-Comp. Model. Eng. Sci.</t>
  </si>
  <si>
    <t>2325</t>
  </si>
  <si>
    <t>10.32604/cmes.2025.067195</t>
  </si>
  <si>
    <t>http://dx.doi.org/10.32604/cmes.2025.067195</t>
  </si>
  <si>
    <t>Engineering, Multidisciplinary; Mathematics, Interdisciplinary Applications</t>
  </si>
  <si>
    <t>Engineering; Mathematics</t>
  </si>
  <si>
    <t>7EO6H</t>
  </si>
  <si>
    <t>WOS:001545547800001</t>
  </si>
  <si>
    <t>Cross, L; Kendrick, A</t>
  </si>
  <si>
    <t>Background: Artificial intelligence is a technology that has been rapidly adopted in many disciplines, including nursing. Major Points: The expansion in the healthcare field is particularly concerning for nurse faculty as they prepare nursing students for the workforce. The 4 domain meta-paradigm is recognized for making practical sense of research, theoretical, and practical nursing issues. Implications: There has not been previously identified work using the meta-paradigm to guide artificial intelligence use in nursing education. This analysis reviewed artificial intelligence technology within the context of the 4 domains-nursing, patient, health, environment-with the subsequent aim of clarifying interventions for artificial intelligence in undergraduate nursing education. Conclusions: Nurse faculty need to direct nursing students entering the profession on ethical and responsible AI use while recognizing the boundaries of their professional scope of practice. Involving nursing students in creating AI policies, creating classroom, simulation and clinical experiences incorporating AI, and ensuring that syllabi, assignments, and evaluation tools recognize AI are some interventions. (c) 2025 Organization for Associate Degree Nursing. Published by Elsevier Inc. All rights are reserved, including those for text and data mining, AI training, and similar technologies.</t>
  </si>
  <si>
    <t>Cross, Lisa; Kendrick, Amy</t>
  </si>
  <si>
    <t>Cross, L (corresponding author), Salem State Univ, Sch Nursing, Salem, MA 01970 USA.</t>
  </si>
  <si>
    <t>Lcross@salemstate.edu</t>
  </si>
  <si>
    <t>[Cross, Lisa] Salem State Univ, Sch Nursing, Salem, MA 01970 USA; [Kendrick, Amy] Fitchburg State Univ, Sch Nursing, Fitchburg, MA USA</t>
  </si>
  <si>
    <t>Massachusetts System of Public Higher Education; Salem State University; Massachusetts System of Public Higher Education; Fitchburg State College</t>
  </si>
  <si>
    <t>Artificial intelligence and the meta-paradigm</t>
  </si>
  <si>
    <t>TEACHING AND LEARNING IN NURSING</t>
  </si>
  <si>
    <t>Artificial intelligence; Metaparadigm; Nursing students</t>
  </si>
  <si>
    <t>THOUGHTS; METAPARADIGM</t>
  </si>
  <si>
    <t>Kendrick, Amy/GWR-2231-2022; Cross, Lisa/CAG-2387-2022</t>
  </si>
  <si>
    <t>Kendrick, Amy/0000-0003-3346-0663</t>
  </si>
  <si>
    <t>1557-3087</t>
  </si>
  <si>
    <t>1557-2013</t>
  </si>
  <si>
    <t>TEACH LEARN NURS</t>
  </si>
  <si>
    <t>Teach. Learn. Nurs.</t>
  </si>
  <si>
    <t>e257</t>
  </si>
  <si>
    <t>e261</t>
  </si>
  <si>
    <t>10.1016/j.teln.2025.08.015</t>
  </si>
  <si>
    <t>http://dx.doi.org/10.1016/j.teln.2025.08.015</t>
  </si>
  <si>
    <t>AU1GY</t>
  </si>
  <si>
    <t>WOS:001656813100001</t>
  </si>
  <si>
    <t>Dick, K; Humber, J; Ducharme, R; Dingwall-Harvey, A; Armour, CM; Hawken, S; Walker, MC</t>
  </si>
  <si>
    <t>The transformative power of artificial intelligence (AI) is reshaping diverse domains of medicine. Recent progress, catalyzed by computing advancements, has seen commensurate adoption of AI technologies within obstetrics and gynaecology. We explore the use and potential of AI in three focus areas: predictive modelling for pregnancy complications, Deep learning -based image interpretation for precise diagnoses, and large language models enabling intelligent health care assistants. We also provide recommendations for the ethical implementation, governance of AI, and promote research into AI explainability, which are crucial for responsible AI integration and deployment. AI promises a revolutionary era of personalized health care in obstetrics and gynaecology.</t>
  </si>
  <si>
    <t>Dick, Kevin; Humber, James; Ducharme, Robin; Dingwall-Harvey, Alysha; Armour, Christine M.; Hawken, Steven; Walker, Mark C.</t>
  </si>
  <si>
    <t>Walker, MC (corresponding author), Childrens Hosp Eastern Ontario, Res Inst, Ottawa, ON, Canada.; Walker, MC (corresponding author), Ottawa Hosp, Clin Epidemiol Program, Res Inst, Ottawa, ON, Canada.; Walker, MC (corresponding author), Univ Ottawa, Sch Epidemiol &amp; Publ Hlth, Ottawa, ON, Canada.; Walker, MC (corresponding author), ICES, Toronto, ON, Canada.; Walker, MC (corresponding author), Univ Ottawa, Dept Obstet &amp; Gynecol, Ottawa, ON, Canada.; Walker, MC (corresponding author), Univ Ottawa, Int &amp; Global Hlth Off, Ottawa, ON, Canada.; Walker, MC (corresponding author), Childrens Hosp Eastern Ontario, BORN Ontario, Ottawa, ON, Canada.; Walker, MC (corresponding author), Ottawa Hosp, Dept Obstet Gynecol &amp; Newborn Care, Ottawa, ON, Canada.</t>
  </si>
  <si>
    <t>mwalker@toh.ca</t>
  </si>
  <si>
    <t>[Dick, Kevin; Dingwall-Harvey, Alysha; Armour, Christine M.; Hawken, Steven; Walker, Mark C.] Childrens Hosp Eastern Ontario, Res Inst, Ottawa, ON, Canada; [Humber, James; Ducharme, Robin; Dingwall-Harvey, Alysha; Hawken, Steven; Walker, Mark C.] Ottawa Hosp, Clin Epidemiol Program, Res Inst, Ottawa, ON, Canada; [Armour, Christine M.] Univ Ottawa, Dept Pediat, Ottawa, ON, Canada; [Armour, Christine M.] Better Outcomes Registry &amp; Network, Prenatal Screening Ontario, Ottawa, ON, Canada; [Hawken, Steven; Walker, Mark C.] Univ Ottawa, Sch Epidemiol &amp; Publ Hlth, Ottawa, ON, Canada; [Hawken, Steven; Walker, Mark C.] ICES, Toronto, ON, Canada; [Walker, Mark C.] Univ Ottawa, Dept Obstet &amp; Gynecol, Ottawa, ON, Canada; [Walker, Mark C.] Univ Ottawa, Int &amp; Global Hlth Off, Ottawa, ON, Canada; [Walker, Mark C.] Childrens Hosp Eastern Ontario, BORN Ontario, Ottawa, ON, Canada; [Walker, Mark C.] Ottawa Hosp, Dept Obstet Gynecol &amp; Newborn Care, Ottawa, ON, Canada</t>
  </si>
  <si>
    <t>University of Ottawa; Children's Hospital of Eastern Ontario; University of Ottawa; Ottawa Hospital Research Institute; University of Ottawa; University of Ottawa; University of Toronto; University of Ottawa; University of Ottawa; University of Ottawa; Children's Hospital of Eastern Ontario; University of Ottawa; Ottawa Hospital Research Institute</t>
  </si>
  <si>
    <t>The Transformative Potential of AI in Obstetrics and Gynaecology</t>
  </si>
  <si>
    <t>JOURNAL OF OBSTETRICS AND GYNAECOLOGY CANADA</t>
  </si>
  <si>
    <t>artificial intelligence; machine learning; deep learning; computer-assisted diagnosis; computer-assisted image interpretation; patient-specific modelling</t>
  </si>
  <si>
    <t>Hawken, Steven/AFM-5177-2022</t>
  </si>
  <si>
    <t>ELSEVIER INC</t>
  </si>
  <si>
    <t>525 B STREET, STE 1900, SAN DIEGO, CA 92101-4495 USA</t>
  </si>
  <si>
    <t>1701-2163</t>
  </si>
  <si>
    <t>J OBSTET GYNAECOL CA</t>
  </si>
  <si>
    <t>J. Obstet. Gynaecol. Can.</t>
  </si>
  <si>
    <t>102277</t>
  </si>
  <si>
    <t>10.1016/j.jogc.2023.102277</t>
  </si>
  <si>
    <t>http://dx.doi.org/10.1016/j.jogc.2023.102277</t>
  </si>
  <si>
    <t>Obstetrics &amp; Gynecology</t>
  </si>
  <si>
    <t>QT2V2</t>
  </si>
  <si>
    <t>37951574</t>
  </si>
  <si>
    <t>WOS:001223064800001</t>
  </si>
  <si>
    <t>Pauskar, MM; Varad, R; Managooli, M; Sangavi, S</t>
  </si>
  <si>
    <t>Artificial Intelligence (AI): Artificial Intelligence (AI) is rapidly transforming healthcare practice, with applications spanning diagnostics, treatment decisions, patient management, and workflow optimisation. However, clinicians' perceptions, awareness, and trust in AI remain variable. Methods: A cross-sectional, questionnaire-based survey was conducted among 134 clinicians from diverse specialities. The questionnaire assessed demographics, familiarity with AI, formal training, adoption, perceived impact on clinical outcomes, trust levels, concerns, and areas of AI potential. Descriptive statistics were used for analysis. Results: Of the 134 respondents, 63.4% were male and 36.6% female. Most respondents (61.9%) were below 35 years of age. Familiarity with AI was moderate in 39.6%, while only 6% had received formal AI/digital health training. Regarding clinical impact, 68% perceived AI positively in treatment decision-making, 71% in diagnostics, and 64% in radiology/pathology. Concerns were notable: 59% cited loss of clinician autonomy and data privacy risks, 65.7% data privacy &amp; secu-rity,62.7% medico-legal issues, and 75.4% risk of misdiagnosis. Trust levels varied-50% reported moderate trust, 41% minimal trust, and 0.8% complete trust in AI recommendations. Adoption readiness was encouraging: 47.8% were open to integrating AI tools, 40.3% "may be" open to integrating, though only 7.5% believed AI could replace some aspects of a clinician's role to a large extent. Conclusion: Clinicians view AI positively, particularly in diagnostics and administrative efficiency, but concerns regarding ethics, autonomy, and training gaps remain. Structured training programs, institutional support, and clear medico-legal guidelines are essential for responsible AI adoption in clinical practice.</t>
  </si>
  <si>
    <t>Pauskar, Mahendra Manoj; Varad, Rajesh; Managooli, Mahesh; Sangavi, Siddaganga</t>
  </si>
  <si>
    <t>Pauskar, MM (corresponding author), Deemed Univ, KLE Acad Higher Educ &amp; Res, Belagavi 59010, Karnataka, India.</t>
  </si>
  <si>
    <t>drsiddaganga@gmail.com; rajesh.vrd@gmail.com; managoolimahesh94@gmail.com; mpauskar@gmail.com</t>
  </si>
  <si>
    <t>No funding received The authors would like to thank all the participating clinicians for expressing their perspectives on Artificial Intelligence.</t>
  </si>
  <si>
    <t>[Pauskar, Mahendra Manoj; Sangavi, Siddaganga] KLEs Jagadguru Gangadhara Mahaswamigalu Moorusavir, Dept Med, Hubli, India; [Pauskar, Mahendra Manoj; Sangavi, Siddaganga] Deemed Univ, KLE Acad Higher Educ &amp; Res, Belagavi 59010, Karnataka, India; [Varad, Rajesh] KIMS, Dept Med, Hubli 580021, Karnataka, India; [Managooli, Mahesh] Viraat Ramayan Inst Med Sci, Dept Med, East Champaran 845412, Bihar, India</t>
  </si>
  <si>
    <t>K.L.E. Academy of Higher Education &amp; Research</t>
  </si>
  <si>
    <t>Impact of artificial intelligence (AI) on clinical practice: A clinician's perspective</t>
  </si>
  <si>
    <t>CLINICAL EPIDEMIOLOGY AND GLOBAL HEALTH</t>
  </si>
  <si>
    <t>ELSEVIER - DIVISION REED ELSEVIER INDIA PVT LTD</t>
  </si>
  <si>
    <t>17-A/1 MAIN RING ROAD, LAJPAT NAGAR IV, NEW DELHI, 110024, INDIA</t>
  </si>
  <si>
    <t>2452-0918</t>
  </si>
  <si>
    <t>2213-3984</t>
  </si>
  <si>
    <t>CLIN EPIDEMIOL GLOB</t>
  </si>
  <si>
    <t>Clin. Epidemiol. Glob. Health</t>
  </si>
  <si>
    <t>SEP-OCT 2026</t>
  </si>
  <si>
    <t>102426</t>
  </si>
  <si>
    <t>10.1016/j.cegh.2026.102426</t>
  </si>
  <si>
    <t>http://dx.doi.org/10.1016/j.cegh.2026.102426</t>
  </si>
  <si>
    <t>LP9AB</t>
  </si>
  <si>
    <t>WOS:001830406300001</t>
  </si>
  <si>
    <t>Rahman, MI</t>
  </si>
  <si>
    <t>Aim: To synthesize literature on algorithmic bias and transparency in artificial intelligence tools used in nursing education and identify common applications, bias types, transparency challenges and mitigation strategies. Background: Artificial intelligence is increasingly embedded in nursing education through tutoring systems, virtual simulations, predictive models, chatbots and automated grading. These tools enhance personalization and efficiency but may introduce bias and opacity that threaten fairness, learning outcomes and student trust. Design: Scoping review. Methods: PubMed, CINAHL, Scopus, IEEE Xplore, ACM Digital Library and grey literature were searched for sources published January 2015-April 2025. Studies were included if they examined artificial intelligence in nursing education and addressed bias, fairness, or transparency. Data were synthesized narratively and organized into thematic categories. Results: Thirty-five studies met the inclusion criteria. Reported tools included tutoring systems, virtual patients, chatbots, predictive analytics and grading technologies. Reported biases were linked to non-representative datasets, narrow scenario design and evaluation criteria that may disadvantage students by race and ethnicity, gender, language background, or learning preferences. Transparency challenges involved proprietary or complex models, limited disclosure of training data and decision rules and a lack of built-in explainability features. Ethical concerns included reduced student autonomy, unequal outcomes across learner groups and diminished trust. Mitigation strategies included more inclusive data selection, integration of explainability features, algorithm audits and stronger institutional oversight. Conclusions: Bias and transparency limitations in artificial intelligence tools pose ethical challenges in nursing. Inclusive design, system transparency and collaboration among educators, developers and institutions are essential for value aligned integration.</t>
  </si>
  <si>
    <t>Rahman, Mohammad Ishtiaque</t>
  </si>
  <si>
    <t>Rahman, MI (corresponding author), Thomas More Univ, 333 Thomas More Pkwy, Crestview Hills, KY 41017 USA.</t>
  </si>
  <si>
    <t>rahmanm@thomasmore.edu</t>
  </si>
  <si>
    <t>[Rahman, Mohammad Ishtiaque] Thomas More Univ, Dept Comp Informat Syst, Crestview Hills, KY USA</t>
  </si>
  <si>
    <t>Algorithmic bias and transparency in artificial intelligence tools for nursing education: A scoping review</t>
  </si>
  <si>
    <t>Artificial intelligence; Algorithmic bias; Nursing education; Transparency and explainability; Ethics in educational technology</t>
  </si>
  <si>
    <t>Rahman, Mohammad Ishtiaque/0009-0003-2392-7028</t>
  </si>
  <si>
    <t>104756</t>
  </si>
  <si>
    <t>10.1016/j.nepr.2026.104756</t>
  </si>
  <si>
    <t>http://dx.doi.org/10.1016/j.nepr.2026.104756</t>
  </si>
  <si>
    <t>DL9FY</t>
  </si>
  <si>
    <t>41653525</t>
  </si>
  <si>
    <t>WOS:001686550400001</t>
  </si>
  <si>
    <t>Alharbi, BS; Aljabri, MM; Ali, EA</t>
  </si>
  <si>
    <t>Background/Objectives: Artificial intelligence (AI) is increasingly integrated into healthcare decision-making. Public trust in AI remains a critical determinant of its acceptance and effective use. Evidence on the factors shaping trust in AI within Middle Eastern contexts, particularly Saudi Arabia, remains limited. Therefore, we aimed to identify the determinants of trust in AI for health-related decision-making and to examine a theory-informed mediation pathway in which patient satisfaction mediates the association between patient-doctor relationships and trust in AI. Methods: We conducted a cross-sectional, facility-based survey of adults in Saudi Arabia, using an electronic questionnaire distributed in four primary healthcare centers. We performed multiple linear regression to assess the association of trust in AI for health-related decision-making with patient satisfaction, patient-doctor relationships, sociodemographic characteristics, and healthcare-related factors. A mediation analysis was also employed to evaluate the indirect and direct association linking patient-doctor relationships, patient satisfaction, and trust in AI. Results: Our findings showed that patient satisfaction was positively associated with trust in AI (beta = 0.54, 95% CI: 0.18-0.90), while patient-doctor relationships showed an inverse association (beta = -0.34, 95% CI: -0.48 to -0.20), possibly reflecting a greater reliance on physicians' clinical judgment and a reduced perceived need for AI-supported decision-making. Trust in AI varied across age groups, with a lower trust observed in older age categories compared with younger adults. No strong associations were observed for sex, education, body mass index, or healthcare-related factors. Patient-doctor relationship quality was indirectly associated with trust in AI via patient satisfaction (ACME = 0.138, 95% CI: 0.043-0.246), alongside a direct association with trust in AI (ADE = -0.313, 95% CI: -0.456 to -0.160). This means that patient-doctor relationships influenced trust in AI both directly and indirectly through patient satisfaction, suggesting that, while interpersonal care may reduce the reliance on AI (direct effect), enhancing patient satisfaction can partially offset this effect and promote trust in AI (indirect effect). Conclusions: These findings highlight that fostering patient-centered care and satisfaction may be crucial for promoting public trust in AI, which has important implications for AI governance, ethical deployment, and the design of AI-supported healthcare systems.</t>
  </si>
  <si>
    <t>Alharbi, Bandar S.; Aljabri, Majed M.; Ali, Endale Alemayehu</t>
  </si>
  <si>
    <t>Alharbi, BS (corresponding author), King Saud Univ, Coll Nursing, Community &amp; Psychiat Mental Hlth Dept, Riyadh 12375, Saudi Arabia.; Ali, EA (corresponding author), Katholieke Univ Leuven, Dept Publ Hlth &amp; Primary Care, Kapucijnenvoer 33, B-3000 Leuven, Belgium.</t>
  </si>
  <si>
    <t>banalharbi@ksu.edu.sa; amajad@ksu.edu.sa; endalestat@gmail.com</t>
  </si>
  <si>
    <t>Ongoing Research Funding Program [ORF-2026-1339]; King Saud University</t>
  </si>
  <si>
    <t>Ongoing Research Funding Program; King Saud University (King Saud University)</t>
  </si>
  <si>
    <t>This research was supported by the Ongoing Research Funding Program (ORF-2026-1339), King Saud University, Riyadh 11451, Saudi Arabia.</t>
  </si>
  <si>
    <t>[Alharbi, Bandar S.; Aljabri, Majed M.] King Saud Univ, Coll Nursing, Community &amp; Psychiat Mental Hlth Dept, Riyadh 12375, Saudi Arabia; [Ali, Endale Alemayehu] Katholieke Univ Leuven, Dept Publ Hlth &amp; Primary Care, Kapucijnenvoer 33, B-3000 Leuven, Belgium</t>
  </si>
  <si>
    <t>King Saud University; KU Leuven</t>
  </si>
  <si>
    <t>Determinants of Trust in Artificial Intelligence (AI) for Health-Related Decision-Making Among Adults in Saudi Arabia: A Cross-Sectional Study</t>
  </si>
  <si>
    <t>artificial intelligence; trust; healthcare; patient satisfaction; patient-doctor relationship; mediation analysis</t>
  </si>
  <si>
    <t>Alharbi, Majed/MSW-5780-2025; Alharbi, Bandar/OON-0501-2025</t>
  </si>
  <si>
    <t>Alharbi, Bandar Salman/0009-0004-0582-0902</t>
  </si>
  <si>
    <t>FEB 16 2026</t>
  </si>
  <si>
    <t>10.3390/healthcare14040506</t>
  </si>
  <si>
    <t>http://dx.doi.org/10.3390/healthcare14040506</t>
  </si>
  <si>
    <t>EG0ES</t>
  </si>
  <si>
    <t>41754019</t>
  </si>
  <si>
    <t>WOS:001700201300001</t>
  </si>
  <si>
    <t>Prabhu, S; Bairy, GM; Sampathila, N; Darshan, BSD</t>
  </si>
  <si>
    <t>Infectious diseases are contributing to a major public health challenge worldwide, affecting individuals across all age groups and regions. An infectious disease is a pathological condition caused by harmful microorganisms. These are bacteria, viruses, fungi, or parasites that enter the body, multiply, and disturb normal physiological functions, leading to clinical manifestations. At present, the detection of infectious disease is mainly based on vital signs and a limited set of biomarkers. This limited approach fails to fully capture the complications of infection-related physiological changes. To address these limitations, vital signs and a broad range of hematological and biochemical biomarkers are integrated with machine learning and explainable artificial intelligence (XAI). The data set used in this study was collected from the Kaggle data source. The dataset consists of vital sign values, such as body temperature, systolic and diastolic blood pressure, respiratory rate, heart rate, and oxygen saturation, along with blood-based biomarkers including albumin, base excess, bicarbonate, bilirubin, blast cells, calcium, creatinine, gamma-glutamyl transferase (GGT), glucose, hematocrit, hemoglobin, lactate, leukocytes, neutrophils, C-reactive protein (CRP), platelets, potassium, sodium, alanine aminotransferase (TGP/ALT), activated partial thromboplastin time (TTPA), and urea. These parameters provide a complete view of the patient's physiological and biochemical state during infection. Feature selection was performed using a hybrid approach combining correlation filtering, mutual information, tree-based feature importance, and XAI validation (SHAP, permutation sensitivity) to ensure both predictive accuracy and interpretability. The integration of these techniques supports accurate classification and AI-assisted decision-making. The findings of this study highlight the importance of integrating both vital sign monitoring and laboratory assessments for effective infectious disease management.</t>
  </si>
  <si>
    <t>Prabhu, Savithri; Bairy, Giliyar Muralidhar; Sampathila, Niranjana; Darshan, Brp Siddarama Dhruva</t>
  </si>
  <si>
    <t>Bairy, GM; Sampathila, N (corresponding author), Manipal Acad Higher Educ, Manipal Inst Technol, Manipal 576104, India.</t>
  </si>
  <si>
    <t>savithri.mitmpl2022@learner.manipal.edu; niranjana.s@manipal.edu; dhruvadarshanbs.cs.et@msruas.ac.in; gm.bairy@manipal.edu</t>
  </si>
  <si>
    <t>We would like to express our gratitude to the Manipal Academy of Higher Education for their support in conducting the research</t>
  </si>
  <si>
    <t>[Prabhu, Savithri; Bairy, Giliyar Muralidhar; Sampathila, Niranjana] Manipal Acad Higher Educ, Manipal Inst Technol, Manipal 576104, India; [Darshan, Brp Siddarama Dhruva] M S Ramaiah Univ Appl Sci, Dept Comp Sci &amp; Engn, Bengaluru 560058, India</t>
  </si>
  <si>
    <t>Manipal Academy of Higher Education (MAHE); M. S. Ramaiah University of Applied Sciences</t>
  </si>
  <si>
    <t>Explainable AI-Integrated Stacked Machine-Learning Model for Detection of Infectious Conditions Utilizing Vital Signs and Hematological Biomarkers</t>
  </si>
  <si>
    <t>vital sign; hematological biomarker; machine learning; XAI; infectious disease detection</t>
  </si>
  <si>
    <t>S/AAQ-8318-2020</t>
  </si>
  <si>
    <t>10.3390/info17030227</t>
  </si>
  <si>
    <t>http://dx.doi.org/10.3390/info17030227</t>
  </si>
  <si>
    <t>FR4UD</t>
  </si>
  <si>
    <t>WOS:001725649000001</t>
  </si>
  <si>
    <t>Samarin, ME; Javanmardi, F; Dorfeshan, P</t>
  </si>
  <si>
    <t>Background and Objectives: Advances in machine learning and deep learning have accelerated artificial intelligence (AI) development in radiology, yet clinical adoption remains limited due to trust, accountability, and acceptance concerns. This study assessed Iranian medical residents' attitudes toward AI in radiology. Methods: In this cross-sectional study, 112 specialty residents from four teaching hospitals affiliated with Ahvaz Jundishapur University of Medical Sciences voluntarily completed a validated 39-item questionnaire covering five domains: Distrust and Responsibility, Procedural Knowledge, Human Interaction, Efficiency, and Being Informed. Items were rated on a 5-point Likert scale, with reverse scoring applied where appropriate (higher scores indicating more negative attitudes). Descriptive statistics summarized responses, group comparisons used parametric or non-parametric tests, and associations were analyzed with Spearman correlation (P &lt; 0.05). Results: Participants' mean age was 31.84 +/- 5.20 years; 56.3% were female, 67.0% were in non-surgical specialties. Overall, 92.9% had moderate attitudes toward AI; none were classified as positive. Distrust and Responsibility had the highest mean score (48.99 +/- 4.90), reflecting concerns about accountability and reliability. Attitude scores did not differ by gender or specialty. Age showed a weak but significant positive correlation with total attitude score (rho = 0.272, P = 0.004) and with subscales of Distrust and Responsibility and Human Interaction. Conclusion: Medical residents exhibited generally cautious and moderate attitudes toward AI, mainly due to trust and professional responsibility concerns. Single-center design and voluntary participation may introduce selection bias. Targeted education and clearer ethical and legal frameworks could address these concerns and support responsible AI integration.</t>
  </si>
  <si>
    <t>Samarin, Mohammadamin Eslami; Javanmardi, Fereshteh; Dorfeshan, Parvin</t>
  </si>
  <si>
    <t>Samarin, ME (corresponding author), Ahvaz Jundishapur Univ Med Sci, Sch Med, Student Res Comm, Ahvaz, Iran.; Samarin, ME (corresponding author), Universal Sci Educ &amp; Res Network USERN, Tehran, Iran.</t>
  </si>
  <si>
    <t>aminsamarin98@gmail.com</t>
  </si>
  <si>
    <t>The authors did not receive support from any organization for the submitted work. No funding was received to assist with the preparation of this manuscript. No funding was received for conducting this study. No funds, grants, or other support was received.</t>
  </si>
  <si>
    <t>[Samarin, Mohammadamin Eslami] Ahvaz Jundishapur Univ Med Sci, Sch Med, Student Res Comm, Ahvaz, Iran; [Samarin, Mohammadamin Eslami] Universal Sci Educ &amp; Res Network USERN, Tehran, Iran; [Javanmardi, Fereshteh] Ahvaz Jundishapur Univ Med Sci, Fac Med, Dept Community &amp; Family Med, Ahvaz, Iran; [Dorfeshan, Parvin] Ahvaz Jundishapur Univ Med Sci, Fac Med, Dept Anat Sci, Ahvaz, Iran</t>
  </si>
  <si>
    <t>Ahvaz Jundishapur University of Medical Sciences (AJUMS); Universal Scientific Education &amp; Research Network (USERN); Ahvaz Jundishapur University of Medical Sciences (AJUMS)</t>
  </si>
  <si>
    <t>Attitudes of Medical Residents in Iran Toward Artificial Intelligence in Radiology: A Cross-Sectional Study</t>
  </si>
  <si>
    <t>IRANIAN RED CRESCENT MEDICAL JOURNAL</t>
  </si>
  <si>
    <t>Artificial Intelligence; Radiology; Attitudes; Medical Residents; Machine Learning</t>
  </si>
  <si>
    <t>Eslami Samarin, Mohammadamin/QDO-1228-2026</t>
  </si>
  <si>
    <t>Dubai Iranian Hosp</t>
  </si>
  <si>
    <t>Dubai</t>
  </si>
  <si>
    <t>Al Wasl Road , Jumeirah 1, P.O.BOX: 2330, Dubai, U ARAB EMIRATES</t>
  </si>
  <si>
    <t>2074-1804</t>
  </si>
  <si>
    <t>2074-1812</t>
  </si>
  <si>
    <t>IRAN RED CRESCENT ME</t>
  </si>
  <si>
    <t>Iran. Red Crescent Med. J.</t>
  </si>
  <si>
    <t>2521</t>
  </si>
  <si>
    <t>10.22034/ircmj.2026.554222.2521</t>
  </si>
  <si>
    <t>http://dx.doi.org/10.22034/ircmj.2026.554222.2521</t>
  </si>
  <si>
    <t>LH2UX</t>
  </si>
  <si>
    <t>WOS:001824562300001</t>
  </si>
  <si>
    <t>Zhang, TZ; Bae, SW; Chung, TMY; Dey, AK</t>
  </si>
  <si>
    <t>Background: The increasing prevalence of cannabis use has motivated researchers to develop computational behavioral models that predict usage patterns and related health impacts in naturalistic environments. However, the opaque nature of many artificial intelligence (AI) systems limits users' ability to interpret outputs and undermines trust. Existing explainable artificial intelligence techniques often remain overly technical and do not account for the confusion or frustration clinicians may experience when interpreting complex model explanations. Objective: We propose and evaluate an empathic clinical decision support system (empathic-CDSS) that integrates large language models (LLMs) with real-time emotion recognition and explainability modules. The goal is to provide transparent, adaptive, and emotionally attuned explanations that enhance interpretability, user confidence, and trust in AI-assisted clinical decision-making. Methods: Our empathic-CDSS integrates explainable artificial intelligence, causal inference, and affective computing within an interactive LLM-driven framework. Users' affective states were inferred using the circumplex model of affect, which characterizes emotions along 2 dimensions: valence (the degree of pleasure or displeasure) and arousal (the level of physiological activation or energy). Based on the captured emotional signals, the system dynamically adjusts the tone, structure, style, and complexity of its explanations generated by a fine-tuned LLM, enabling personalized and plain-language explanations. A total of 33 participants with diverse medical and technical backgrounds engaged with the system through guided evaluation tasks and postsession assessments to evaluate 6 dimensions of user-centered questions: usability, personalization and relevance of insights, clarity and comprehensibility, system benefits, satisfaction, and trust and reliability. Results: Our empathic-CDSS effectively generated personalized and transparent explanations that revealed the causal reasoning behind model predictions while enhancing users' emotional engagement and trust in the system's decision logic. Continuous, affect-based feedback enabled the system to dynamically adapt explanation delivery to individual user needs. Participants reported significantly improved usability, clarity, satisfaction, and trust compared with a baseline clinical decision support system without emotion adaptation. Improvements were also observed across additional evaluation dimensions, including personalization and perceived system benefits, supporting thefeasibility and added value of integrating empathy-aware communication into AI-driven clinical decision support. Conclusions: This study introduces a transparent, trustworthy, and emotionally adaptive framework for AI-assisted prediction and clinical decision support. By uniting causal reasoning, affective sensing, and LLM-based natural-language explanations, the empathic-CDSS offers a novel direction for developing emotionally intelligent and user-centered AI systems, with potential applications in behavioral monitoring and personalized interventions, including cannabis use and related health domains.</t>
  </si>
  <si>
    <t>Zhang, Tongze; Bae, Sang Won; Chung, Tammy; Dey, Anind K.</t>
  </si>
  <si>
    <t>Bae, SW (corresponding author), Stevens Inst Technol, Charles V Schaefer Jr Sch Engn &amp; Sci, Human Comp Interact &amp; Human Ctr AI Syst Lab, Dept Syst Engn,AI Healthcare Lab, 1 Castle Point Terrace, Hoboken, NJ 07030 USA.</t>
  </si>
  <si>
    <t>sbae4@stevens.edu</t>
  </si>
  <si>
    <t>National Institute on Drug Abuse of the National Institutes of Health [U01DA056472, R21 DA043181]</t>
  </si>
  <si>
    <t>National Institute on Drug Abuse of the National Institutes of Health (United States Department of Health &amp; Human Services, National Institutes of Health (NIH) - USA, NIH National Institute on Drug Abuse (NIDA))</t>
  </si>
  <si>
    <t>Funding This study was supported by the National Institute on Drug Abuse of the National Institutes of Health (U01DA056472 and R21 DA043181) . The content is solely the responsibility of the authors and does not necessarily represent the official views of the National Institutes of Health.</t>
  </si>
  <si>
    <t>[Zhang, Tongze; Bae, Sang Won] Stevens Inst Technol, Charles V Schaefer Jr Sch Engn &amp; Sci, Human Comp Interact &amp; Human Ctr AI Syst Lab, Dept Syst Engn,AI Healthcare Lab, 1 Castle Point Terrace, Hoboken, NJ 07030 USA; [Chung, Tammy] Rutgers State Univ, Inst Hlth Healthcare Policy &amp; Aging Res, Rutgers Biomed &amp; Hlth Sci, Newark, NJ USA; [Dey, Anind K.] Univ Washington, Informat Sch, Seattle, WA USA</t>
  </si>
  <si>
    <t>Stevens Institute of Technology; Rutgers University System; Rutgers University Newark; Rutgers University New Brunswick; Rutgers University Biomedical &amp; Health Sciences; University of Washington; University of Washington Seattle</t>
  </si>
  <si>
    <t>Emotion-Adaptive Large Language Model-Driven Clinical Decision Support: User Evaluation of the Empathic Clinical Decision Support System Framework for Trust and Explainability</t>
  </si>
  <si>
    <t>cannabis intoxication; cannabis-intoxicated behaviors; personalized intervention; large language models (LLMs); algorithmic decisions; transparency; healthcare AI; trustworthy AI; facial emotion recognition; mobile phone; artificial intelligence</t>
  </si>
  <si>
    <t>VALENCE; AROUSAL</t>
  </si>
  <si>
    <t>e89005</t>
  </si>
  <si>
    <t>10.2196/89005</t>
  </si>
  <si>
    <t>http://dx.doi.org/10.2196/89005</t>
  </si>
  <si>
    <t>IX0CH</t>
  </si>
  <si>
    <t>42172616</t>
  </si>
  <si>
    <t>WOS:001782328100001</t>
  </si>
  <si>
    <t>Linde, P; Singh, BP; Neu, M; Gollrad, J; Bischoff, M; Sarria, GR; Linge, A; Wielenberg, NE; Hillebrecht, AL; Höng, L; Leu, M; Müller, JA; Boehme, LF; Knöchelmann, AC; Becker, JN; Herfarth, K; Drozdz, S; Mäurer, M; Patties, I; Fleischmann, D; Schmottermeyer, D; Fabian, A; Frerker, B; Hess, S; Oertel, M; Dapper, H</t>
  </si>
  <si>
    <t>Background and purpose Undergraduate medical education is increasingly competency-based, digital, and interprofessional in accordance with the National Competence-Based Learning Objectives Catalogue for Medicine (Nationaler Kompetenzbasierter Lernzielkatalog Medizin, NKLM). Against this background, a nationally relevant, consensus-based framework for undergraduate radiation therapy education in Germany was developed by an expert panel of faculty representatives, aligned with the competencies expected at the end of the practical year (PJ) and in the final state examination context (M3), and complemented by guidance on the responsible educational use of artificial intelligence (AI).Methods The framework was prepared by the German Society of Radiation Oncology (Deutsche Gesellschaft f &amp; uuml;r Radioonkologie, DEGRO) working group "Medical Education" (AG Lehre), including a consolidated master document and 16 teaching portfolios that informed 15 candidate competencies. In a second step, 25 formally delegated representatives from 22 of the 36 university radiation oncology departments in Germany participated in a structured expert consensus process incorporating individual prioritization, small-group refinement, plenary consolidation, predefined voting thresholds, and postworkshop editorial integration.Results The resulting framework comprised four components: (1) nine prioritized core competencies defining a national minimum standard at the PJ/M3 level; (2) implementation bandwidths (minimal, recommended, best practice) anchored in anonymized site-profile data; (3) a staged A/B/C assessment model aligned with the Miller pyramid; and (4) integrated AI guidance defining permitted use cases, nonnegotiable boundaries, AI literacy goals, and a practical educator-facing implementation logic. The tumor board was identified as a particularly suitable integrative teaching format.Conclusion This white paper presents a nationally coordinated, competency-oriented framework for undergraduate radiation therapy education that combines a stable core with scalable local implementation options. By linking essential competencies, teaching bandwidths, staged assessment, and responsible AI guidance, greater consistency, coherence, and practical implementation of radiation therapy teaching across heterogeneous faculties is facilitated.</t>
  </si>
  <si>
    <t>Linde, Philipp; Pal Singh, Biney; Neu, Maria; Gollrad, Johannes; Bischoff, Martin; Sarria, Gustavo R.; Linge, Annett; Wielenberg, Nanna E.; Hillebrecht, Anna-Lena; Hong, Laura; Leu, Martin; Andreas Muller, Jorg; Boehme, Lukas Fabian; Knochelmann, Anne Caroline; Becker, Jan-Niklas; Herfarth, Klaus; Drozdz, Sonia; Maurer, Matthias; Patties, Ina; Fleischmann, Daniel; Schmottermeyer, Daniel; Fabian, Alexander; Frerker, Bernd; Hess, Sebastian; Oertel, Michael; Dapper, Hendrik</t>
  </si>
  <si>
    <t>Linde, P (corresponding author), Univ Hosp Cologne, Dept Radiat Oncol Cyberknife &amp; Radiat Therapy, Kerpener St 62, D-50937 Cologne, Germany.</t>
  </si>
  <si>
    <t>philipp.linde@uk-koeln.de</t>
  </si>
  <si>
    <t>Universittsklinikum Kln (8977)</t>
  </si>
  <si>
    <t>[Linde, Philipp; Dapper, Hendrik] Univ Hosp Cologne, Dept Radiat Oncol Cyberknife &amp; Radiat Therapy, Kerpener St 62, D-50937 Cologne, Germany; [Pal Singh, Biney] RWTH Aachen Univ Hosp, Dept Radiat Oncol, Pauwelsstr 30, D-52074 Aachen, Germany; [Neu, Maria] Univ Augsburg, Fac Med, Dept Radiotherapy &amp; Radiat Oncol, Klin Strahlentherapie &amp; Radioonkol, Stenglinstr 2, D-86156 Augsburg, Germany; [Gollrad, Johannes] Charite Univ Med Berlin, Dept Radiat Oncol, Berlin, Germany; [Bischoff, Martin] Ruhr Univ Bochum, Univ Hosp, Marien Hosp Herne, Dept Radiat Oncol, Herne, Germany; [Sarria, Gustavo R.] Univ Bonn, Univ Hosp Bonn, Dept Radiat Oncol, Bonn, Germany; [Linge, Annett] TUD Dresden Univ Technol, Dept Radiotherapy &amp; Radiat Oncol, Fac Med, Dresden, Germany; [Linge, Annett] TUD Dresden Tech Univ, Univ Hosp Carl Gustav Carus, Dresden, Germany; [Wielenberg, Nanna E.] Univ Freiburg, Med Ctr, Dept Radiat Oncol, Fac Med, Freiburg, Germany; [Hillebrecht, Anna-Lena] Univ Freiburg, Med Ctr, Dept Prosthet Dent, Fac Med,Ctr Dent Med, Hugstetterstr 55, D-79106 Freiburg, Germany; [Hong, Laura] Justus Liebig Univ Giessen, Giessen Marburg Univ Hosp, Dept Radiat Oncol, Giessen, Germany; [Leu, Martin] Univ Med Ctr, Dept Radiotherapy &amp; Radiat Oncol, Gottingen, Germany; [Andreas Muller, Jorg] Univ Hosp Halle, Dept Radiat Oncol, Halle, Saale, Germany; [Boehme, Lukas Fabian] Univ Med Ctr Hamburg Eppendorf, Dept Radiotherapy &amp; Radiat Oncol, Hamburg, Germany; [Knochelmann, Anne Caroline; Becker, Jan-Niklas] Hannover Med Sch, Dept Radiotherapy, Carl Neuberg Str 1, D-30625 Hannover, Germany; [Herfarth, Klaus] Heidelberg Univ, Dept Radiat Oncol, Heidelberg, Germany; [Drozdz, Sonia; Maurer, Matthias] Jena Univ Hosp, Dept Radiat Oncol, Jena, Germany; [Patties, Ina] Univ Leipzig, Dept Radiat Oncol, Stephanstr 9a, D-04103 Leipzig, Germany; [Fleischmann, Daniel] Ludwig Maximilians Univ Munchen, Dept Radiat Oncol, LMU Univ Hosp, LMU Med, Munich, Germany; [Schmottermeyer, Daniel] Tech Univ Munich, Dept Radiat Oncol, Klinikum Rechts Isar, Munich, Germany; [Fabian, Alexander] Univ Hosp Schleswig Holstein, Dept Radiat Oncol, Kiel, Germany; [Frerker, Bernd] Rostock Univ, Med Ctr, Dept Radiat Oncol, D-18059 Rostock, Germany; [Hess, Sebastian] Julius Maximilians Univ, Univ Hosp Wurzburg, Dept Radiat Oncol, Wurzburg, Germany; [Oertel, Michael] Univ Hosp Munster, Dept Radiat Oncol, Munster, Germany</t>
  </si>
  <si>
    <t>University of Cologne; RWTH Aachen University; RWTH Aachen University Hospital; University of Augsburg; Free University of Berlin; Humboldt University of Berlin; Charite Universitatsmedizin Berlin; St. Marien Hospital; Ruhr University Bochum; University of Bonn; Technische Universitat Dresden; Technische Universitat Dresden; Carl Gustav Carus University Hospital; University of Freiburg; University of Freiburg; Justus Liebig University Giessen; University Hospital of Giessen &amp; Marburg; University of Gottingen; University of Gottingen Hospital; Martin Luther University Halle Wittenberg; University of Hamburg; University Medical Center Hamburg-Eppendorf; Hannover Medical School; Ruprecht Karls University Heidelberg; Friedrich Schiller University of Jena; Leipzig University; University of Munich; Technical University of Munich; University of Kiel; Schleswig Holstein University Hospital; University of Rostock; University of Wurzburg; University of Munster</t>
  </si>
  <si>
    <t>DEGRO consensus framework for undergraduate radiation therapy teaching in Germany: a white paper with integrated guidance on artificial intelligence in medical education</t>
  </si>
  <si>
    <t>STRAHLENTHERAPIE UND ONKOLOGIE</t>
  </si>
  <si>
    <t>Competency-based teaching; Digital learning; Curriculum; National competency-based learning objectives catalogue in medicine; Innovative teaching concepts</t>
  </si>
  <si>
    <t>Sarria, Gustavo/PSM-5597-2026; Dapper, Hendrik/PXC-4207-2026; Leu, Martin/ABE-7138-2021; Linge, Annett/I-8327-2019</t>
  </si>
  <si>
    <t>Frerker, Bernd/0009-0009-1436-6592; Sarria Vargas, Gustavo Renato/0000-0002-5929-7270; Mäurer, Matthias/0000-0001-9662-3082</t>
  </si>
  <si>
    <t>0179-7158</t>
  </si>
  <si>
    <t>1439-099X</t>
  </si>
  <si>
    <t>STRAHLENTHER ONKOL</t>
  </si>
  <si>
    <t>Strahlenther. Onkol.</t>
  </si>
  <si>
    <t>10.1007/s00066-026-02575-4</t>
  </si>
  <si>
    <t>http://dx.doi.org/10.1007/s00066-026-02575-4</t>
  </si>
  <si>
    <t>LL6YO</t>
  </si>
  <si>
    <t>42484645</t>
  </si>
  <si>
    <t>WOS:001827552300001</t>
  </si>
  <si>
    <t>Alzughaibi, SA; Ahmad, I; Alassafi, M</t>
  </si>
  <si>
    <t>The increasing connectivity of Internet of Things (IoT)-oriented environments has made them more vulnerable to cyberattacks, requiring intrusion-detection systems (IDSs) to ensure their secure and reliable operation. The feature selection (FS) process of an IDS affects its performance, as effective FS can enhance detection accuracy and reduce the computational cost and model complexity. This paper presents Adaptive Hybrid Genetic Algorithm-Simulated Annealing (AHGA-SA) as an FS framework that integrates the global search ability of a genetic algorithm and the local exploitation ability of simulated annealing. AHGA-SA aims to find compact, informative feature subsets in high-dimensional intrusion-detection datasets at an acceptable computational cost while maintaining detection performance. The experimental results on three recent benchmarks demonstrate feature-space reduction, with classification accuracies of 99.04% on IoTID20 (using 12 features), 98.25% on WUSTL-EHMS (using seven features), and 99.18% on Edge-IIoTset (using nine features). The results also demonstrate reduced training and testing times, central processing unit usage, resident set size overhead, and subset size compared to the baseline. Furthermore, Shapley additive explanations, as an explainable artificial intelligence technique, are applied to explain the model's predictions and to show the contribution of the selected features to the IDS decision-making process.</t>
  </si>
  <si>
    <t>Alzughaibi, Saud Abdullah; Ahmad, Iftikhar; Alassafi, Madini</t>
  </si>
  <si>
    <t>Alzughaibi, SA (corresponding author), King Abdulaziz Univ, Fac Comp &amp; Informat Technol, Dept Informat Technol, Jeddah 21589, Saudi Arabia.</t>
  </si>
  <si>
    <t>salzughaibi0004@stu.kau.edu.sa; iakhan@kau.edu.sa; malasafi@kau.edu.sa</t>
  </si>
  <si>
    <t>This research was funded by KAU Endowment (WAQF) at King Abdulaziz University, Jeddah, Saudi Arabia. The authors gratefully acknowledge WAQF and the Deanship of Scientific Research (DSR) for their technical and financial support.</t>
  </si>
  <si>
    <t>[Alzughaibi, Saud Abdullah; Ahmad, Iftikhar; Alassafi, Madini] King Abdulaziz Univ, Fac Comp &amp; Informat Technol, Dept Informat Technol, Jeddah 21589, Saudi Arabia</t>
  </si>
  <si>
    <t>AHGA-SA: A Novel Adaptive Hybrid Framework for Feature Selection in IoT-Oriented Intrusion Detection with Explainable AI</t>
  </si>
  <si>
    <t>Internet of Things; intrusion detection system; feature selection; genetic algorithm; simulated annealing; adaptive hybrid optimization; explainable AI; Internet of Medical Things; Industrial Internet of Things</t>
  </si>
  <si>
    <t>DETECTION SYSTEM; OPTIMIZATION; ALGORITHMS; INTERNET</t>
  </si>
  <si>
    <t>Alassafi, Madini/AGY-4104-2022</t>
  </si>
  <si>
    <t>4247</t>
  </si>
  <si>
    <t>10.3390/s26134247</t>
  </si>
  <si>
    <t>http://dx.doi.org/10.3390/s26134247</t>
  </si>
  <si>
    <t>KX4LJ</t>
  </si>
  <si>
    <t>42451488</t>
  </si>
  <si>
    <t>WOS:001817897200001</t>
  </si>
  <si>
    <t>Khan, S; Siddiqui, F; Ahad, MA</t>
  </si>
  <si>
    <t>Pulmonary diseases are notable global health challenges that contribute to increased morbidity and mortality rates. Early and accurate diagnosis is essential for effective treatment. However, traditional apprehension of chest X-ray images is tiresome and susceptible to human error, particularly in resource-constrained settings. Current progress in deep learning, particularly convolutional neural networks, has enabled the automated classification of pulmonary diseases with increased accuracy. In this study, we have proposed an explainable AI approach using modified lightweight convolution neural networks, such as MobileNetV2, EfficientNet-B0, NASNetMobile, and ResNet50V2 to achieve efficient and interpretable classification of multiple pulmonary diseases. Lightweight CNNs are designed to minimize computational complexity while maintaining robust performance, making them ideal for mobile and embedded systems with limited processing power deployment. Our models demonstrated strong performance in detecting pulmonary diseases, with EfficientNet-B0 achieving an accuracy of 94.07%, precision of 94.16%, recall of 94.07%, and F1 score of 94.04%. Furthermore, we have incorporated explainability methods (grad-CAM &amp; t-SNE) to enhance the transparency of model predictions, providing clinicians with a trustworthy tool for diagnostic decision support. The results suggest that lightweight CNNs effectively balance accuracy, efficiency, and interpretability, making them suitable for real-time pulmonary disease detection in clinical and low-resource environments</t>
  </si>
  <si>
    <t>Khan, Samia; Siddiqui, Farheen; Ahad, Mohd Abdul</t>
  </si>
  <si>
    <t>Siddiqui, F (corresponding author), Jamia Hamdard, Sch Engn Sci &amp; Technol, Dept Comp Sci &amp; Engn, New Delhi, India.</t>
  </si>
  <si>
    <t>aahad@jamiahamdard.ac.in; fsiddiqui@jamiahamdard.ac.in; samiakhan@jamiahamdard.ac.in</t>
  </si>
  <si>
    <t>DST-FIST (Department of Computer Science Engineering) [SR/FST/ET-11/2019/313 (C)]; Visvesvaraya PhD Scheme for Electronics &amp; IT, MEITY (Ministry of Electronics and Information Technology) , Government of India</t>
  </si>
  <si>
    <t>DST-FIST (Department of Computer Science Engineering); Visvesvaraya PhD Scheme for Electronics &amp; IT, MEITY (Ministry of Electronics and Information Technology) , Government of India</t>
  </si>
  <si>
    <t>The authors would like to acknowledge DST-FIST (Department of Computer Science &amp; Engineering, Jamia Hamdard) No SR/FST/ET-11/2019/313 (C) . for providing the facilities to conduct the research. Also, we would like to thank the Visvesvaraya PhD Scheme for Electronics &amp; IT, MEITY (Ministry of Electronics and Information Technology) , Government of India for funding the PhD program.</t>
  </si>
  <si>
    <t>[Khan, Samia; Siddiqui, Farheen; Ahad, Mohd Abdul] Jamia Hamdard, Sch Engn Sci &amp; Technol, Dept Comp Sci &amp; Engn, New Delhi, India</t>
  </si>
  <si>
    <t>Jamia Hamdard University</t>
  </si>
  <si>
    <t>Bridging efficiency and interpretability: Explainable AI for multi-classification of pulmonary diseases utilizing modified lightweight CNNs</t>
  </si>
  <si>
    <t>Pulmonary disease; Lightweight CNN; Computational complexity; Explainable AI; Grad-CAM</t>
  </si>
  <si>
    <t>Khan, Samia/LKM-1421-2024; Siddiqui, Farheen/PFQ-9515-2025</t>
  </si>
  <si>
    <t>158</t>
  </si>
  <si>
    <t>105553</t>
  </si>
  <si>
    <t>10.1016/j.imavis.2025.105553</t>
  </si>
  <si>
    <t>http://dx.doi.org/10.1016/j.imavis.2025.105553</t>
  </si>
  <si>
    <t>1XG3P</t>
  </si>
  <si>
    <t>WOS:001475824700001</t>
  </si>
  <si>
    <t>Chen, XW; Yang, YH; Yun, DY; Wang, RX; Lin, YF; Luo, MJ; Zhang, WX; Yu-Wai-Man, P; Burton, M; Liang, LY; Lin, HT</t>
  </si>
  <si>
    <t>Ophthalmology, an early adopter of medical artificial intelligence (AI), has made significant advancements, but ethical discussions limited. This bibliometric analysis reviewed 498 publications from Web of Science and Scopus (2000-2023) to explore the evolution, status, thematic trends, data modalities and their ethical focus, and solutions in ophthalmic AI ethics. Ophthalmology ranks second in medical AI ethics, with major contributors from the United States (US), China, the United Kingdom (UK), Singapore and India. Ethical concerns focus on privacy, fairness, and transparency. Ethical priorities differ by modality with fundus imaging (59.4%) and Optical Coherence Tomography (OCT) (30.9%) as the most common. Most studies (78.3%) address ethics in diagnostic algorithm development, while only 11.5% directly target ethical concerns, though this focus is increasing. This study highlights the need for AI technologies and guidelines to address ethical challenges in ophthalmology, offering a future direction for research and innovation in medical AI governance.</t>
  </si>
  <si>
    <t>Chen, Xinwei; Yang, Yahan; Yun, Dongyuan; Wang, Ruixin; Lin, Yuanfan; Luo, Mingjie; Zhang, Weixing; Yu-Wai-Man, Patrick; Burton, Matthew; Liang, Lingyi; Lin, Haotian</t>
  </si>
  <si>
    <t>Yang, YH; Lin, HT (corresponding author), Sun Yat Sen Univ, Guangdong Prov Key Lab Ophthalmol &amp; Visual Sci, Guangdong Prov Clin Res Ctr Ocular Dis,State Key L, WHO Collaborating Ctr Eye Care &amp; Vis,Zhongshan Oph, Guangzhou, Guangdong, Peoples R China.; Lin, HT (corresponding author), Sun Yat Sen Univ, Hainan Eye Hosp, Haikou, Hainan, Peoples R China.; Lin, HT (corresponding author), Sun Yat Sen Univ, Zhongshan Ophthalm Ctr, Key Lab Ophthalmol, Haikou, Hainan, Peoples R China.; Lin, HT (corresponding author), Sun Yat Sen Univ, Ctr Precis Med, Zhongshan Sch Med, Guangzhou, Guangdong, Peoples R China.; Lin, HT (corresponding author), Sun Yat Sen Univ, Zhongshan Sch Med, Dept Genet &amp; Biomed Informat, Guangzhou, Guangdong, Peoples R China.</t>
  </si>
  <si>
    <t>yangyh39@mail3.sysu.edu.cn; linht5@mail.sysu.edu.cn</t>
  </si>
  <si>
    <t>National Natural Science Foundation of China [82441003, 82301265, 82301256]; National Natural Science Foundation of China (NSFC) [2023A1111120011]; Science and Technology Planning Project of Guangdong Province [2023M734047]; China Postdoctoral Science Foundation [2024QNRC001]; Young Elite Scientists Sponsorship Program by CAST</t>
  </si>
  <si>
    <t>National Natural Science Foundation of China (National Natural Science Foundation of China (NSFC)); National Natural Science Foundation of China (NSFC) (National Natural Science Foundation of China (NSFC)); Science and Technology Planning Project of Guangdong Province (Science and Technology Planning Project of Guangdong Province); China Postdoctoral Science Foundation (China Postdoctoral Science Foundation); Young Elite Scientists Sponsorship Program by CAST</t>
  </si>
  <si>
    <t>This study was funded by the National Natural Science Foundation of China (NSFC, grant nos. 82441003, 82301265 and 82301256), the Science and Technology Planning Project of Guangdong Province (grant no. 2023A1111120011), the China Postdoctoral Science Foundation (grant no. 2023M734047) and the Young Elite Scientists Sponsorship Program by CAST (grant no.2024QNRC001). The funders played no role in study design, data collection, analysis, and interpretation of data, or the writing of this manuscript.</t>
  </si>
  <si>
    <t>[Chen, Xinwei; Yang, Yahan; Yun, Dongyuan; Wang, Ruixin; Lin, Yuanfan; Luo, Mingjie; Zhang, Weixing; Liang, Lingyi; Lin, Haotian] Sun Yat Sen Univ, Guangdong Prov Key Lab Ophthalmol &amp; Visual Sci, Guangdong Prov Clin Res Ctr Ocular Dis,State Key L, WHO Collaborating Ctr Eye Care &amp; Vis,Zhongshan Oph, Guangzhou, Guangdong, Peoples R China; [Yu-Wai-Man, Patrick] Univ Cambridge, Cambridge Ctr Brain Repair, Cambridge, England; [Yu-Wai-Man, Patrick] Univ Cambridge, Dept Clin Neurosci, MRC Mitochondrial Biol Unit, Cambridge, England; [Yu-Wai-Man, Patrick] Cambridge Univ Hosp, Addenbrookes Hosp, Cambridge Eye Unit, Cambridge, England; [Burton, Matthew] London Sch Hyg &amp; Trop Med, Int Ctr Eye Hlth, Dept Clin Res, London, England; [Lin, Haotian] Sun Yat Sen Univ, Hainan Eye Hosp, Haikou, Hainan, Peoples R China; [Lin, Haotian] Sun Yat Sen Univ, Zhongshan Ophthalm Ctr, Key Lab Ophthalmol, Haikou, Hainan, Peoples R China; [Lin, Haotian] Sun Yat Sen Univ, Ctr Precis Med, Zhongshan Sch Med, Guangzhou, Guangdong, Peoples R China; [Lin, Haotian] Sun Yat Sen Univ, Zhongshan Sch Med, Dept Genet &amp; Biomed Informat, Guangzhou, Guangdong, Peoples R China</t>
  </si>
  <si>
    <t>Sun Yat Sen University; University of Cambridge; University of Cambridge; Cambridge University Hospitals NHS Foundation Trust; University of Cambridge; Addenbrooke's Hospital; University of London; London School of Hygiene &amp; Tropical Medicine; Sun Yat Sen University; Sun Yat Sen University; Sun Yat Sen University; Sun Yat Sen University</t>
  </si>
  <si>
    <t>Current status and solutions for AI ethics in ophthalmology: a bibliometric analysis</t>
  </si>
  <si>
    <t>ARTIFICIAL-INTELLIGENCE; DIABETIC-RETINOPATHY; VESSEL SEGMENTATION; ALGORITHMS; NETWORK; DISEASE</t>
  </si>
  <si>
    <t>Farrell, Matthew/KIE-2978-2024; Zhang, Weixing/HCI-7535-2022; Chen, Xinwei/MTD-1627-2025; luo, mingjie/PBU-6455-2025; Yang, Yahan/MBH-7878-2025</t>
  </si>
  <si>
    <t>594</t>
  </si>
  <si>
    <t>10.1038/s41746-025-01976-6</t>
  </si>
  <si>
    <t>http://dx.doi.org/10.1038/s41746-025-01976-6</t>
  </si>
  <si>
    <t>8CV2T</t>
  </si>
  <si>
    <t>41038974</t>
  </si>
  <si>
    <t>WOS:001585619900001</t>
  </si>
  <si>
    <t>Abuadas, M; Albikawi, Z; Rayani, A</t>
  </si>
  <si>
    <t>Background The integration of Generative artificial intelligence (GAI) into healthcare is rapidly evolving, necessitating ethical preparedness among nursing students. GAI technologies present ethical challenges related to patient privacy, algorithmic bias, and informed consent, underscoring the need for structured AI ethics education in nursing curricula. This study aims to examine the impact of an ethics education program on nursing students' AI ethical awareness, moral sensitivity, attitudes, and intentions to use GAI in healthcare. Methods A quasi experimental, pretest-posttest study was conducted with 115 nursing students. The participants were randomly assigned to an intervention group (n = 57), which received a structured AI ethics education program, or a control group (n = 58), which did not receive the intervention. The validated scales measured AI ethical awareness, moral sensitivity, attitudes, and the intention to use AI before and after the intervention. Results Compared with the control group, the intervention group demonstrated a significant increase in AI ethical awareness (M = 57.28, SD = 22.28) (M = 47.43, SD = 24.04; p = .025, eta(2) = 0.044). Moral sensitivity also showed a notable improvement in the intervention group (M = 74.33, SD = 29.93) compared with the control group (M = 60.26, SD = 22.52; p = .005, eta(2) = 0.067). Compared with the control group, positive attitudes toward AI significantly increased postintervention (M = 39.46, SD = 11.51) (M = 23.21, SD = 11.72; p &lt; .001, eta(2) = 0.332), indicating a strong effect of ethics education. Furthermore, the intention to use AI technology improved significantly in the intervention group (M = 12.46, SD = 3.55) compared with the control group (M = 10.24, SD = 3.15; p = .001, eta(2) = 0.099). However, negative attitudes toward GAI did not significantly change postintervention. Conclusion This study highlights the effectiveness of structured AI ethics education in enhancing ethical competencies among nursing students. Integrating such programs into nursing curricula is essential to prepare future nurses for ethical decision-making in AI-driven healthcare. These findings support the development of standardized ethics training modules to guide responsible AI use in clinical practice and inform future curriculum design.Clinical trial numberNot applicable.</t>
  </si>
  <si>
    <t>Abuadas, Mohammad; Albikawi, Zainab; Rayani, Ahmad</t>
  </si>
  <si>
    <t>Abuadas, M (corresponding author), Yarmouk Univ, Nursing Fac, Basic Nursing Dept, Irbid, Jordan.</t>
  </si>
  <si>
    <t>mabuadas@yu.edu.jo</t>
  </si>
  <si>
    <t>King Saud University, Riyadh, Saudi Arabia [RSPD2025R1032]</t>
  </si>
  <si>
    <t>The author of this study extends his appreciation to the Researchers Supporting Project Number (RSPD2025R1032), King Saud University, Riyadh, Saudi Arabia.</t>
  </si>
  <si>
    <t>[Abuadas, Mohammad] Yarmouk Univ, Nursing Fac, Basic Nursing Dept, Irbid, Jordan; [Albikawi, Zainab] Yarmouk Univ, Nursing Fac, Clin Nursing Dept, Irbid, Jordan; [Rayani, Ahmad] King Saud Univ, Coll Nursing, Community &amp; Psychiat Mental Hlth Nursing Dept, Riyadh, Saudi Arabia</t>
  </si>
  <si>
    <t>Yarmouk University; Yarmouk University; King Saud University</t>
  </si>
  <si>
    <t>The impact of an AI-focused ethics education program on nursing students' ethical awareness, moral sensitivity, attitudes, and generative AI adoption intention: a quasi-experimental study</t>
  </si>
  <si>
    <t>BMC NURSING</t>
  </si>
  <si>
    <t>Artificial intelligence; Ethics education; Nursing students; Ethical awareness; Moral sensitivity; AI attitudes; Healthcare technology</t>
  </si>
  <si>
    <t>ARTIFICIAL-INTELLIGENCE; HEALTH-CARE</t>
  </si>
  <si>
    <t>Rayani, Ahmad/KII-0560-2024; Abuadas, mohammad/GQQ-7001-2022; Albikawi, Zainab/HLW-6839-2023</t>
  </si>
  <si>
    <t>Rayani, Ahmad/0000-0001-9114-2052; Abuadas, mohammad/0000-0002-2739-7314; Albikawi, Zainab/0000-0002-9587-5242</t>
  </si>
  <si>
    <t>1472-6955</t>
  </si>
  <si>
    <t>BMC NURS</t>
  </si>
  <si>
    <t>BMC Nurs.</t>
  </si>
  <si>
    <t>720</t>
  </si>
  <si>
    <t>10.1186/s12912-025-03458-2</t>
  </si>
  <si>
    <t>http://dx.doi.org/10.1186/s12912-025-03458-2</t>
  </si>
  <si>
    <t>4OM9L</t>
  </si>
  <si>
    <t>40597065</t>
  </si>
  <si>
    <t>WOS:001522903000017</t>
  </si>
  <si>
    <t>Roque, E; Santos, MS; Machado, P; Abreu, PH</t>
  </si>
  <si>
    <t>With the growing adoption of machine learning systems in high-stakes domains such as healthcare, finance, and public administration, ensuring that these systems behave responsibly has become an urgent concern. Initiatives such as the EU AI Act and the broader movement toward responsible AI have highlighted fairness as a key challenge in the development and deployment of such technologies. Although existing tools support model op timization through hyperparameter tuning and algorithm selection, they often neglect the broader pipeline, overlooking how factors like data bias and model evaluation practices contribute to fairness. This paper presents Fairforge, a tool designed to support responsible ML development by guiding users through essential stages of the pipeline. These include data preprocessing with bias-awareness, fairness-informed model training, and postprocessing correction techniques. Fairforge also provides integrated interfaces for evalu ating both performance and fairness metrics. The tool aims to make state-of-the-art fairness techniques accessible to users without deep expertise in the field. To validate the effectiveness of Fairforge, we conducted a series of usability tests involving users with di verse levels of technical backgrounds. The results demonstrate that the tool helps promote fairness in model development, even among non-expert practitioners.</t>
  </si>
  <si>
    <t>Roque, Emanuel; Santos, Miriam Seoane; Machado, Penousal; Abreu, Pedro Henriques</t>
  </si>
  <si>
    <t>Roque, E (corresponding author), Univ Coimbra, Dept Informat, Coimbra, Portugal.</t>
  </si>
  <si>
    <t>emanuelroque.uc@gmail.com</t>
  </si>
  <si>
    <t>National funds through FCT-Foundation for Science and Technology, I.P. [UID/00326, UID/50014/2023]; Portuguese Recovery and Resilience Plan (PRR) [C645008882-00000055]; Center for Responsible AI [UID/50014/2023]</t>
  </si>
  <si>
    <t>National funds through FCT-Foundation for Science and Technology, I.P. (Fundacao para a Ciencia e a Tecnologia (FCT)); Portuguese Recovery and Resilience Plan (PRR); Center for Responsible AI</t>
  </si>
  <si>
    <t>This work is funded by national funds through FCT-Foundation for Science and Technology, I.P., within the scope of the research unit UID/00326-Centre for Informatics and Systems of the University of Coimbra, https://doi.org/10.54499/UID/00326/2025 and through the Portuguese Recovery and Resilience Plan (PRR) through project C645008882-00000055, Center for Responsible AI. This work is also funded by national funds through FCT-Fundac &amp; atilde;o para a Ciencia e a Tecnologia, I.P., under the support UID/50014/2023 (https://doi.org/10.54499/UID/50014/2023) .</t>
  </si>
  <si>
    <t>[Roque, Emanuel; Machado, Penousal; Abreu, Pedro Henriques] Univ Coimbra, Dept Informat, Coimbra, Portugal; [Santos, Miriam Seoane] Univ Porto, Fac Sci, Porto, Portugal</t>
  </si>
  <si>
    <t>Universidade de Coimbra; Universidade do Porto</t>
  </si>
  <si>
    <t>Fairness in machine learning pipelines: Guided interventions with the Fairforge tool</t>
  </si>
  <si>
    <t>Responsible AI; Fairness; Bias mitigation; ML pipelines; Data audit framework</t>
  </si>
  <si>
    <t>Abreu, Pedro/ABE-1698-2020</t>
  </si>
  <si>
    <t>SEP 14 2026</t>
  </si>
  <si>
    <t>694</t>
  </si>
  <si>
    <t>133868</t>
  </si>
  <si>
    <t>10.1016/j.neucom.2026.133868</t>
  </si>
  <si>
    <t>http://dx.doi.org/10.1016/j.neucom.2026.133868</t>
  </si>
  <si>
    <t>IP4FM</t>
  </si>
  <si>
    <t>WOS:001777182100001</t>
  </si>
  <si>
    <t>Wochele-Thoma, T; Ijinu, TP; Sasidharan, SP; Manakkadan, A; Shine, LS; Krishnakumar, NM; Aruna, SI; Pasupuleti, N; Aswany, T; Deepthi, DC; Ma, ZL; Hua, YN; Lawinski, M; Litvinova, O; Kletecka-Pulker, M; Atanasov, AG</t>
  </si>
  <si>
    <t>Background Social media platforms facilitate global discourse on the application of artificial intelligence (AI) in healthcare. Nevertheless, there is a paucity of longitudinal analyses of digitally mediated discussions.Objective To investigate the evolution of global English-language-dominated discourse on #AIinHealthcare over a three-year period on X (formerly Twitter).Methods Using Fedica analytics, we analysed 57,880 tweets by 17,991 distinct users across 141 countries from 1 November 2022 to 1 November 2025. This analysis focused on English-language-dominant discourse around #AIinHealthcare (96.9% English), acknowledging hashtag-specific selection bias and linguistic limitations. This study used publicly available anonymised data and followed the ethical guidelines for social media research.Results The #AIinHealthcare garnered 39.2 million impressions, with significant contributions from high-income countries, notably the United States (40.7%) and Canada (21.0%), as well as India (13.4%; a rapidly expanding economy), collectively accounting for 75.1% of tweets and reflecting hashtag-specific, geographically concentrated engagement. This peaked in mid-2023 and stabilized lower by mid-2025. English was the predominant language of the discourse (96.9%). The community consisted of 74.9% grassroots users with fewer than 1,000 followers, suggesting genuine participation beyond elite influencers. Total engagement reached 72,625 interactions, primarily passive, comprising 68.1% likes, 19.4% retweets, 10.3% replies, and 2.1% quote tweets. Hashtag co-occurrence patterns, supported by qualitative inspection of exemplar tweets, indicated majorly five distinct clusters: foundational technical topics (#GenerativeAI, #ChatGPT, #LLMs) peaked after November 2022; clinical application themes emerged across disease-specific specialties (#Oncology, #Cardiology, #MentalHealth); healthcare implementation themes addressed practical integration (#DigitalHealth, #Telemedicine, #EHR); governance and ethics themes gained prominence (#ResponsibleAI, #AIEthics, #ExplainableAI, #DataPrivacy); and professional integration themes fostered learning communities (#MedTwitter, #MedicalEducation). Sentiment was predominantly neutral (95%), with positive (3%) and negative (2%). Monthly tweets peaked in mid-2023 at 1,600-1,800 before declining to 750-900 per month by June 2025. High-engagement content linked AI to practical applications, governmental initiatives, and clinical breakthroughs.Conclusion English-language-dominated discourse around #AIinHealthcare reveals hashtag-specific maturation from technical enthusiasm to governance and implementation focus. However, platform access restrictions in countries such as China and Russia may skew geographic representation. Disparities in sustainability discourse remain prevalent.</t>
  </si>
  <si>
    <t>Wochele-Thoma, Thomas; Ijinu, Thadiyan Parambil; Sasidharan, Sreejith Pongillyathundi; Manakkadan, Anoop; Shine, Lathikakumariamma Sahadevakurup; Krishnakumar, Neenthamadathil Mohandas; Aruna, Selvaraj Indira; Pasupuleti, Nagarjuna; Aswany, Thomas; Deepthi, Divakaran Chandramathi; Ma, Zilin; Hua, Yining; Lawinski, Michal; Litvinova, Olena; Kletecka-Pulker, Maria; Atanasov, Atanas G.</t>
  </si>
  <si>
    <t>Atanasov, AG (corresponding author), Med Univ Vienna, Ludwig Boltzmann Inst Digital Hlth &amp; Patient Safe, Vienna, Austria.; Ijinu, TP (corresponding author), Kerala Univ, Business Innovat &amp; Incubat Ctr, BioX Intelligence Hub, Naturae Sci, Thiruvananthapuram, Kerala, India.; Ijinu, TP (corresponding author), Natl Soc Ethnopharmacol, Thiruvananthapuram, Kerala, India.; Ijinu, TP (corresponding author), Naturae Sci Fdn, Nutraceut India Consortium, Thiruvananthapuram, Kerala, India.; Ijinu, TP (corresponding author), Acad Bharatiya Knowledge Syst &amp; Tradit, Thiruvananthapuram, Kerala, India.; Atanasov, AG (corresponding author), Polish Acad SciencesMagdalenka, Inst Genet &amp; Anim Biotechnol, Magdalenka, Poland.; Atanasov, AG (corresponding author), Danube Private Univ, Patient Safety &amp; Digital Hlth PaDiH Grp, Krems Stein, Austria.; Atanasov, AG (corresponding author), Saveetha Inst Med &amp; Tech Sci, Saveetha Med Coll &amp; Hosp, Dept Biochem, Chennai, Tamil Nadu, India.</t>
  </si>
  <si>
    <t>atanas.atanasov@lbg.ac.at; ijinutp@gmail.com</t>
  </si>
  <si>
    <t>Department of Health Research (DHR), Ministry of Health and Family Welfare (MoHFW), Government of India, through the MRU at the Government Medical College, Thiruvananthapuram, Kerala (India)</t>
  </si>
  <si>
    <t>SPS and AM acknowledges support from the Department of Health Research (DHR), Ministry of Health and Family Welfare (MoHFW), Government of India, through the MRU at the Government Medical College, Thiruvananthapuram, Kerala (India).</t>
  </si>
  <si>
    <t>[Wochele-Thoma, Thomas; Litvinova, Olena; Kletecka-Pulker, Maria; Atanasov, Atanas G.] Med Univ Vienna, Ludwig Boltzmann Inst Digital Hlth &amp; Patient Safe, Vienna, Austria; [Ijinu, Thadiyan Parambil; Pasupuleti, Nagarjuna] Kerala Univ, Business Innovat &amp; Incubat Ctr, BioX Intelligence Hub, Naturae Sci, Thiruvananthapuram, Kerala, India; [Ijinu, Thadiyan Parambil; Sasidharan, Sreejith Pongillyathundi; Krishnakumar, Neenthamadathil Mohandas] Natl Soc Ethnopharmacol, Thiruvananthapuram, Kerala, India; [Ijinu, Thadiyan Parambil; Sasidharan, Sreejith Pongillyathundi; Krishnakumar, Neenthamadathil Mohandas; Pasupuleti, Nagarjuna; Aswany, Thomas; Deepthi, Divakaran Chandramathi] Naturae Sci Fdn, Nutraceut India Consortium, Thiruvananthapuram, Kerala, India; [Ijinu, Thadiyan Parambil; Sasidharan, Sreejith Pongillyathundi; Krishnakumar, Neenthamadathil Mohandas] Acad Bharatiya Knowledge Syst &amp; Tradit, Thiruvananthapuram, Kerala, India; [Sasidharan, Sreejith Pongillyathundi; Manakkadan, Anoop] GoI, Dept Hlth Res, Multidisciplinary Res Unit, MoH &amp; FWD,Govt Med Coll, Thiruvananthapuram, Kerala, India; [Shine, Lathikakumariamma Sahadevakurup] Skysmile Technol, HealthTech Intelligence &amp; Innovat Hub, Thiruvananthapuram, Kerala, India; [Krishnakumar, Neenthamadathil Mohandas] Rajagiri Coll Social Sci Autonomous, Dept Biosci, Ernakulam, Kerala, India; [Aruna, Selvaraj Indira] St Aloysius Coll, Dept Bot &amp; Computat Biol, Trichur, Kerala, India; [Aswany, Thomas] Medomas Healthcare, Thiruvananthapuram, Kerala, India; [Deepthi, Divakaran Chandramathi] SCMS Sch Technol &amp; Management, Dept Biotechnol, Ernakulam, Kerala, India; [Ma, Zilin] Harvard Univ, Harvard Sch Engn &amp; Appl Sci, Intelligent Interact Syst Grp, Allston, MA USA; [Hua, Yining] Harvard Univ, TH Chan Sch Publ Hlth, Dept Epidemiol, Boston, MA USA; [Lawinski, Michal; Atanasov, Atanas G.] Polish Acad SciencesMagdalenka, Inst Genet &amp; Anim Biotechnol, Magdalenka, Poland; [Lawinski, Michal] Med Univ Warsaw, Dept Gen Surg Gastroenterol &amp; Oncol, Warsaw, Poland; [Litvinova, Olena] Natl Univ Pharm, Dept Management Mkt &amp; Qual Assurance Pharm, Minist Hlth Ukraine, Kharkiv, Ukraine; [Kletecka-Pulker, Maria; Atanasov, Atanas G.] Danube Private Univ, Patient Safety &amp; Digital Hlth PaDiH Grp, Krems Stein, Austria; [Atanasov, Atanas G.] Saveetha Inst Med &amp; Tech Sci, Saveetha Med Coll &amp; Hosp, Dept Biochem, Chennai, Tamil Nadu, India</t>
  </si>
  <si>
    <t>Medical University of Vienna; University of Kerala; Rajagiri College of Social Sciences; Harvard University; Harvard University; Harvard T.H. Chan School of Public Health; Medical University of Warsaw; National University of Pharmacy; Ministry of Health of Ukraine; Saveetha Institute of Medical &amp; Technical Science; Saveetha Medical College &amp; Hospital</t>
  </si>
  <si>
    <t>Global English-language-dominated discourse on artificial intelligence in healthcare: a three-year longitudinal analysis of the #AIinHealthcare movement on X</t>
  </si>
  <si>
    <t>clinical applications; data ethics; digital health; generative AI; healthcare; patient safety; responsible AI; social media</t>
  </si>
  <si>
    <t>N. M., Krishnakumar/HGE-8752-2022; Litvinova, Olena/E-4728-2019</t>
  </si>
  <si>
    <t>1795488</t>
  </si>
  <si>
    <t>10.3389/fdgth.2026.1795488</t>
  </si>
  <si>
    <t>http://dx.doi.org/10.3389/fdgth.2026.1795488</t>
  </si>
  <si>
    <t>HH1CS</t>
  </si>
  <si>
    <t>42078175</t>
  </si>
  <si>
    <t>WOS:001753905300001</t>
  </si>
  <si>
    <t>Testi, M; Fiorentino, MC; Ballabio, M; Visani, G; Ciccozzi, M; Frontoni, E; Moccia, S; Vessio, G</t>
  </si>
  <si>
    <t>Fetal standard plane detection is essential in prenatal care, enabling accurate assessment of fetal development and early identification of potential anomalies. Despite significant advancements in machine learning (ML) in this domain, its integration into clinical workflows remains limited-primarily due to the lack of standardized, end-to-end operational frameworks. To address this gap, we introduce FetalMLOps, the first comprehensive MLOps framework specifically designed for fetal ultrasound imaging. Our approach adopts a ten-step MLOps methodology that covers the entire ML lifecycle, with each phase meticulously adapted to clinical needs. From defining the clinical objective to curating and annotating fetal US datasets, every step ensures alignment with real-world medical practice. ETL (extract, transform, load) processes are developed to standardize, anonymize, and harmonize inputs, enhancing data quality. Model development prioritizes architectures that balance accuracy and efficiency, using clinically relevant evaluation metrics to guide selection. The best-performing model is deployed via a RESTful API, following MLOps best practices for continuous integration, delivery, and performance monitoring. Crucially, the framework embeds principles of explainability and environmental sustainability, promoting ethical, transparent, and responsible AI. By operationalizing ML models within a clinically meaningful pipeline, FetalMLOps bridges the gap between algorithmic innovation and real-world application, setting a precedent for trustworthy and scalable AI adoption in prenatal care.Graphical abstractOverview of the FetalMLOps framework for standard fetal ultrasound plane classification. The pipeline spans the entire machine learning lifecycle, from clinical objective definition, data acquisition and curation, and model development to deployment, monitoring, explainability, and sustainability, bridging the gap between research and clinical practice.</t>
  </si>
  <si>
    <t>Testi, Matteo; Fiorentino, Maria Chiara; Ballabio, Matteo; Visani, Giorgio; Ciccozzi, Massimo; Frontoni, Emanuele; Moccia, Sara; Vessio, Gennaro</t>
  </si>
  <si>
    <t>Testi, M (corresponding author), Artificial Venture Builder, London, England.</t>
  </si>
  <si>
    <t>matteo.testi@aivb.ai</t>
  </si>
  <si>
    <t>[Testi, Matteo] Artificial Venture Builder, London, England; [Fiorentino, Maria Chiara] Univ Politecn Marche, Dept Informat Engn, Ancona, Italy; [Ballabio, Matteo] Univ Bergamo, Dept Management Informat &amp; Prod Engn, Bergamo, Italy; [Visani, Giorgio] Univ Bologna, Dept Comp Sci, Bologna, Italy; [Ciccozzi, Massimo] Univ Campus Biomed Roma, Unit Med Stat &amp; Mol Epidemiol, Rome, Italy; [Frontoni, Emanuele] Univ Macerata, Dept Polit Sci Commun &amp; Int Relat, Macerata, Italy; [Moccia, Sara] Univ G dAnnunzio, Dept Innovat Technol Med &amp; Dent, Chieti, Italy; [Vessio, Gennaro] Univ Bari Aldo Moro, Dept Comp Sci, Bari, Italy</t>
  </si>
  <si>
    <t>Marche Polytechnic University; University of Bergamo; University of Bologna; University Campus Bio-Medico - Rome Italy; University of Macerata; G d'Annunzio University of Chieti-Pescara; Universita degli Studi di Bari Aldo Moro</t>
  </si>
  <si>
    <t>FetalMLOps: operationalizing machine learning models for standard fetal ultrasound plane classification</t>
  </si>
  <si>
    <t>MEDICAL &amp; BIOLOGICAL ENGINEERING &amp; COMPUTING</t>
  </si>
  <si>
    <t>MLOps; Machine learning; Software engineering; Fetal ultrasound; Medical image analysis</t>
  </si>
  <si>
    <t>Ciccozzi, Massimo/AAC-3271-2022; Frontoni, Emanuele/D-9838-2013; Fiorentino, Maria Chiara/LSJ-3272-2024; Vessio, Gennaro/AAG-9890-2019; Moccia, Sara/J-3733-2019</t>
  </si>
  <si>
    <t>Vessio, Gennaro/0000-0002-0883-2691</t>
  </si>
  <si>
    <t>0140-0118</t>
  </si>
  <si>
    <t>1741-0444</t>
  </si>
  <si>
    <t>MED BIOL ENG COMPUT</t>
  </si>
  <si>
    <t>Med. Biol. Eng. Comput.</t>
  </si>
  <si>
    <t>90</t>
  </si>
  <si>
    <t>10.1007/s11517-025-03436-5</t>
  </si>
  <si>
    <t>http://dx.doi.org/10.1007/s11517-025-03436-5</t>
  </si>
  <si>
    <t>Computer Science, Interdisciplinary Applications; Engineering, Biomedical; Mathematical &amp; Computational Biology; Medical Informatics</t>
  </si>
  <si>
    <t>Computer Science; Engineering; Mathematical &amp; Computational Biology; Medical Informatics</t>
  </si>
  <si>
    <t>DB4HZ</t>
  </si>
  <si>
    <t>40920305</t>
  </si>
  <si>
    <t>WOS:001566202200001</t>
  </si>
  <si>
    <t>Sahin, ME; Ulutas, H; Erkoc, MF; Karakaya, B; Günay, RB; Suzgen, EE</t>
  </si>
  <si>
    <t>In this work, we propose ARTEMIS, a novel and highly interpretable deep learning pipeline for the automatic classification of Chest X-ray (CXR) and Computed Tomography (CT) images into different categories related to important clinical outcomes: COVID-19 infection, Community-Acquired Pneumonia (CAP) cases, and Normal cases. Unlike existing models based on the static feature enhancement step, ARTEMIS proposes a learnable preprocessing component that dynamically adapts the image contrast and sharpness in training mode, facilitating adaptive optimization. Our hybrid network combines EfficientNet-B0 backbone with built-in SE attention with the optional lightweight Transformer encoder block to jointly learn local radiological features and global relationships between pixels. Comprehensive experiments have been conducted on five different datasets, which comprise four publicly available ones and one novel CT dataset annotated by radiologists, including X-ray and CT modalities. Experimental results show strong robustness and generalization with macro F1-scores greater than 96% on public datasets and 99.39% accuracy on our new CT dataset. To interpret the decision-making process, Grad-CAM++ is employed to generate class-discriminative saliency maps; the highlighted regions are systematically validated against established radiological criteria by a board-certified radiologist, confirming that model decisions are grounded in clinically meaningful pulmonary findings rather than imaging artifacts.</t>
  </si>
  <si>
    <t>Sahin, Muhammet Emin; Ulutas, Hasan; Erkoc, Mustafa Fatih; Karakaya, Baris; Gunay, Recep Batuhan; Suzgen, Enes Eren</t>
  </si>
  <si>
    <t>Sahin, ME (corresponding author), Izmir Bakircay Univ, Dept Comp Engn, TR-35665 Izmir, Turkiye.; Sahin, ME (corresponding author), Queen Marys Digital Environm Res Inst, London E1 1HH, England.</t>
  </si>
  <si>
    <t>emin.sahin@bakircay.edu.tr</t>
  </si>
  <si>
    <t>Fimath;rat University Research Fund Project [MF.24.20]</t>
  </si>
  <si>
    <t>Fimath;rat University Research Fund Project</t>
  </si>
  <si>
    <t>This research was funded by F &amp; imath;rat University Research Fund Project, Grant Number MF.24.20.</t>
  </si>
  <si>
    <t>[Sahin, Muhammet Emin] Izmir Bakircay Univ, Dept Comp Engn, TR-35665 Izmir, Turkiye; [Sahin, Muhammet Emin] Queen Marys Digital Environm Res Inst, London E1 1HH, England; [Ulutas, Hasan; Suzgen, Enes Eren] Yozgat Bozok Univ, Dept Comp Engn, TR-66100 Yozgat, Turkiye; [Erkoc, Mustafa Fatih] Yozgat Bozok Univ, Fac Med, Dept Radiol, TR-66100 Yozgat, Turkiye; [Karakaya, Baris] Firat Univ, Fac Engn, Dept Elect Elect Engn, TR-23119 Elazig, Turkiye; [Gunay, Recep Batuhan] Yozgat Bozok Univ, Sorgun Vocat High Sch, Dept Comp Technol, TR-66700 Yozgat, Turkiye</t>
  </si>
  <si>
    <t>Izmir University of Bakircay; Bozok University; Bozok University; Firat University; Bozok University</t>
  </si>
  <si>
    <t>ARTEMIS: An Explainable AI Framework for Multi-Class COVID-19 Diagnosis with a Newly Curated Dataset</t>
  </si>
  <si>
    <t>COVID-19; deep learning; Explainable AI (Grad-CAM plus plus ); CT; X-ray</t>
  </si>
  <si>
    <t>ulutaş, hasan/JKT-2129-2023; Erkoç, Mustafa/ISB-1134-2023</t>
  </si>
  <si>
    <t>588</t>
  </si>
  <si>
    <t>10.3390/bioengineering13050588</t>
  </si>
  <si>
    <t>http://dx.doi.org/10.3390/bioengineering13050588</t>
  </si>
  <si>
    <t>IM1DF</t>
  </si>
  <si>
    <t>42194345</t>
  </si>
  <si>
    <t>WOS:001774930800001</t>
  </si>
  <si>
    <t>Alruwaili, RF; Alasmari, AA; Niyazi, HT; Youssef, IK; Aifan, H; Asklany, SA</t>
  </si>
  <si>
    <t>As artificial intelligence (AI) systems increasingly perform cognitive functions, assessing public trust in these capabilities is critical. This study investigates the impact of age, gender, and familiarity with AI on confidence in AI's ability to make simple decisions, complex judgments, and perform memory recall tasks. A survey of 400 participants was analyzed using statistical tests and a Random Forest classifier. Results indicate that AI familiarity is the strongest predictor of confidence, followed by age and gender. Participants expressed greater trust in AI for factual, memory-based tasks, and preferred human decision-making in high-stakes scenarios such as medical diagnosis and autonomous driving. The Random Forest model demonstrated strong predictive performance, confirming that familiarity and age are the most influential predictors of trust. These findings highlight the nuanced role of demographic and experiential factors in shaping trust in AI's cognitive capabilities and provide practical implications for designing user-aligned, trustworthy AI systems.</t>
  </si>
  <si>
    <t>Alruwaili, Reshaa F.; Alasmari, Abdullah A.; Niyazi, Hussien Tash; Youssef, I. K.; Aifan, Hanan; Asklany, Somia A.</t>
  </si>
  <si>
    <t>Asklany, SA (corresponding author), Northern Border Univ, Coll Sci, Dept Comp Sci, Ar Ar, Saudi Arabia.</t>
  </si>
  <si>
    <t>somia.asklany@nbu.edu.sa</t>
  </si>
  <si>
    <t>Northern Borders University [The authors extend their appreciation to the Deanship of Scientific Research at Northern Border University, Arar, Saudi Arabia, for funding this research work through the Project No. NBU-FFR- 2025-2932-11.]</t>
  </si>
  <si>
    <t>Northern Borders University (Northern Border University)</t>
  </si>
  <si>
    <t>The authors extend their appreciation to the Deanship of Scientific Research at Northern Border University, Arar, Saudi Arabia, for funding this research work through the Project No. NBU-FFR- 2025-2932-11.</t>
  </si>
  <si>
    <t>[Alruwaili, Reshaa F.; Alasmari, Abdullah A.; Niyazi, Hussien Tash] Imam Mohammad Ibn Saud Islamic Univ IMSIU, Coll Social Sci, Dept Psychol, Riyadh, Saudi Arabia; [Youssef, I. K.] Islamic Univ Madinah, Fac Sci, Dept Math, Madinah, Saudi Arabia; [Aifan, Hanan] Najran Univ, Coll Educ, Dept Curriculum &amp; Teaching, Najran, Saudi Arabia; [Asklany, Somia A.] Northern Border Univ, Coll Sci, Dept Comp Sci, Ar Ar, Saudi Arabia</t>
  </si>
  <si>
    <t>Imam Mohammad Ibn Saud Islamic University (IMSIU); Islamic University of Al Madinah; Najran University; Northern Border University</t>
  </si>
  <si>
    <t>Modeling public trust in AI cognitive capabilities using statistical and machine learning approaches</t>
  </si>
  <si>
    <t>Artificial intelligence (AI); Cognitive capabilities; Statistical analysis; Machine learning; Human-AI interaction</t>
  </si>
  <si>
    <t>Alruwaili, Reshaa/PTF-7318-2026; Asklany, Somia/KDM-7108-2024</t>
  </si>
  <si>
    <t>Alruwaili, Reshaa/0000-0003-2323-8647</t>
  </si>
  <si>
    <t>NOV 13 2025</t>
  </si>
  <si>
    <t>39856</t>
  </si>
  <si>
    <t>10.1038/s41598-025-23447-4</t>
  </si>
  <si>
    <t>http://dx.doi.org/10.1038/s41598-025-23447-4</t>
  </si>
  <si>
    <t>9VJ8D</t>
  </si>
  <si>
    <t>41233436</t>
  </si>
  <si>
    <t>WOS:001615936800037</t>
  </si>
  <si>
    <t>Vicente, L; Matute, H</t>
  </si>
  <si>
    <t>Empirical evidence has demonstrated the power of AI to influence human decisions and the risk of humans acquiring AI biases. Therefore, there is a clear need to develop strategies to mitigate such threat. In three experiments, set in a medical context, we tested whether warning individuals about AI biases and errors could mitigate the negative impact of AI biases on their decisions and reduce the transmission of AI biases to humans. In Experiment 1, participants received explicit information about the percentage of erroneous AI recommendations but with two different framings: in terms of AI accuracy or AI risk of error. Our results showed that emphasising the risk of AI errors, more than its accuracy, reduced people's tendency to follow incorrect AI suggestions and to acquire biases from AI. In Experiment 2, a more general warning message alerting of possible AI errors and biases was also effective in reducing bias acquisition. Experiment 3 showed that, although the warning message provided some protection against bias, participants who received AI support still made more errors than participants who completed the classification task without any assistance. Experiments 2 and 3 also investigated whether the type of error made by the AI, a false positive or a false negative, influenced participants' tendency to adhere to its suggestions, and the effect of the warning message. However, no significant effects were found. Overall, our results highlight the importance of informing users about the risk of AI error rather than focusing solely on accuracy.</t>
  </si>
  <si>
    <t>Vicente, Lucia; Matute, Helena</t>
  </si>
  <si>
    <t>Vicente, L (corresponding author), Univ La Rioja, Dept Educ Sci, C Luis Ulloa 2, Logrono 26004, La Rioja, Spain.</t>
  </si>
  <si>
    <t>lucia.vicente@unirioja.es</t>
  </si>
  <si>
    <t>Eusko Jaurlaritza [IT1696-22]; Agencia Estatal de Investigacin [PID2021-126320NB-I00]</t>
  </si>
  <si>
    <t>Eusko Jaurlaritza; Agencia Estatal de Investigacin</t>
  </si>
  <si>
    <t>Support for this research was provided by Grant PID2021-126320NB-I00 funded by Agencia Estatal de Investigacion, MCIN/AEI/https://doi.org/10.13039/501100011033 and by ERDF A way of making Europe, as well as Grant IT1696-22 funded by Basque Government, both awarded to HM. The funders had no role in the study design, data collection, and analysis, decision to publish, or preparation of the manuscript.</t>
  </si>
  <si>
    <t>[Vicente, Lucia] Univ La Rioja, Dept Educ Sci, C Luis Ulloa 2, Logrono 26004, La Rioja, Spain; [Matute, Helena] Univ Deusto, Dept Psychol, Bilbao, Spain</t>
  </si>
  <si>
    <t>Universidad de La Rioja; University of Deusto</t>
  </si>
  <si>
    <t>Warning people about the risk of AI error mitigates human acquisition of AI bias</t>
  </si>
  <si>
    <t>COGNITIVE RESEARCH-PRINCIPLES AND IMPLICATIONS</t>
  </si>
  <si>
    <t>Artificial intelligence (AI); Bias; Human-AI interaction; Decision-making</t>
  </si>
  <si>
    <t>AUTOMATION BIAS; INFORMATION; JUDGMENT; DECISIONS; RELIANCE</t>
  </si>
  <si>
    <t>Vicente, Lucia/NES-8648-2025; Matute, Helena/A-8256-2011</t>
  </si>
  <si>
    <t>2365-7464</t>
  </si>
  <si>
    <t>COGN RES</t>
  </si>
  <si>
    <t>Cogn. Res.</t>
  </si>
  <si>
    <t>APR 30 2026</t>
  </si>
  <si>
    <t>10.1186/s41235-026-00726-w</t>
  </si>
  <si>
    <t>http://dx.doi.org/10.1186/s41235-026-00726-w</t>
  </si>
  <si>
    <t>HH0IG</t>
  </si>
  <si>
    <t>42060022</t>
  </si>
  <si>
    <t>WOS:001753852100001</t>
  </si>
  <si>
    <t>Uddin, KMM; Chowdhury, A; Druvo, MMR; Jaima, MT; Bhuiyan, MTA; Islam, MM</t>
  </si>
  <si>
    <t>Polycystic Ovary Syndrome (PCOS), which affects 5-10 % of women worldwide who are of reproductive age, is often misdiagnosed (similar to 70 %) despite the rising risks of metabolic disorders and infertility. Current machine learning diagnostics frequently struggle with unbalanced data and are not interpretable. This research improves PCOS diagnosis by introducing a new, interpretable hybrid architecture. We used mutual information and extra trees to improve feature selection and extensive preprocessing, including SMOTE for class imbalance, on a dataset of 541 patient records. A Soft Voting Ensemble that included Multilayer Perceptron (MLP) with CatBoost, optimized using GridSearchCV, and verified with 5-fold cross-validation, outperformed each individual model with previous research with a state-of-the-art accuracy of 96.88 %. Additionally, deep learning models performed well, most notably DANet (94.50 % accuracy). Importantly, SHAP and LIME improved model interpretability, offering clear insights into diagnostic judgments. The architecture was put into practice in an intuitive Flask web application for explainable, real-time forecasts. This study offers a therapeutically applicable method that strikes a balance between interpretability and high accuracy, enabling early PCOS identification and better patient outcomes. Multimodal integration and dataset extension are potential avenues for future study.</t>
  </si>
  <si>
    <t>Uddin, Khandaker Mohammad Mohi; Chowdhury, Abir; Druvo, Md. Mahbubur Rahman; Jaima, Mehreen Tabassum; Bhuiyan, Md. Tofael Ahmed; Islam, Md. Manowarul</t>
  </si>
  <si>
    <t>Uddin, KMM (corresponding author), Southeast Univ, Dept Comp Sci &amp; Engn, Dhaka 1208, Bangladesh.</t>
  </si>
  <si>
    <t>mohiuddin.kh@seu.edu.bd; manowar@cse.jnu.ac.bd</t>
  </si>
  <si>
    <t>[Uddin, Khandaker Mohammad Mohi; Bhuiyan, Md. Tofael Ahmed] Southeast Univ, Dept Comp Sci &amp; Engn, Dhaka 1208, Bangladesh; [Chowdhury, Abir; Druvo, Md. Mahbubur Rahman; Jaima, Mehreen Tabassum] Dhaka Int Univ, Dept Comp Sci &amp; Engn, Dhaka 1205, Bangladesh; [Islam, Md. Manowarul] Jagannath Univ, Dept Comp Sci &amp; Engn, Dhaka, Bangladesh</t>
  </si>
  <si>
    <t>Dhaka International University (DIU)</t>
  </si>
  <si>
    <t>Improving diagnostic accuracy for PCOS: A hybrid machine learning architecture with feature selection, data balancing, and explainable AI techniques</t>
  </si>
  <si>
    <t>RESULTS IN CONTROL AND OPTIMIZATION</t>
  </si>
  <si>
    <t>Polycystic ovary syndrome; Machine learning; Deep learning; Feature selection; Smote; Ensemble learning; Model explainability; SHAP; LIME; Clinical decision support</t>
  </si>
  <si>
    <t>POLYCYSTIC-OVARY-SYNDROME; PREDICTION SYSTEM</t>
  </si>
  <si>
    <t>Mohi Uddin, Khandaker Mohammad/LTE-0239-2024</t>
  </si>
  <si>
    <t>2666-7207</t>
  </si>
  <si>
    <t>RESULTS CONTROL OPTI</t>
  </si>
  <si>
    <t>Results Control Optim.</t>
  </si>
  <si>
    <t>100647</t>
  </si>
  <si>
    <t>10.1016/j.rico.2025.100647</t>
  </si>
  <si>
    <t>http://dx.doi.org/10.1016/j.rico.2025.100647</t>
  </si>
  <si>
    <t>CB5QK</t>
  </si>
  <si>
    <t>WOS:001661868900001</t>
  </si>
  <si>
    <t>Raju, ASN; Sujatha, G; Gatla, RK; Ankalaki, S</t>
  </si>
  <si>
    <t>Leafy vegetables such as spinach are among the most important components in a nutritious diet but are highly perishable and susceptible to premature spoilage. Traditional practices in determining freshness have been qualitative and time-consuming and have consistently led to defective consumption decisions with unintended consequences on human health. To this issue, we introduce SpinachXAI-Rec, a multistage framework that is enabled by AI and is capable of automating the classification of spinach freshness and providing consumer recommendations. This framework is based on understandable deep learning. To guarantee class balance and feature diversity, a dataset consisting of 4005 original images of three spinach varieties (Malabar, Red, and Water) was expanded to 12,000 images (2000 per class across six categories: fresh and non-fresh). We trained three CNN architectures, DenseNet121, ResNet50, and EfficientNetB0, on the Stage 1 augmented dataset. In performance, we saw DenseNet121 significantly outperform with 96% classification accuracy compared to ResNet50 (53%) and EfficientNetB0 (17%). Stage 2 improved representation of features by incorporating DenseNet121 embeddings and ViT-B/16 and Swin Transformer attention mechanisms. DenseNet121 + ViT-B/16 obtained an F1-score of 0.95, which was further optimised to 0.97 in Stage 3 using a multiclass SVM classifier. GradCAM++ and LIME were employed to incorporate interpretability during Stage 4. LIME provided transparent explanations of the significance of class-specific features, while GradCAM++ effectively highlighted disease-affected or spoilt regions. The most effective model (DenseNet121 + ViT + SVM) also obtained a Dice coefficient of 0.89 and an IoU of 0.82, which confirms the precision of localisation and segmentation. Finally, Stage 5 introduces a clinical recommender system that is based on rules and relates prediction confidence to real-world categories: Eatable, Eatable with Caution, or Not Eatable. This AI-driven recommendation assists food purveyors and consumers in making health-conscious, well-informed decisions. SpinachXAI-Rec is a significant advancement in the development of safer food systems, as it provides interpretable AI for the purpose of freshness validation and actionable consumption recommendations, thereby empowering both consumers and industry stakeholders.</t>
  </si>
  <si>
    <t>Raju, Akella S. Narasimha; Sujatha, G.; Gatla, Ranjit Kumar; Ankalaki, Shilpa</t>
  </si>
  <si>
    <t>Raju, ASN (corresponding author), SRM Inst Sci &amp; Technol, Coll Engn &amp; Technol, Sch Comp, Dept Comp Technol, Chennai 603203, Tamil Nadu, India.; Ankalaki, S (corresponding author), Manipal Inst Technol Bengaluru, Manipal Acad Higher Educ, Manipal, India.</t>
  </si>
  <si>
    <t>shilpa.ankalaki@manipal.edu; akellar@srmist.edu.in</t>
  </si>
  <si>
    <t>[Raju, Akella S. Narasimha] SRM Inst Sci &amp; Technol, Coll Engn &amp; Technol, Sch Comp, Dept Comp Technol, Chennai 603203, Tamil Nadu, India; [Sujatha, G.] SRM Inst Sci &amp; Technol, Coll Engn &amp; Technol, Sch Comp, Dept Networking &amp; Commun, Chennai 603203, Tamil Nadu, India; [Gatla, Ranjit Kumar] Inst Aeronaut Engn, Dept Comp Sci &amp; Engn Data Sci, Hyderabad 500043, Telangana, India; [Ankalaki, Shilpa] Manipal Inst Technol Bengaluru, Manipal Acad Higher Educ, Manipal, India</t>
  </si>
  <si>
    <t>SRM Institute of Science &amp; Technology Chennai; SRM Institute of Science &amp; Technology Chennai; Manipal Academy of Higher Education (MAHE)</t>
  </si>
  <si>
    <t>SpinachXAI-Rec: a multi-stage explainable AI framework for spinach freshness classification and consumer recommendation</t>
  </si>
  <si>
    <t>Spinach freshness classification; DenseNet121; Vision transformer (ViT); Explainable AI (XAI); GradCAM plus plus; LIME; Deep feature embeddings; Rule-based recommender system</t>
  </si>
  <si>
    <t>Ankalaki, Shilpa/ABE-1585-2020; Gatla, Ranjith kumar/G-4398-2016; S Narasimha Raju, Akella/GYU-4605-2022</t>
  </si>
  <si>
    <t>Ankalaki, Shilpa/0000-0002-4652-7292; Gatla, Ranjith kumar/0000-0003-2154-3285</t>
  </si>
  <si>
    <t>OCT 14 2025</t>
  </si>
  <si>
    <t>35853</t>
  </si>
  <si>
    <t>10.1038/s41598-025-19804-y</t>
  </si>
  <si>
    <t>http://dx.doi.org/10.1038/s41598-025-19804-y</t>
  </si>
  <si>
    <t>8QJ9C</t>
  </si>
  <si>
    <t>41087543</t>
  </si>
  <si>
    <t>WOS:001594840700018</t>
  </si>
  <si>
    <t>Elwes, M; Jaberansary, M; Tang, FSKB; Aswendt, M; Beyan, O; Kutafina, E</t>
  </si>
  <si>
    <t>Background Reproducibility of computational algorithms is a challenging but crucial requirement for medical research and an important component of trustworthy training and application of AI algorithms. Federated Learning (FL) is commonly used to enable privacy-preserving AI in medical research. One prerequisite of reproducibility is traceability. A majority of publications on traceable FL platforms leverage blockchain technology to achieve traceable FL. In healthcare settings, resource-efficient alternatives to blockchains are possible; however, their traceability features require separate design considerations. Methods To meet the growing demand for reproducible AI, as outlined in guidelines published by governing bodies such as the European Commission, we propose a novel concept TrainTracks. TrainTracks extends the established Personal Health Train (PHT) Platform for Analytics and Distributed Machine Learning for Enterprises (PADME) to support reproducible and traceable federated learning in medical research. PADME already partially supports tracing the FL and changes to the analysis algorithms used in the FL projects. We extend PADME by adding privacy-preserving change tracing of the data, metadata, and computational experiment execution through integrating it with the tools specialized in distributed data management (DataLad and MetaLad). Finally, we evaluate the proposed concept against the detailed list of requirements to analyze the advantages of the TrainTracks and the need for further design improvements. Results Evaluation of the TrainTracks concepts' compliance with a checklist for reproducible AI showed that TrainTracks improves the original PADME platform in 15 points out of 47 points applicable to FL. The greatest improvement was in data reproducibility, improving 10 of 12 points from no support to full support for automatic information extraction. No improvements were made to method reproducibility, aside from introducing a dedicated reproducibility repository. Experiment reproducibility saw upgrades in 5 of 30 applicable points, mainly through workflow and code traceability. Conclusions Our concept of combining FL technology with a data versioning tool provides a structured, automated workflow that traces the FL algorithm itself, delivered algorithms, and the used data. TrainTracks demonstrated high compliance with recommendations for reproducible AI experiments, methods, and data. Our work emphasizes the importance of complete FL process traceability, as all considered aspects individually contribute to the reproducibility of the medical research. Tracking dataset versions in FL is crucial for dynamic application areas, such as medical research, where new data, e.g. electronic health records, are continuously recorded and added.</t>
  </si>
  <si>
    <t>Elwes, Mayra; Jaberansary, Mehrshad; Tang, Fu-Sung Kim-Benjamin; Aswendt, Markus; Beyan, Oya; Kutafina, Ekaterina</t>
  </si>
  <si>
    <t>Elwes, M (corresponding author), Univ Hosp Cologne, Inst Biomed Informat, Fac Med, Kerpener Str 62, D-50937 Cologne, North Rhine Wes, Germany.</t>
  </si>
  <si>
    <t>fu-sung.tang@uk-koeln.de; aswendt@med.uni-frankfurt.de; ekaterina.kutafina@uni-koeln.de; mayra.elwes@uk-koeln.de; oya.beyan@uni-koeln.de; mehrshad.jaberansary@uk-koeln.de</t>
  </si>
  <si>
    <t>[Elwes, Mayra; Jaberansary, Mehrshad; Tang, Fu-Sung Kim-Benjamin; Beyan, Oya; Kutafina, Ekaterina] Univ Hosp Cologne, Inst Biomed Informat, Fac Med, Kerpener Str 62, D-50937 Cologne, North Rhine Wes, Germany; [Aswendt, Markus] Goethe Univ Frankfurt, Dept Neurol, Expt Neurol Sect, Theodor Stern Kai 7, D-60596 Frankfurt, Germany; [Aswendt, Markus] Univ Hosp, Theodor Stern Kai 7, D-60596 Frankfurt, Germany; [Aswendt, Markus] Univ Hosp Cologne, Fac Med, Dept Neurol, Kerpener Str 62, D-50937 Cologne, North Rhine Wes, Germany; [Beyan, Oya] Fraunhofer Inst Appl Informat Technol FIT, D-53754 St Augustin, Germany</t>
  </si>
  <si>
    <t>University of Cologne; Goethe University Frankfurt; Goethe University Frankfurt; Goethe University Frankfurt Hospital; University of Cologne; Fraunhofer Gesellschaft; Fraunhofer Germany; Fraunhofer Applied Information Technology</t>
  </si>
  <si>
    <t>TrainTracks - federated learning for reproducible research on sensitive medical data</t>
  </si>
  <si>
    <t>Reproducibility crisis; Traceability; Trustworthy AI; Federated learning; Personal Health Train</t>
  </si>
  <si>
    <t>DISTRIBUTED ANALYTICS</t>
  </si>
  <si>
    <t>Aswendt, Markus/L-2743-2019; /AAF-8966-2019</t>
  </si>
  <si>
    <t>Elwes, Mayra Roxana/0009-0005-9454-7174</t>
  </si>
  <si>
    <t>MAY 21 2026</t>
  </si>
  <si>
    <t>185</t>
  </si>
  <si>
    <t>10.1186/s12911-026-03553-7</t>
  </si>
  <si>
    <t>http://dx.doi.org/10.1186/s12911-026-03553-7</t>
  </si>
  <si>
    <t>IJ6YJ</t>
  </si>
  <si>
    <t>42169119</t>
  </si>
  <si>
    <t>WOS:001773289800001</t>
  </si>
  <si>
    <t>Farooq, F; Rathore, FA</t>
  </si>
  <si>
    <t>The public release of ChatGPT in November 2022 and the rapid adoption of artificial intelligence (AI) tools have significantly influenced medical education and research worldwide, including in Pakistan. Despite widespread use among faculty and students, Pakistan currently lacks national guidelines on the ethical use of AI in medical education and research. Regulatory bodies such as the Higher Education Commission, Pakistan Medical and Dental Council, and College of Physicians and Surgeons of Pakistan have yet to provide policy direction. This absence of oversight raises concerns about academic integrity, responsible AI use, and equitable access. This viewpoint identified key gaps in governance and proposed practical, context-sensitive recommendations, including the national AI ethics guidelines, faculty training, curriculum integration, and the establishment of an AI research integrity consortium. Coordinated action by institutions, policymakers, and journal editors is essential to ensure ethical, effective, and locally relevant AI integration in medical academia. Without such measures, Pakistan risks academic misconduct and further marginalisation in global research.</t>
  </si>
  <si>
    <t>Farooq, Fareeha; Rathore, Farooq Azam</t>
  </si>
  <si>
    <t>Farooq, F (corresponding author), Quetta Inst Med Sci, Dept Biochem, Quetta, Pakistan.</t>
  </si>
  <si>
    <t>drfareehafarooq@gmail.com</t>
  </si>
  <si>
    <t>[Farooq, Fareeha] Quetta Inst Med Sci, Dept Biochem, Quetta, Pakistan; [Rathore, Farooq Azam] Quetta Inst Med Sci, Dept Rehabil Med, Quetta, Pakistan</t>
  </si>
  <si>
    <t>The Urgent Need for AI-Guidelines and Framework for Medical Education and Research in Pakistan</t>
  </si>
  <si>
    <t>JCPSP-JOURNAL OF THE COLLEGE OF PHYSICIANS AND SURGEONS PAKISTAN</t>
  </si>
  <si>
    <t>Artificial intelligence; Ethics; Governance; Guidelines</t>
  </si>
  <si>
    <t>Rathore, Farooq/B-8232-2008</t>
  </si>
  <si>
    <t>COLL PHYSICIANS &amp; SURGEONS PAKISTAN</t>
  </si>
  <si>
    <t>KARACHI</t>
  </si>
  <si>
    <t>SEVENTH CENTRAL ST, DEFENCE HOUSING AUTHORITY, KARACHI, 75500, PAKISTAN</t>
  </si>
  <si>
    <t>1022-386X</t>
  </si>
  <si>
    <t>1681-7168</t>
  </si>
  <si>
    <t>JCPSP-J COLL PHYSICI</t>
  </si>
  <si>
    <t>JCPSP-J. Coll. Physicians Surg.</t>
  </si>
  <si>
    <t>945</t>
  </si>
  <si>
    <t>948</t>
  </si>
  <si>
    <t>10.29271/jcpsp.2026.07.945</t>
  </si>
  <si>
    <t>http://dx.doi.org/10.29271/jcpsp.2026.07.945</t>
  </si>
  <si>
    <t>KY9XK</t>
  </si>
  <si>
    <t>42403136</t>
  </si>
  <si>
    <t>WOS:001818945100020</t>
  </si>
  <si>
    <t>Liebovitz, D; Perkins, RM; Riaz, I; Stetson, PD</t>
  </si>
  <si>
    <t>A panel of experts in artificial intelligence (AI) and clinical informatics discussed the current applications and future potential of AI in oncology. The panelists shared insights into ongoing AI projects at their respective institutions, ranging from drug design and patient education to clinical decision support and administrative tasks. Key areas of focus included the use of AI for radiology and pathology, ambient listening during patient visits, and patient engagement through intelligent interfaces. The speakers also addressed the challenges of regulatory oversight, data quality, and the need for ethical and responsible AI design. The panel concluded that although AI has the potential to transform various aspects of oncology care, careful consideration must be given to patient preferences, clinical workflows, and validation of AI models in oncology-specific settings.</t>
  </si>
  <si>
    <t>Liebovitz, David; Perkins, Randa M.; Riaz, Irbaz; Stetson, Peter D.</t>
  </si>
  <si>
    <t>Science Citation Index Expanded (SCI-EXPANDED); Conference Proceedings Citation Index - Science (CPCI-S)</t>
  </si>
  <si>
    <t>Stetson, PD (corresponding author), Mem Sloan Kettering Canc Ctr, 633 Third Ave,Suite 220N, New York, NY 10017 USA.</t>
  </si>
  <si>
    <t>stetsonp@mskcc.org</t>
  </si>
  <si>
    <t>[Stetson, Peter D.] Mem Sloan Kettering Canc Ctr, 633 Third Ave,Suite 220N, New York, NY 10017 USA</t>
  </si>
  <si>
    <t>Memorial Sloan Kettering Cancer Center</t>
  </si>
  <si>
    <t>Artificial Intelligence in Oncology</t>
  </si>
  <si>
    <t>JOURNAL OF THE NATIONAL COMPREHENSIVE CANCER NETWORK</t>
  </si>
  <si>
    <t>Article; Proceedings Paper</t>
  </si>
  <si>
    <t>Annual Meeting of the National Comprehensive Cancer Network (NCCN)</t>
  </si>
  <si>
    <t>APR 05-07, 2024</t>
  </si>
  <si>
    <t>Orlando, FL</t>
  </si>
  <si>
    <t>Bin Riaz, Irbaz/ABB-3799-2020; Liebovitz, David/AAI-9398-2020</t>
  </si>
  <si>
    <t>Liebovitz, David/0000-0002-2518-5940</t>
  </si>
  <si>
    <t>HARBORSIDE PRESS</t>
  </si>
  <si>
    <t>HUNTINGTON</t>
  </si>
  <si>
    <t>94 NORTH WOODHULL RD, HUNTINGTON, NY 11743 USA</t>
  </si>
  <si>
    <t>1540-1405</t>
  </si>
  <si>
    <t>1540-1413</t>
  </si>
  <si>
    <t>J NATL COMPR CANC NE</t>
  </si>
  <si>
    <t>J. Natl. Compr. Cancer Netw.</t>
  </si>
  <si>
    <t>S</t>
  </si>
  <si>
    <t>e245009</t>
  </si>
  <si>
    <t>10.6004/jnccn.2024.5009</t>
  </si>
  <si>
    <t>http://dx.doi.org/10.6004/jnccn.2024.5009</t>
  </si>
  <si>
    <t>ZQ9C6</t>
  </si>
  <si>
    <t>WOS:001276868500009</t>
  </si>
  <si>
    <t>Kruse, LC; Bergener, K; Conboy, K; Lundström, JE; Maedche, A; Sarker, S; Seeber, I; Stein, A; Tomte, CE</t>
  </si>
  <si>
    <t>The main protagonist in Kazuo Ishiguro's latest novel is Klara, an artificial friend whose existential goal is to be a child's companion. Some aspects of this fictional narrative have begun to gradually enter our daily lives. Products reminiscent of Klara are available abundantly on the market: smart toys, adaptive learning applications, and companion robots. Children can relate to these products and perform activities together with them. Preliminary research has shown fundamental differences between existing technologies and these emerging children's digital companions. However, we still do not know much about their benefits and risks. This paper explores different and even contradicting perspectives on the phenomenon. We present the discussion from four perspectives -1) temporality, 2) use, 3) trust and ethics, and 4) sociotechnical design -and conclude the paper with an agenda for interdisciplinary IS research. The agenda points to the need for a psychological, medical, engineering, and temporal research community to understand this emerging sociotechnical phenomenon and design its future for the better.</t>
  </si>
  <si>
    <t>Kruse, Leona Chandra; Bergener, Katrin; Conboy, Kieran; Lundstrom, Jenny Eriksson; Maedche, Alexander; Sarker, Suprateek; Seeber, Isabella; Stein, Armin; Tomte, Cathrine E.</t>
  </si>
  <si>
    <t>Kruse, LC (corresponding author), Univ Liechtenstein, Vaduz, Liechtenstein.</t>
  </si>
  <si>
    <t>leona.chandrakruse@uni.li</t>
  </si>
  <si>
    <t>[Kruse, Leona Chandra] Univ Liechtenstein, Vaduz, Liechtenstein; [Bergener, Katrin; Stein, Armin] WWU Munster, Munster, Germany; [Conboy, Kieran] Natl Univ Ireland, Galway, Ireland; [Lundstrom, Jenny Eriksson] Uppsala Univ, Uppsala, Sweden; [Maedche, Alexander] Karlsruhe Inst Technol, Karlsruhe, Germany; [Sarker, Suprateek] Univ Virginia, Charlottesville, VA USA; [Seeber, Isabella] Grenoble Ecole Management, Grenoble, France; [Tomte, Cathrine E.] Univ Agder, Kristiansand, Norway</t>
  </si>
  <si>
    <t>University of Liechtenstein; University of Munster; Ollscoil na Gaillimhe-University of Galway; Uppsala University; Helmholtz Association; Karlsruhe Institute of Technology; University of Virginia; Grenoble Ecole Management; University of Agder</t>
  </si>
  <si>
    <t>Understanding the Digital Companions of Our Future Generation</t>
  </si>
  <si>
    <t>COMMUNICATIONS OF THE ASSOCIATION FOR INFORMATION SYSTEMS</t>
  </si>
  <si>
    <t>Children's Digital Companions; Embodied Conversational Agents; Responsible Artificial Intelligence; Children Interaction With Digital Technologies</t>
  </si>
  <si>
    <t>SCREEN TIME; CONVERSATIONAL AGENT; CHILDREN; DESIGN; HEALTH; CUES</t>
  </si>
  <si>
    <t>Tømte, cathrine/HPG-8588-2023; Stein, Armin/A-5557-2009; Chandra Kruse, Leona/T-5204-2019</t>
  </si>
  <si>
    <t>Stein, Armin/0000-0003-2854-3018; Chandra Kruse, Leona/0000-0002-9001-3870; Seeber, Isabella/0000-0001-8246-8974; Conboy, Kieran/0000-0001-8260-4075</t>
  </si>
  <si>
    <t>ASSOC INFORMATION SYSTEMS</t>
  </si>
  <si>
    <t>ATLANTA</t>
  </si>
  <si>
    <t>GEORGIA STATE UNIV, 35 BROAD STREET, STE 916-917, ATLANTA, GA 30303 USA</t>
  </si>
  <si>
    <t>1529-3181</t>
  </si>
  <si>
    <t>COMMUN ASSOC INF SYS</t>
  </si>
  <si>
    <t>Commun. Assoc. Inf. Syst.</t>
  </si>
  <si>
    <t>465</t>
  </si>
  <si>
    <t>479</t>
  </si>
  <si>
    <t>10.17705/1CAIS.05218</t>
  </si>
  <si>
    <t>http://dx.doi.org/10.17705/1CAIS.05218</t>
  </si>
  <si>
    <t>L3ZO6</t>
  </si>
  <si>
    <t>WOS:001022677400001</t>
  </si>
  <si>
    <t>Kyomen, HH</t>
  </si>
  <si>
    <t>Artificial intelligence (AI) already influences how older adults are identified for services, supported between provider visits, and referred for care, yet most AI governance currently focuses on algorithms and infrastructure rather than the actual experiences of older adults and their caregivers. Humane Intelligence is a patient-centered, ethically attuned, relational framework for designing, evaluating, and monitoring AI in older adult care. It rests on four pillars: Relational Intelligence, Transparency with Care, Reciprocity and Consent, and Ethical Governance in Strategic Regions, and applies them from point-of-care encounters to system-level decisions. For each pillar, guidelines follow the same sequence: signal a problem, take action, and verify benefit or harm. The framework prioritizes outcomes that matter in geriatric psychiatry, including function, distress, caregiver burden, avoidable utilization, equity, and documented harms or overrides. To protect patients, it draws a firm boundary against fully automated clinical actions and recommends clinical-grade standards for patient-facing programs, including scope-of-action labels, human-in-the-loop safeguards for high-risk situations, postmarket monitoring, and periodic certification. This blueprint aligns with 2025 JAMA Summit on AI priorities, World Health Organization guidance for large multimodal models, United States Food and Drug Administration recommendations for Predetermined Change Control Plans, and Office of the National Coordinator for Health Information Technology decision-support intervention frameworks. The goal is practical: to translate ethics into testable patient-centered routines that clinicians can trust, healthcare systems can implement, and leaders can procure, so that AI augments rather than displaces care.</t>
  </si>
  <si>
    <t>Kyomen, Helen H.</t>
  </si>
  <si>
    <t>Kyomen, HH (corresponding author), Boston Univ, Chobanian &amp; Avedisian Sch Med, Dept Psychiat, 11 Nevins St,Suite 403, Boston, MA 02135 USA.; Kyomen, HH (corresponding author), Boston Med Ctr, Brighton Outpatient Psychiat Clin, 11 Nevins St,Suite 403, Boston, MA 02135 USA.</t>
  </si>
  <si>
    <t>hhkyomen@bu.edu</t>
  </si>
  <si>
    <t>[Kyomen, Helen H.] Boston Univ, Chobanian &amp; Avedisian Sch Med, Boston, MA USA; [Kyomen, Helen H.] Tufts Univ, Sch Med, Boston, MA USA; [Kyomen, Helen H.] Harvard Med Sch, Boston, MA USA</t>
  </si>
  <si>
    <t>Boston University; Tufts University; Harvard University; Harvard Medical School</t>
  </si>
  <si>
    <t>Grp Adv Psychiat GAP Comm Aging</t>
  </si>
  <si>
    <t>Humane Intelligence in Geropsychiatric Care: Relational Artificial Intelligence, Clinical Wisdom, and the Moral Grid Operational Index</t>
  </si>
  <si>
    <t>AMERICAN JOURNAL OF GERIATRIC PSYCHIATRY</t>
  </si>
  <si>
    <t>consent; Aging care; geriatric psychiatry; Humane Intelligence; Moral Grid Operational Index; relational governance; transparency</t>
  </si>
  <si>
    <t>HEALTH-CARE; COMPASSION; EMPATHY</t>
  </si>
  <si>
    <t>Kyomen, Helen/KHZ-4167-2024</t>
  </si>
  <si>
    <t>1064-7481</t>
  </si>
  <si>
    <t>1545-7214</t>
  </si>
  <si>
    <t>AM J GERIAT PSYCHIAT</t>
  </si>
  <si>
    <t>Am. J. Geriatr. Psychiatr.</t>
  </si>
  <si>
    <t>674</t>
  </si>
  <si>
    <t>692</t>
  </si>
  <si>
    <t>10.1016/j.jagp.2025.12.012</t>
  </si>
  <si>
    <t>http://dx.doi.org/10.1016/j.jagp.2025.12.012</t>
  </si>
  <si>
    <t>Geriatrics &amp; Gerontology; Gerontology; Psychiatry</t>
  </si>
  <si>
    <t>Geriatrics &amp; Gerontology; Psychiatry</t>
  </si>
  <si>
    <t>EP5VA</t>
  </si>
  <si>
    <t>41708395</t>
  </si>
  <si>
    <t>WOS:001706693200001</t>
  </si>
  <si>
    <t>Dobson, R; Stowell, M; Whittaker, R</t>
  </si>
  <si>
    <t>Patient trust is key to the delivery of healthcare and realisation of artificial intelligence's (AI) benefits in health. Trust in health institutions and the health professionals working within them directly impacts patient engagementwith health services and their health outcomes. Patients want to be able to trust the health system and health services to respect, protect and use their data responsibly to minimise any potential harms. Further, when integrating AI within health services, patients want to be able to trust that this is done with good governance, including the correct approvals and processes, to ensure equitable and safe care. Due to the complexity and fast-changing landscape of AI and the varied levels of AI literacy, trust is arguably even more important. Patients need to be able to trust services to use their health information responsibly and integrate AI in care appropriately regardless of whether they fully understand the technology. Through transparency and good AI governance, trust can be built and maintained, but if broken or lost, it will be difficult to repair and will have wider implications. This paper provides recommendations for actions to be taken to build and maintain trust in health institutions within the context of the evolving AI landscape.</t>
  </si>
  <si>
    <t>Dobson, Rosie; Stowell, Melanie; Whittaker, Robyn</t>
  </si>
  <si>
    <t>Dobson, R (corresponding author), Univ Auckland, Sch Populat Hlth, Private Bag 92019, Auckland 1142, New Zealand.</t>
  </si>
  <si>
    <t>r.dobson@auckland.ac.nz</t>
  </si>
  <si>
    <t>New Zealand Ministry of Health; Precision Driven Health; Health Research Council</t>
  </si>
  <si>
    <t>New Zealand Ministry of Health; Precision Driven Health; Health Research Council (Health Research Council of New Zealand)</t>
  </si>
  <si>
    <t>Funding from the New Zealand Ministry of Health supported this viewpoint paper. The interview studies described in this viewpoint were funded through grants from Precision Driven Health and the Health Research Council. RD received payment of travel to DigiFest 2025 in Melbourne via Medtech iQ Aotearoa T &amp; amacr;maki Makaurau.</t>
  </si>
  <si>
    <t>[Dobson, Rosie; Stowell, Melanie; Whittaker, Robyn] Univ Auckland, Sch Populat Hlth, Private Bag 92019, Auckland 1142, New Zealand; [Dobson, Rosie] Hlth New Zealand Te Whatu Ora, Hlth Serv Res &amp; Evaluat, Auckland, New Zealand</t>
  </si>
  <si>
    <t>University of Auckland</t>
  </si>
  <si>
    <t>Maintaining patient trust as artificial intelligence's role in healthcare grows</t>
  </si>
  <si>
    <t>NEW ZEALAND MEDICAL JOURNAL</t>
  </si>
  <si>
    <t>SOCIODEMOGRAPHIC FACTORS; EXPERIENCES; PHYSICIANS</t>
  </si>
  <si>
    <t>Dobson, Rosie/AAV-8276-2020</t>
  </si>
  <si>
    <t>NEW ZEALAND MEDICAL ASSOC</t>
  </si>
  <si>
    <t>CHRISTCHURCH</t>
  </si>
  <si>
    <t>C/O BRENNAN EDWARDES, DEPT SURGERY, CHRISTCHURCH HOSPITAL, PO BOX 4345, CHRISTCHURCH, 00000, NEW ZEALAND</t>
  </si>
  <si>
    <t>0028-8446</t>
  </si>
  <si>
    <t>1175-8716</t>
  </si>
  <si>
    <t>NEW ZEAL MED J</t>
  </si>
  <si>
    <t>N. Z. Med. J.</t>
  </si>
  <si>
    <t>1629</t>
  </si>
  <si>
    <t>DY4UI</t>
  </si>
  <si>
    <t>41678762</t>
  </si>
  <si>
    <t>WOS:001695074700008</t>
  </si>
  <si>
    <t>Yagin, FH; Gormez, Y; Al-Hashem, F; Ahmad, I; Ahmad, F; Ardigò, LP</t>
  </si>
  <si>
    <t>Background Breast cancer (BC) is a significant cause of morbidity and mortality in women. Although the important role of metabolism in the molecular pathogenesis of BC is known, there is still a need for robust metabolomic biomarkers and predictive models that will enable the detection and prognosis of BC. This study aims to identify targeted metabolomic biomarker candidates based on explainable artificial intelligence (XAI) for the specific detection of BC.Methods Data obtained after targeted metabolomics analyses using plasma samples from BC patients (n = 102) and healthy controls (n = 99) were used. Machine learning (ML) models based on raw data were developed, then feature selection methods were applied, and the results were compared. SHapley Additive exPlanations (SHAP), an XAI method, was used to clinically explain the decisions of the optimal model in BC prediction.Results The results revealed that variable selection increased the performance of ML models in BC classification, and the optimal model was obtained with the logistic regression (LR) classifier after support vector machine (SVM)-SHAP-based feature selection. SHAP annotations of the LR model revealed that Leucine, isoleucine, L-alloisoleucine, norleucine, and homoserine acids were the most important potential BC diagnostic biomarkers. Combining the identified metabolite markers provided robust BC classification measures with precision, recall, and specificity of 89.50%, 88.38%, and 83.67%, respectively.Conclusion In conclusion, this study adds valuable information to the discovery of BC biomarkers and underscores the potential of targeted metabolomics-based diagnostic advances in the management of BC.</t>
  </si>
  <si>
    <t>Yagin, Fatma Hilal; Gormez, Yasin; Al-Hashem, Fahaid; Ahmad, Irshad; Ahmad, Fuzail; Ardigo, Luca Paolo</t>
  </si>
  <si>
    <t>Yagin, FH (corresponding author), Inonu Univ, Dept Biostat &amp; Med Informat, Fac Med, Malatya, Turkiye.; Ardigò, LP (corresponding author), NLA Univ Coll, Dept Teacher Educ, Oslo, Norway.</t>
  </si>
  <si>
    <t>hilal.yagin@inonu.edu.tr; luca.ardigo@nla.no</t>
  </si>
  <si>
    <t>Deanship of Research and Graduate Studies at King Khalid University [RGP-2/202/45]</t>
  </si>
  <si>
    <t>FA would like to thank Almaarefa University for supporting this research.</t>
  </si>
  <si>
    <t>[Yagin, Fatma Hilal] Inonu Univ, Dept Biostat &amp; Med Informat, Fac Med, Malatya, Turkiye; [Gormez, Yasin] Sivas Cumhuriyet Univ, Fac Econ &amp; Adm Sci, Dept Management Informat Syst, Sivas, Turkiye; [Al-Hashem, Fahaid] King Khalid Univ, Coll Med, Dept Physiol, Abha, Saudi Arabia; [Ahmad, Irshad] King Khalid Univ, Coll Appl Med Sci, Dept Med Rehabil Sci, Abha, Saudi Arabia; [Ahmad, Fuzail] AlMaarefa Univ, Coll Appl Sci, Resp Care Dept, Riyadh, Saudi Arabia; [Ardigo, Luca Paolo] NLA Univ Coll, Dept Teacher Educ, Oslo, Norway</t>
  </si>
  <si>
    <t>Inonu University; Cumhuriyet University; King Khalid University; King Khalid University; Almaarefa University; NLA University College</t>
  </si>
  <si>
    <t>Biomarker discovery and development of prognostic prediction model using metabolomic panel in breast cancer patients: a hybrid methodology integrating machine learning and explainable artificial intelligence</t>
  </si>
  <si>
    <t>breast cancer; metabolomics; feature selection; explainable artificial intelligence; prognostic model</t>
  </si>
  <si>
    <t>INCREASED RISK; PROFILES; STATISTICS; DISEASE; CLASSIFICATION; EXPLANATIONS; EVENT</t>
  </si>
  <si>
    <t>YAĞIN, Fatma Hilal/ABI-8066-2020; görmez, yasin/JEF-8096-2023; Ardigò, Luca/H-8955-2019; Ahmad, Fuzail/LFV-0732-2024; AL-Hashem, Fahaid/GPS-8057-2022</t>
  </si>
  <si>
    <t>YAĞIN, Fatma Hilal/0000-0002-9848-7958; Ahmad, Fuzail/0000-0002-1189-2206</t>
  </si>
  <si>
    <t>1426964</t>
  </si>
  <si>
    <t>10.3389/fmolb.2024.1426964</t>
  </si>
  <si>
    <t>http://dx.doi.org/10.3389/fmolb.2024.1426964</t>
  </si>
  <si>
    <t>Q7E1C</t>
  </si>
  <si>
    <t>39744676</t>
  </si>
  <si>
    <t>WOS:001386254400001</t>
  </si>
  <si>
    <t>Islam, T; Sheakh, MA; Tahosin, MS; Hena, MH; Akash, S; Bin Jardan, YA; Fentahunwondmie, G; Nafidi, HA; Bourhia, M</t>
  </si>
  <si>
    <t>Breast cancer has rapidly increased in prevalence in recent years, making it one of the leading causes of mortality worldwide. Among all cancers, it is by far the most common. Diagnosing this illness manually requires significant time and expertise. Since detecting breast cancer is a time-consuming process, preventing its further spread can be aided by creating machine-based forecasts. Machine learning and Explainable AI are crucial in classification as they not only provide accurate predictions but also offer insights into how the model arrives at its decisions, aiding in the understanding and trustworthiness of the classification results. In this study, we evaluate and compare the classification accuracy, precision, recall, and F1 scores of five different machine learning methods using a primary dataset (500 patients from Dhaka Medical College Hospital). Five different supervised machine learning techniques, including decision tree, random forest, logistic regression, naive bayes, and XGBoost, have been used to achieve optimal results on our dataset. Additionally, this study applied SHAP analysis to the XGBoost model to interpret the model's predictions and understand the impact of each feature on the model's output. We compared the accuracy with which several algorithms classified the data, as well as contrasted with other literature in this field. After final evaluation, this study found that XGBoost achieved the best model accuracy, which is 97%.</t>
  </si>
  <si>
    <t>Islam, Taminul; Sheakh, Md. Alif; Tahosin, Mst. Sazia; Hena, Most. Hasna; Akash, Shopnil; Bin Jardan, Yousef A.; Fentahunwondmie, Gezahign; Nafidi, Hiba-Allah; Bourhia, Mohammed</t>
  </si>
  <si>
    <t>Fentahunwondmie, G (corresponding author), Bahir Dar Univ, Dept Biol, POB 79, Bahir Dar, Ethiopia.; Bourhia, M (corresponding author), Ibn Zohr Univ, Fac Sci, Lab Biotechnol &amp; Valorizat Nat Resources, Agadir 80060, Morocco.</t>
  </si>
  <si>
    <t>resercherfent@gmail.com</t>
  </si>
  <si>
    <t>King Saud University, Riyadh, Saudi Arabia [RSP-2024R457]</t>
  </si>
  <si>
    <t>The authors would like to extend their sincere appreciation to the Researchers Supporting Project, King Saud University, Riyadh, Saudi Arabia for funding this work through the project number (RSP-2024R457)</t>
  </si>
  <si>
    <t>[Islam, Taminul] Southern Illinois Univ Carbondale, Sch Comp, Carbondale, IL USA; [Sheakh, Md. Alif; Tahosin, Mst. Sazia; Hena, Most. Hasna] Daffodil Int Univ, Dept Comp Sci &amp; Engn, Dhaka, Bangladesh; [Akash, Shopnil] Daffodil Int Univ, Fac Allied Hlth Sci, Dept Pharm, Dhaka, Bangladesh; [Bin Jardan, Yousef A.] King Saud Univ, Coll Pharm, Dept Pharmaceut, Riyadh 11451, Saudi Arabia; [Fentahunwondmie, Gezahign] Bahir Dar Univ, Dept Biol, POB 79, Bahir Dar, Ethiopia; [Nafidi, Hiba-Allah] Laval Univ, Fac Agr &amp; Food Sci, Dept Food Sci, Quebec City, PQ G1V 0A6, Canada; [Bourhia, Mohammed] Ibn Zohr Univ, Fac Sci, Lab Biotechnol &amp; Valorizat Nat Resources, Agadir 80060, Morocco</t>
  </si>
  <si>
    <t>Southern Illinois University System; Southern Illinois University; Daffodil International University; Daffodil International University; King Saud University; Bahir Dar University; Laval University; Ibn Zohr University of Agadir</t>
  </si>
  <si>
    <t>Predictive modeling for breast cancer classification in the context of Bangladeshi patients by use of machine learning approach with explainable AI</t>
  </si>
  <si>
    <t>Breast cancer prediction; Machine learning; Cancer prediction; Hyperparameter tuning; Explainable AI</t>
  </si>
  <si>
    <t>SURVIVAL</t>
  </si>
  <si>
    <t>Islam, Taminul/HTS-5505-2023; Akash, Shopnil/NLN-8085-2025; Sheakh, Alif/HTS-6794-2023; Tahosin, Mst. Sazia/PLD-1684-2026; BIN JARDAN, YOUSEF/GYJ-5672-2022</t>
  </si>
  <si>
    <t>Islam, Taminul/0000-0002-7803-4564; Akash, Shopnil/0000-0003-1751-705X; Sheakh, Alif/0009-0006-5845-5210; Tahosin, Mst. Sazia/0009-0006-2027-7148</t>
  </si>
  <si>
    <t>APR 11 2024</t>
  </si>
  <si>
    <t>8487</t>
  </si>
  <si>
    <t>10.1038/s41598-024-57740-5</t>
  </si>
  <si>
    <t>http://dx.doi.org/10.1038/s41598-024-57740-5</t>
  </si>
  <si>
    <t>NO5U6</t>
  </si>
  <si>
    <t>38605059</t>
  </si>
  <si>
    <t>WOS:001201413300021</t>
  </si>
  <si>
    <t>Xu, N; Zhang, KY; Tian, J</t>
  </si>
  <si>
    <t>Chronic diseases are typically noncommunicable diseases and are the number one cause of death for human beings. With the continuous growth of medical data, how to effectively predict the risk of chronic diseases, particularly in the context of high-dimensional medical data, has become an urgent issue that needs to be addressed. In this paper, we focus on three chronic diseases: fatty liver disease, diabetes disease and heart disease propose a Transformer-based risk prediction model specifically designed for medical disease prediction-Med-transformer. By applying interaction and attention mechanisms among different features, the model can automatically identify high-risk factors for chronic diseases and provide reasonable explanations for the predictive results. The results demonstrate that the proposed model performs exceptionally well in predicting the risk of chronic disease. The model achieved an AUC of 0.9182 for predicting fatty liver disease, outperforming the XGBoost model (AUC = 0.9034). For heart disease prediction, our model achieved an AUC of 0.8357, outperforming the FT-transformer model (AUC = 0.8222). For diabetes prediction, the model's AUC reached 0.9562, surpassing the RF model (AUC = 0.9500). Through the visualization of attention weights, we intuitively demonstrate the contribution of features to disease prediction, providing the medical field with more transparent and reliable decision-making support. This model not only provides accurate predictions, but also generates a feature importance map that assists clinicians in identifying high-risk individuals and understanding their risk composition, providing a new tool for achieving transparent and trustworthy AI-assisted diagnosis.</t>
  </si>
  <si>
    <t>Xu, Nan; Zhang, Kaiyuan; Tian, Jiao</t>
  </si>
  <si>
    <t>Tian, J (corresponding author), Xinjiang Univ, Sch Comp Sci &amp; Technol, Urumqi, Peoples R China.; Tian, J (corresponding author), Xinjiang Univ, Xinjiang Multimodal Intelligent Proc &amp; Informat Se, Urumqi, Peoples R China.</t>
  </si>
  <si>
    <t>jiaotian@xju.edu.cn</t>
  </si>
  <si>
    <t>the Tianshan Talent Training Program [2023TSYCQNTJ0048]; the Basic Scientific Research Business Expenses Project for Universities in Xinjiang Uyghur Autonomous Region (Construction Type Project) [XJEDU2024J032]</t>
  </si>
  <si>
    <t>the Tianshan Talent Training Program; the Basic Scientific Research Business Expenses Project for Universities in Xinjiang Uyghur Autonomous Region (Construction Type Project)</t>
  </si>
  <si>
    <t>This work was supported by the Tianshan Talent Training Program (Grant No. 2023TSYCQNTJ0048), and the Xinjiang Uyghur Autonomous Region (Construction Type Project) (Grant No. XJEDU2024J032).</t>
  </si>
  <si>
    <t>[Xu, Nan; Tian, Jiao] Xinjiang Univ, Sch Comp Sci &amp; Technol, Urumqi, Peoples R China; [Xu, Nan; Tian, Jiao] Xinjiang Univ, Xinjiang Multimodal Intelligent Proc &amp; Informat Se, Urumqi, Peoples R China; [Zhang, Kaiyuan] Xinjiang Mil Command PLA, Dept Neurosurg, Gen Hosp, Urumqi, Peoples R China</t>
  </si>
  <si>
    <t>Xinjiang University</t>
  </si>
  <si>
    <t>An Explainable Transformer-Based Model for Predicting Chronic Diseases Risk</t>
  </si>
  <si>
    <t>CONCURRENCY AND COMPUTATION-PRACTICE &amp; EXPERIENCE</t>
  </si>
  <si>
    <t>attention mechanism; chronic diseases; disease risk prediction; medical examination data</t>
  </si>
  <si>
    <t>LIVER-DISEASE</t>
  </si>
  <si>
    <t>1532-0626</t>
  </si>
  <si>
    <t>1532-0634</t>
  </si>
  <si>
    <t>CONCURR COMP-PRACT E</t>
  </si>
  <si>
    <t>Concurr. Comput.-Pract. Exp.</t>
  </si>
  <si>
    <t>e70739</t>
  </si>
  <si>
    <t>10.1002/cpe.70739</t>
  </si>
  <si>
    <t>http://dx.doi.org/10.1002/cpe.70739</t>
  </si>
  <si>
    <t>Computer Science, Software Engineering; Computer Science, Theory &amp; Methods</t>
  </si>
  <si>
    <t>JF7HR</t>
  </si>
  <si>
    <t>WOS:001788247200019</t>
  </si>
  <si>
    <t>Sharma, H; Kaur, S</t>
  </si>
  <si>
    <t>Autoimmune diseases pose a persistent challenge to clinical decision-making due to their heterogeneous presentations, episodic flare-ups, and complex pathophysiological mechanisms. Existing deep learning models frequently rely on correlation-driven patterns, which often lack robustness and interpretability in real-world clinical settings. This study proposes a novel causal deep learning framework designed to model and predict the progression of autoimmune diseases using longitudinal multimodal clinical data. The proposed approach integrates a temporal transformer architecture with a structural causal model (SCM)-guided counterfactual inference module to capture latent disease mechanisms while mitigating spurious correlations introduced by observational confounders. The model is trained and evaluated on a real-world cohort consisting of patients diagnosed with systemic lupus erythematosus (SLE) and rheumatoid arthritis (RA), incorporating electronic health records (EHRs), laboratory biomarkers, and immunological profiles. Empirical results demonstrate that the proposed framework outperforms conventional deep learning baselines in predicting disease transitions and flare-up events. In addition, interventional and counterfactual evaluation protocols are employed to validate the model's causal consistency and interpretability. This work contributes to the advancement of clinically trustworthy AI systems by enabling robust, explainable, and data-efficient disease trajectory modeling in the autoimmune domain.</t>
  </si>
  <si>
    <t>Sharma, Harshit; Kaur, Simran</t>
  </si>
  <si>
    <t>Kaur, S (corresponding author), Manipal Univ Jaipur, Dept AIML, Jaipur 303007, Rajasthan, India.</t>
  </si>
  <si>
    <t>simran.kaur@jaipur.manipal.edu</t>
  </si>
  <si>
    <t>Manipal University Jaipur</t>
  </si>
  <si>
    <t>This work was supported by Manipal University Jaipur.</t>
  </si>
  <si>
    <t>[Sharma, Harshit] MNIT Jaipur, Dept CSE, Jaipur 302017, Rajasthan, India; [Kaur, Simran] Manipal Univ Jaipur, Dept AIML, Jaipur 303007, Rajasthan, India</t>
  </si>
  <si>
    <t>National Institute of Technology (NIT System); Malaviya National Institute of Technology Jaipur; Manipal University Jaipur</t>
  </si>
  <si>
    <t>Causal Representation Learning for Predicting Autoimmune Disease Progression From Longitudinal Multimodal Clinical Data</t>
  </si>
  <si>
    <t>Artificial intelligence; Autoimmune diseases; Diseases; Predictive models; Data models; Immune system; Adaptation models; Deep learning; Uncertainty; Trajectory; Causal deep learning; autoimmune disease progression; counterfactual inference; longitudinal clinical data; temporal transformers; structural causal models; electronic health records; disease trajectory modeling; clinical artificial intelligence</t>
  </si>
  <si>
    <t>Sharma, H/OXC-6547-2025</t>
  </si>
  <si>
    <t>, Simran Kaur/0009-0006-6093-5766</t>
  </si>
  <si>
    <t>150010</t>
  </si>
  <si>
    <t>150027</t>
  </si>
  <si>
    <t>10.1109/ACCESS.2025.3598276</t>
  </si>
  <si>
    <t>http://dx.doi.org/10.1109/ACCESS.2025.3598276</t>
  </si>
  <si>
    <t>6UW3S</t>
  </si>
  <si>
    <t>WOS:001562578800023</t>
  </si>
  <si>
    <t>Rajpal, S; Rajpal, A; Saggar, A; Vaid, AK; Kumar, V; Agarwal, M; Kumar, N</t>
  </si>
  <si>
    <t>Breast cancer-a heterogeneous disease marked with a high mortality rate, necessitates early diagnosis and treatment. The availability of multi-omic data has revolutionized our understanding of how molecular changes mark the variations in different breast cancer subtypes. Epigenomic changes in the form of DNA methylation differentially impact the expression level of the genes that play a vital role in the onset and spread of these subtypes. So, in this paper, we study the role of these variations in distinguishing between the various breast cancer subtypes. The cardinality of the existing biomarker sets is often too large to be interpreted clinically, and their relevance in classification remains unclear. In this paper, we propose a two-stage XAI-MethylMarker-an explainable AI-based biomarker discovery framework applied to DNA methylation data to arrive at a small set of biomarkers for breast cancer classification. In the first stage, we build a deep-learning network MethylNet that employs an autoencoder for dimensionality reduction and a feed-forward neural network to classify breast cancer subtypes. In the second stage, we propose a biomarker discovery algorithm, MethylBDA, which employs different explainable techniques for analyzing MethylNet model and discovers a small set of 52 biomarkers. Using 5-fold cross-validation, we achieved a classification accuracy of 0.8145 +/- 0.07 at a 95% confidence interval. To establish the clinical relevance of the discovered biomarkers, we performed a gene set analysis that revealed 14 druggable genes, nine genes linked to prognostic outcomes, and several enriched pathways are known to be significantly associated with distinct breast cancer subtypes.</t>
  </si>
  <si>
    <t>Rajpal, Sheetal; Rajpal, Ankit; Saggar, Arpita; Vaid, Ashok K.; Kumar, Virendra; Agarwal, Manoj; Kumar, Naveen</t>
  </si>
  <si>
    <t>Rajpal, A (corresponding author), Univ Delhi, Dept Comp Sci, Delhi, India.</t>
  </si>
  <si>
    <t>manoj.agarwal@hrc.du.ac.in; virendrakumar@aiims.edu; nkumar@cs.du.ac.in; arpitasaggar.mca19.du@gmail.com; sheetal.rajpal.09@gmail.com; akvaid@yahoo.com; arajpal@cs.du.ac.in</t>
  </si>
  <si>
    <t>[Rajpal, Sheetal; Rajpal, Ankit; Saggar, Arpita; Kumar, Naveen] Univ Delhi, Dept Comp Sci, Delhi, India; [Vaid, Ashok K.] Medanta, Oncologist Canc Inst, Gurugram, India; [Kumar, Virendra] All India Inst Med Sci, Dept Nucl Magnet Resonance Imaging, New Delhi, India; [Agarwal, Manoj] Univ Delhi, Hans Raj Coll, Dept Comp Sci, Delhi, India</t>
  </si>
  <si>
    <t>XAI-MethylMarker: Explainable AI approach for biomarker discovery for breast cancer subtype classification using methylation data</t>
  </si>
  <si>
    <t>Explainable AI; Methylation; Biomarker; Deep learning; Breast cancer subtypes</t>
  </si>
  <si>
    <t>GENE-EXPRESSION; TISSUE</t>
  </si>
  <si>
    <t>Rajpal, Ankit/T-2536-2019; Kumar, Virendra/H-4874-2016; Kumar, Virendra/H-4874-2016; Kumar, Naveen/N-9993-2018</t>
  </si>
  <si>
    <t>Saggar, Arpita/0009-0009-7550-0863; Rajpal, Ankit/0000-0002-0033-4380; RAJPAL, SHEETAL/0000-0003-1420-8809; Kumar, Virendra/0000-0002-1569-1989; Kumar, Naveen/0000-0003-3401-6927</t>
  </si>
  <si>
    <t>SEP 1 2023</t>
  </si>
  <si>
    <t>225</t>
  </si>
  <si>
    <t>120130</t>
  </si>
  <si>
    <t>10.1016/j.eswa.2023.120130</t>
  </si>
  <si>
    <t>http://dx.doi.org/10.1016/j.eswa.2023.120130</t>
  </si>
  <si>
    <t>F6WR6</t>
  </si>
  <si>
    <t>WOS:000983733400001</t>
  </si>
  <si>
    <t>Jagan, SJ; Smrithy, GS; Chandrasekaran, B; Byju, S; Dhavakumar, P</t>
  </si>
  <si>
    <t>ObjectivesSchizophrenia is a neuropsychiatric disorder that affects emotional, behavioral, and brain functions that can be tracked using electroencephalography (EEG). This research conducts a comparative evaluation of deep learning models utilizing EEG time-frequency and spectral analysis methods to automate schizophrenia detection.MethodsTwo compatible EEG datasets were merged, yielding a total of 934 EEG samples from 237 subjects (121 schizophrenia patients and 116 controls). Independent Component Analysis (ICA) was applied for signal decomposition. By deriving time-frequency representations using Continuous Wavelet Transform (CWT) and Fast Fourier Transform (FFT), scalogram and spectral inputs for deep learning models were obtained. Six architectures, including CNN variants, CNN-FFT, CNN-ELM, CNN-LSTM, ResNet Transfer, and a Transformer-based model, were evaluated with data augmentation and class balancing to improve robustness.ResultsWhile variations in numerical performance were observed across models, statistical analysis indicated that these differences were not significant.DiscussionThe study presents results that underscore the benefits of combining time-frequency analysis with deep learning for EEG-based schizophrenia diagnosis, especially via spectral feature extraction in CNN architectures. Furthermore, it provides insights consistent with known neurophysiological patterns in schizophrenia, emphasizing the significance of model interpretability for clinical translation. Future research will focus on the integration of multimodal neuroimaging and the enhancement of explainability frameworks to augment diagnostic reliability.</t>
  </si>
  <si>
    <t>Jagan, S. J.; Smrithy, G. S.; Chandrasekaran, Balaji; Byju, Sharon; Dhavakumar, P.</t>
  </si>
  <si>
    <t>Smrithy, GS (corresponding author), Vellore Inst Technol, Sch Comp Sci &amp; Engn, Chennai 600127, India.</t>
  </si>
  <si>
    <t>smrithy.gs@vit.ac.in</t>
  </si>
  <si>
    <t>[Jagan, S. J.; Smrithy, G. S.; Byju, Sharon; Dhavakumar, P.] Vellore Inst Technol, Sch Comp Sci &amp; Engn, Chennai 600127, India; [Chandrasekaran, Balaji] Anna Univ, Coll Engn, Dept Comp Sci &amp; Engn, Chennai, India</t>
  </si>
  <si>
    <t>Vellore Institute of Technology (VIT); VIT Chennai; Anna University; Anna University Chennai</t>
  </si>
  <si>
    <t>A comparative evaluation of EEG-based deep learning models for schizophrenia detection with cross-dataset validation and explainable AI</t>
  </si>
  <si>
    <t>NEUROLOGICAL RESEARCH</t>
  </si>
  <si>
    <t>Schizophrenia; Convolutional Neural Network (CNN); Continuous Wavelet Transform (CWT); Fast Fourier Transform (FFT); electroencephalography (EEG); deep learning; explainable AI (XAI)</t>
  </si>
  <si>
    <t>0161-6412</t>
  </si>
  <si>
    <t>1743-1328</t>
  </si>
  <si>
    <t>NEUROL RES</t>
  </si>
  <si>
    <t>Neurol. Res.</t>
  </si>
  <si>
    <t>10.1080/01616412.2026.2661743</t>
  </si>
  <si>
    <t>http://dx.doi.org/10.1080/01616412.2026.2661743</t>
  </si>
  <si>
    <t>GW1KG</t>
  </si>
  <si>
    <t>42018932</t>
  </si>
  <si>
    <t>WOS:001746465200001</t>
  </si>
  <si>
    <t>Hamasha, R; Saleem, D; Ryan, KA; Tan, S; Sielaff, M; Hammad, A; Makki, M; Platt, J</t>
  </si>
  <si>
    <t>Introduction: The integration of artificial intelligence (AI) tools in healthcare offers significant opportunities to improve patient care. However, underrepresented groups such as the Arab/Middle Eastern North African (MENA) community in the United States have historically been excluded in health data and conversations regarding AI tool implementation and development. We present our experience with the Arab/MENA community exploring attitudes about the use of AI in healthcare, focusing on our engagement and recruitment efforts as well as relevance for learning health systems science.&lt;br /&gt; Methods: We conducted a virtual democratic deliberation session (n = 33) in partnership with the Arab Community Center for Economic and Social Services (ACCESS) in Michigan, as part of a larger study involving five sessions (n = 159). In partnership with ACCESS staff, we collaboratively developed study materials and recruited Arab/MENA community members to share their perspectives on AI in healthcare. Qualitative thematic analysis was used to identify the community's perspectives, priorities, and barriers to the use of AI in healthcare.&lt;br /&gt; Results: The deliberation session highlighted four key themes related to the use of AI tools: (1) transparency in AI development was viewed as essential to building community trust, (2) human connection, with concerns that increased reliance on AI could replace empathy and weaken patient-provider interactions, (3) the role of healthcare providers, with preference on providers using AI as a supportive tool rather than replacing direct care, and (4) representation due to concerns over whether AI systems would reflect the experiences and needs of the Arab/MENA community in healthcare.&lt;br /&gt; Conclusions: Community-based partnerships are essential for advancing responsible AI implementation in healthcare and building a learning health system. Our experiences highlight the importance of transparency, cultural sensitivity, and meaningful community involvement to build trust and address the needs of underrepresented groups as AI evolves.</t>
  </si>
  <si>
    <t>Hamasha, Reema; Saleem, Dalya; Ryan, Kerry A.; Tan, Sean; Sielaff, Morgan; Hammad, Adnan; Makki, Mona; Platt, Jodyn</t>
  </si>
  <si>
    <t>Hamasha, R (corresponding author), Univ Michigan, Med Sch, Dept Learning Hlth Sci, Ann Arbor, MI 48109 USA.</t>
  </si>
  <si>
    <t>hamashar@umich.edu</t>
  </si>
  <si>
    <t>National Institute of Biomedical Imaging and Bioengineering [5R01EB030492]</t>
  </si>
  <si>
    <t>This work was supported by the National Institute of Biomedical Imaging and Bioengineering (5R01EB030492).</t>
  </si>
  <si>
    <t>[Hamasha, Reema; Saleem, Dalya; Tan, Sean; Sielaff, Morgan; Platt, Jodyn] Univ Michigan, Med Sch, Dept Learning Hlth Sci, Ann Arbor, MI 48109 USA; [Ryan, Kerry A.] Univ Michigan, Med Sch, Ctr Hist Humanities Arts Social Sci &amp; Eth Med CHHA, Ann Arbor, MI USA; [Hammad, Adnan] Univ Michigan, DECIDERS Steering Comm, Ann Arbor, MI USA; [Hammad, Adnan] Global Hlth Res Management &amp; Solut, Pigeon, MI USA; [Makki, Mona] Arab Community Ctr Econ &amp; Social Serv ACCESS, Dearborn, MI USA</t>
  </si>
  <si>
    <t>University of Michigan; University of Michigan System; University of Michigan; University of Michigan System; University of Michigan; University of Michigan System; University of Michigan</t>
  </si>
  <si>
    <t>Engaging Arab/MENA Communities in Learning Health Systems: Insights and Guidance for Future Research on AI and Health Equity</t>
  </si>
  <si>
    <t>LEARNING HEALTH SYSTEMS</t>
  </si>
  <si>
    <t>Arab/MENA; artificial intelligence; community engagement</t>
  </si>
  <si>
    <t>MIDDLE-EASTERN; ARAB; CHALLENGES; STRATEGIES; ENGAGEMENT</t>
  </si>
  <si>
    <t>Tan, Sean/PGM-8235-2026</t>
  </si>
  <si>
    <t>Platt, Jodyn/0000-0003-4902-4903</t>
  </si>
  <si>
    <t>2379-6146</t>
  </si>
  <si>
    <t>LEARN HEALTH SYST</t>
  </si>
  <si>
    <t>Learn. Health Syst.</t>
  </si>
  <si>
    <t>e70091</t>
  </si>
  <si>
    <t>10.1002/lrh2.70091</t>
  </si>
  <si>
    <t>http://dx.doi.org/10.1002/lrh2.70091</t>
  </si>
  <si>
    <t>Health Care Sciences &amp; Services; Health Policy &amp; Services; Medical Informatics</t>
  </si>
  <si>
    <t>IR4NM</t>
  </si>
  <si>
    <t>42253462</t>
  </si>
  <si>
    <t>WOS:001778559200001</t>
  </si>
  <si>
    <t>Rahman, MA; Masum, MI; Hasib, KM; Mridha, MF; Alfarhood, S; Safran, M; Che, D</t>
  </si>
  <si>
    <t>Brain tumors pose a significant threat to human lives and have gained increasing attention as the tenth leading cause of global mortality. This study addresses the pressing issue of brain tumor classification using Magnetic resonance imaging (MRI). It focuses on distinguishing between Low-Grade Gliomas (LGG) and High-Grade Gliomas (HGG). LGGs are benign and typically manageable with surgical resection, while HGGs are malignant and more aggressive. The research introduces an innovative custom convolutional neural network (CNN) model, Glioma-CNN. GliomaCNN stands out as a lightweight CNN model compared to its predecessors. The research utilized the BraTS 2020 dataset for its experiments. Integrated with the gradient-boosting algorithm, GliomaCNN has achieved an impressive accuracy of 99.1569%. The model's interpretability is ensured through SHapley Additive exPlanations (SHAP) and Gradient-weighted Class Activation Mapping (Grad-CAM++). They provide insights into critical decision-making regions for classification outcomes. Despite challenges in identifying tumors in images without visible signs, the model demonstrates remarkable performance in this critical medical application, offering a promising tool for accurate brain tumor diagnosis which paves the way for enhanced early detection and treatment of brain tumors.</t>
  </si>
  <si>
    <t>Rahman, Md. Atiqur; Masum, Mustavi Ibne; Hasib, Khan Md; Mridha, M. F.; Alfarhood, Sultan; Safran, Mejdl; Che, Dunren</t>
  </si>
  <si>
    <t>Mridha, MF (corresponding author), Amer Int Univ Bangladesh, Dept Comp Sci, Dhaka 1229, Bangladesh.; Safran, M (corresponding author), King Saud Univ, Coll Comp &amp; Informat Sci, Dept Comp Sci, POB 51178, Riyadh 11543, Saudi Arabia.</t>
  </si>
  <si>
    <t>firoz.mridha@aiub.edu; mejdl@ksu.edu.sa</t>
  </si>
  <si>
    <t>This research is funded by the Researchers Supporting Project Number (RSPD2024R1027) , King Saud University, Riyadh, Saudi Arabia.</t>
  </si>
  <si>
    <t>[Rahman, Md. Atiqur; Masum, Mustavi Ibne] Ahsanullah Univ Sci &amp; Technol, Dept Comp Sci &amp; Engn, Dhaka 1208, Bangladesh; [Hasib, Khan Md] Univ Western Australia, Dept Comp Sci &amp; Software Engn, Perth, WA 6009, Australia; [Mridha, M. F.] Amer Int Univ Bangladesh, Dept Comp Sci, Dhaka 1229, Bangladesh; [Alfarhood, Sultan; Safran, Mejdl] King Saud Univ, Coll Comp &amp; Informat Sci, Dept Comp Sci, POB 51178, Riyadh 11543, Saudi Arabia; [Che, Dunren] Southern Illinois Univ, Sch Comp, Carbondale, IL 62901 USA</t>
  </si>
  <si>
    <t>Ahsanullah University of Science &amp; Technology (AUST); University of Western Australia; American International University Bangladesh (AIUB); King Saud University; Southern Illinois University System; Southern Illinois University</t>
  </si>
  <si>
    <t>GliomaCNN: An Effective Lightweight CNN Model in Assessment of Classifying Brain Tumor from Magnetic Resonance Images Using Explainable AI</t>
  </si>
  <si>
    <t>Deep learning; magnetic resonance imaging; convolutional neural networks; explainable AI; boosting algorithm; ablation</t>
  </si>
  <si>
    <t>Alfarhood, Sultan/HIK-0580-2022; Hasib, Khan/IUN-0052-2023; Safran, Mejdl/HMU-9371-2023; Mridha, M./ABB-8376-2021; Ibne Masum, Mustavi/OHV-1979-2025</t>
  </si>
  <si>
    <t>Hasib, Khan/0000-0001-6504-4192; Ibne Masum, Mustavi/0009-0000-7665-4009</t>
  </si>
  <si>
    <t>2425</t>
  </si>
  <si>
    <t>2448</t>
  </si>
  <si>
    <t>10.32604/cmes.2024.050760</t>
  </si>
  <si>
    <t>http://dx.doi.org/10.32604/cmes.2024.050760</t>
  </si>
  <si>
    <t>A9M4E</t>
  </si>
  <si>
    <t>WOS:001241483700001</t>
  </si>
  <si>
    <t>Olegário, IC; Coffey, N; Chaurasia, A; Leung, A</t>
  </si>
  <si>
    <t>Background/Objectives: Digital technologies and generative artificial intelligence (AI) are increasingly used in undergraduate dental education, yet international variations in adoption and governance remain insufficiently described. This study aimed to characterise cross-national patterns of educational software use, perceived importance for curriculum delivery, and institutional readiness for AI governance. Methods: A cross-sectional online survey of educators and academic administrators involved in undergraduate dental education captured institutional software use across teaching delivery, learning management, assessment, clinical record systems, imaging, simulation, digital workflows, and generative AI. Results: A total of 97 respondents from 38 countries completed the survey, with most institutions delivering both undergraduate and postgraduate dental education (66.0%). Videoconferencing platforms were widely adopted. LMS provision varied, with Google Classroom, Moodle, and Blackboard most frequently reported. Paper-based clinical records remained in use in 32% of institutions. Among digital PMS/EDR platforms, axiUm, Salud/Titanium, and Carestream Dental were the most prevalent. Adoption of simulation software, CAD/CAM systems, and 3D printing was inconsistent. LMS and videoconferencing were most often rated as essential, whereas simulation, scanners, CAD/CAM, and 3D printing were generally considered useful but not essential. Generative AI use was commonly reported, while formal institutional guidance and policies were frequently absent. Conclusions: Although digital integration in undergraduate dental education is widespread, its distribution is uneven across different regions and technology domains. The combination of rapid generative AI uptake and limited governance highlights an urgent need for institution-level guidance, staff development, and strategic investment to support responsible and equitable integration.</t>
  </si>
  <si>
    <t>Olegario, Isabel C.; Coffey, Niamh; Chaurasia, Akhilanand; Leung, Albert</t>
  </si>
  <si>
    <t>Olegário, IC (corresponding author), RCSI Univ Med &amp; Hlth Sci, Sch Dent, Dublin D02 YN77, Ireland.</t>
  </si>
  <si>
    <t>niamhecoffey@rcsi.ie; albertleung@rcsi.ie; akhilanandchaurasia@kgmcindia.edu; isabelolegario@rcsi.ie</t>
  </si>
  <si>
    <t>[Olegario, Isabel C.; Coffey, Niamh; Leung, Albert] RCSI Univ Med &amp; Hlth Sci, Sch Dent, Dublin D02 YN77, Ireland; [Chaurasia, Akhilanand] King Georges Med Univ, Dept Oral Med &amp; Radiol, Lucknow 226003, India</t>
  </si>
  <si>
    <t>Royal College of Surgeons in Ireland - RCSI; King George's Medical University</t>
  </si>
  <si>
    <t>International Perspectives on Digital and Generative AI Adoption and Governance in Undergraduate Dental Education: A Cross-Sectional Survey</t>
  </si>
  <si>
    <t>DENTISTRY JOURNAL</t>
  </si>
  <si>
    <t>dental education; generative artificial intelligence; AI governance; learning management systems; electronic dental records; patient management systems; assessment integrity</t>
  </si>
  <si>
    <t>INTELLIGENCE; DENTISTRY</t>
  </si>
  <si>
    <t>Coffey, Niamh/AAE-8432-2021; Olegário, Isabel Cristina/HZK-6104-2023; Chaurasia, Akhilanand/JCO-3926-2023</t>
  </si>
  <si>
    <t>Coffey, Niamh/0000-0001-9421-5392; Olegário, Isabel Cristina/0000-0003-2262-8061</t>
  </si>
  <si>
    <t>2304-6767</t>
  </si>
  <si>
    <t>DENT J-BASEL</t>
  </si>
  <si>
    <t>Dent. J.</t>
  </si>
  <si>
    <t>10.3390/dj14020128</t>
  </si>
  <si>
    <t>http://dx.doi.org/10.3390/dj14020128</t>
  </si>
  <si>
    <t>EH9DT</t>
  </si>
  <si>
    <t>41744966</t>
  </si>
  <si>
    <t>WOS:001701485400001</t>
  </si>
  <si>
    <t>Pelletier, AR; Ramirez, J; Sankar, BS; Adam, I; Yan, Y; Steinecke, D; Wang, W; Watson, KE; Ping, PP</t>
  </si>
  <si>
    <t>The scale of biomedical knowledge, spanning scientific literature and curated knowledge bases, poses a significant challenge for investigators in processing, evaluating, and interpreting findings effectively. Large Language Models (LLMs) have emerged as powerful tools for navigating this complex knowledge landscape but may produce hallucinatory responses. Retrieval-Augmented Generation (RAG) is essential for identifying relevant information to enhance accuracy and reliability. This protocol introduces RUGGED (Retrieval Under Graph-Guided Explainable disease Distinction), a comprehensive workflow designed to support knowledge integration, to mitigate bias, and to explore and validate new research directions. Biomedical information from publications and knowledge bases are synthesized and analyzed through text-mining association analysis and explainable graph prediction models to uncover potential drug-disease relationships. These findings, along with the source text corpus and knowledge bases, are incorporated into a framework that employs RAG-enhanced LLMs to enables users to explore hypotheses and investigate underlying mechanisms. A clinical use case demonstrates RUGGED's capability in evaluating and recommending therapeutics for Arrhythmogenic Cardiomyopathy (ACM) and Dilated Cardiomyopathy (DCM), analyzing prescribed drugs for molecular interactions and potential new applications. The platform reduces LLM hallucinations, highlights actionable insights, and streamlines the investigation of novel therapeutics.</t>
  </si>
  <si>
    <t>Pelletier, Alexander R.; Ramirez, Joseph; Sankar, Baradwaj Simha; Adam, Irsyad; Yan, Yu; Steinecke, Dylan; Wang, Wei; Watson, Karol E.; Ping, Peipei</t>
  </si>
  <si>
    <t>Ping, PP (corresponding author), UCLA, Sch Med, Dept Physiol, Los Angeles, CA 90095 USA.; Ping, PP (corresponding author), UCLA, Sch Engn, Scalable Analyt Inst ScAi, Dept Comp Sci, Los Angeles, CA 90095 USA.; Ping, PP (corresponding author), Univ Calif Los Angeles UCLA, Med Informat, Los Angeles, CA 90095 USA.; Ping, PP (corresponding author), UCLA, Sch Med, Dept Med Cardiol, Los Angeles, CA 90095 USA.</t>
  </si>
  <si>
    <t>pping38@g.ucla.edu</t>
  </si>
  <si>
    <t>NIH [1U54HG012517-01, T32 HL13945]; National Science Foundation Research Traineeship (NRT) [1829071]; TC Laubisch Endowment</t>
  </si>
  <si>
    <t>NIH (United States Department of Health &amp; Human Services, National Institutes of Health (NIH) - USA); National Science Foundation Research Traineeship (NRT); TC Laubisch Endowment</t>
  </si>
  <si>
    <t>The authors would like to thank Dr. Alex Bui for his guidance and thoughtful discussion. In addition, we thank Dr. Ding Wang for his helpful discussions. This work was supported in part by NIH 1U54HG012517-01 to P.P., K.W., and W.W.; NIH T32 HL13945 to A.R.P.; National Science Foundation Research Traineeship (NRT) 1829071 to A.R.P.; and the TC Laubisch Endowment to P.P. at UCLA.</t>
  </si>
  <si>
    <t>[Pelletier, Alexander R.; Ramirez, Joseph; Sankar, Baradwaj Simha; Adam, Irsyad; Yan, Yu; Steinecke, Dylan; Wang, Wei; Watson, Karol E.; Ping, Peipei] UCLA, Sch Med, Dept Physiol, Los Angeles, CA 90095 USA; [Pelletier, Alexander R.; Wang, Wei; Ping, Peipei] UCLA, Sch Engn, Scalable Analyt Inst ScAi, Dept Comp Sci, Los Angeles, CA 90095 USA; [Yan, Yu; Steinecke, Dylan; Watson, Karol E.; Ping, Peipei] Univ Calif Los Angeles UCLA, Med Informat, Los Angeles, CA 90095 USA; [Adam, Irsyad; Watson, Karol E.; Ping, Peipei] UCLA, Sch Med, Dept Med Cardiol, Los Angeles, CA 90095 USA</t>
  </si>
  <si>
    <t>University of California System; University of California Los Angeles; David Geffen School of Medicine at UCLA; University of California Los Angeles Medical Center; David Geffen School of Medicine at UCLA; University of California System; University of California Los Angeles; University of California System; University of California Los Angeles; University of California System; University of California Los Angeles; University of California Los Angeles Medical Center; David Geffen School of Medicine at UCLA</t>
  </si>
  <si>
    <t>Evidence-based Knowledge Synthesis and Hypothesis Validation: Navigating Biomedical Knowledge Bases via Explainable AI and Agentic Systems</t>
  </si>
  <si>
    <t>IMPROVEMENTS</t>
  </si>
  <si>
    <t>Watson, Karol/ABD-7425-2021</t>
  </si>
  <si>
    <t>e67525</t>
  </si>
  <si>
    <t>10.3791/67525</t>
  </si>
  <si>
    <t>http://dx.doi.org/10.3791/67525</t>
  </si>
  <si>
    <t>5AN2N</t>
  </si>
  <si>
    <t>40587410</t>
  </si>
  <si>
    <t>WOS:001531065900023</t>
  </si>
  <si>
    <t>Rasmi, A; Gopalan, SH; Ramachandran, A; Parvez, MM</t>
  </si>
  <si>
    <t>Colorectal Cancer continues to be ranking amongst the top cancers causing mortality in patients due to many factors, whereas the best way to improve patient survival is by exposing the patient to endoscopic procedures as early as possible. Unfortunately, this also means that endoscopy specialists play a decisive role in the correct diagnosis or misdiagnosis of lesions that are considered undetectable or false; both aspects sometimes lead to surprising results. To counter these challenges, we propose TECNN-MNGO, a deep learning framework designed to aid in an accurate yet explainable diagnosis from endoscopic images with advanced preprocessing, refined feature selection, and a hybrid classification model. There were some public datasets (KVASIR and WCE Curated Colon Disease) assessed with the model, which proved to outperform the popular architectures ResNet50, EfficientNet, and all-Transformer baselines. The TECNN-MNGO achieved an overall precision of 99.72 inside its wide precision, recall, and specificity features, which proves its robustness under various imaging conditions. Grad-CAM visualizations produced interpretable heat maps because they were able to highlight the lesion regions and allow clinicians to validate AI outputs. The research indicates that diagnostic accuracy can be improved, and clinical decision-making advanced because of efficiency, interpretability, and reproducibility combined with the results of TE-CNN-MNGO when integrated into routine endoscopy workflows would be able to minimize missed lesions, help in early interventions, and bring about better life expectancy for patients diagnosed with colorectal cancer.</t>
  </si>
  <si>
    <t>Rasmi, A.; Gopalan, S. Harihara; Ramachandran, A.; Parvez, M. Muzammil</t>
  </si>
  <si>
    <t>Rasmi, A (corresponding author), RR Inst Technol, Dept Comp Sci &amp; Engn, IoT &amp; Cyber Secur &amp; Block Chain Technol, Bangalore, Karnataka, India.</t>
  </si>
  <si>
    <t>parvez@kluniversity.in; hs@srec.ac.in; ramachandran061185@gmail.com; itsmerazmi@gmail.com</t>
  </si>
  <si>
    <t>[Rasmi, A.] RR Inst Technol, Dept Comp Sci &amp; Engn, IoT &amp; Cyber Secur &amp; Block Chain Technol, Bangalore, Karnataka, India; [Gopalan, S. Harihara] Sri Ramakrishna Engn Coll, Coimbatore, India; [Ramachandran, A.] PSR Engn Coll, Dept Biomed Engn, Sivakasi 626140, India; [Parvez, M. Muzammil] Koneru Lakshmiah Educ Fdn, Dept ECE, Vaddeswaram, Andhra Pradesh, India</t>
  </si>
  <si>
    <t>Sri Ramakrishna Engineering College; Koneru Lakshmaiah Education Foundation (K L Deemed to be University)</t>
  </si>
  <si>
    <t>A comprehensive deep learning framework for colorectal cancer detection and classification using TECNN-MNGO model with explainable AI integration</t>
  </si>
  <si>
    <t>Deep Learning; ResNet50; MobileNetV3; Colorectal Cancer</t>
  </si>
  <si>
    <t>ARTIFICIAL-INTELLIGENCE; POLYPS</t>
  </si>
  <si>
    <t>S, Harihara Gopalan/AAJ-9817-2021</t>
  </si>
  <si>
    <t>110958</t>
  </si>
  <si>
    <t>10.1016/j.bspc.2026.110958</t>
  </si>
  <si>
    <t>http://dx.doi.org/10.1016/j.bspc.2026.110958</t>
  </si>
  <si>
    <t>LF6HY</t>
  </si>
  <si>
    <t>WOS:001823445300001</t>
  </si>
  <si>
    <t>Akter, M; Abu Yousuf, M; Ahmed, S; Kaiser, MS; Uddin, MZ</t>
  </si>
  <si>
    <t>Deep learning models, particularly Convolutional Neural Networks (CNNs), have advanced automated Sleep Apnea (SA) detection from single-lead Electrocardiogram (ECG) signals. However, current approaches often face two limitations: (1) reliance on single-view representations (e.g., time-series or one image type) that can fail to capture the diverse feature set inherent in complex ECG dynamics; and (2) image-based methods that frequently employ standard architectures which may not optimally extract intricate local patterns crucial for SA identification. To address these challenges, we propose MVIC-Net, a Multi-View Interactive Convolutional Network framework that uniquely processes four complementary ECG representations simultaneously: 1D numeric data, 2D reshaped numeric data, Continuous Wavelet Transform (CWT) images, and circular plot images. We introduce the Convolutional and Interactive Learning Neural Network (CINet), an architecture inspired by SCINet and specifically engineered for enhanced ECG image feature extraction. CINet utilizes a hierarchical downsampling and interactive learning mechanism: it recursively splits feature maps, processes subsequences through distinct convolutional filters, and interactively combines them to mitigate information loss while capturing multi-resolution features effectively. Our MVIC-Net model integrates pre-trained CINet and standard CNN encoders, fusing their outputs via concatenation before final classification. Empirical validation on the Apnea-ECG database demonstrates superior performance, achieving 99.25% accuracy. This significantly surpasses individual-view models (with CINet reaching 96.32% accuracy on image-based views), pre-trained ResNet152V2 baselines, and a multi-model ensemble approach. To enhance clinical trust, we incorporate Explainable AI (XAI) via Grad-CAM, providing transparency into CINet's decision-making process. Our results establish the effectiveness of combining multi-view learning with interactive convolutional architectures for robust physiological signal classification.</t>
  </si>
  <si>
    <t>Akter, Moni; Abu Yousuf, Mohammad; Ahmed, Sabbir; Kaiser, M. Shamim; Uddin, Md. Zia</t>
  </si>
  <si>
    <t>Uddin, MZ (corresponding author), SINTEF Digital, N-0373 Oslo, Norway.</t>
  </si>
  <si>
    <t>yousuf@juniv.edu; akter.itm@diu.edu.bd; sabbir.ahmed2@utdallas.edu; mskaiser@juniv.edu; zia.uddin@sintef.no</t>
  </si>
  <si>
    <t>Information and Communication Technology (ICT) Division of Bangladesh [1280101-120008431-3821117]</t>
  </si>
  <si>
    <t>Information and Communication Technology (ICT) Division of Bangladesh</t>
  </si>
  <si>
    <t>Acknowledgement This research was supported by the Information and Communication Technology (ICT) Division of Bangladesh (Grant Number: 1280101-120008431-3821117) .</t>
  </si>
  <si>
    <t>[Akter, Moni; Abu Yousuf, Mohammad; Kaiser, M. Shamim] Jahangirnagar Univ, Inst Informat Technol, Savar 1342, Dhaka, Bangladesh; [Akter, Moni] Daffodil Int Univ, Dept Informat Technol &amp; Management, Birulia 1216, Dhaka, Bangladesh; [Ahmed, Sabbir] Univ Texas Dallas, Dallas, TX USA; [Uddin, Md. Zia] SINTEF Digital, N-0373 Oslo, Norway</t>
  </si>
  <si>
    <t>Jahangirnagar University; Daffodil International University; University of Texas System; University of Texas Dallas; SINTEF</t>
  </si>
  <si>
    <t>MVIC-Net: Multi-view interactive convolutional networks for ECG-based sleep apnea detection with explainable AI</t>
  </si>
  <si>
    <t>Sleep apnea; ECG preprocessing; ECG classification; Image processing; XAI; CINet; Interactive CNN; Ensemble learning; Multi-view classification</t>
  </si>
  <si>
    <t>DEEP; DIAGNOSIS</t>
  </si>
  <si>
    <t>Uddin, Zia/AAC-1309-2020; Kaiser, M./F-5750-2012; Abu+Yousuf, Mohammad/AAP-5280-2021; Ahmed, Sabbir/PKR-7713-2026</t>
  </si>
  <si>
    <t>340</t>
  </si>
  <si>
    <t>115660</t>
  </si>
  <si>
    <t>10.1016/j.knosys.2026.115660</t>
  </si>
  <si>
    <t>http://dx.doi.org/10.1016/j.knosys.2026.115660</t>
  </si>
  <si>
    <t>FD3BQ</t>
  </si>
  <si>
    <t>WOS:001716020200001</t>
  </si>
  <si>
    <t>Fang, SJ; Zhu, XM; Zhu, TT; Zhang, L; Li, YQ</t>
  </si>
  <si>
    <t>The growing prevalence of service robots in the hospitality industry has exposed heightened ethical concerns, particularly regarding fairness considerations in human-robot interactions. The responsible and ethical application of AI has emerged as an urgent priority. This research utilizes five experiments to investigate what, how and when service robots impact customer fairness perception in hospitality industry. The results indicate that service robots' social presence negatively influences customer fairness perception. Customers' mind perception partially mediates this effect, specifically through their perception of the robot experience rather than perceived agency. Furthermore, service robot's role as an augmentation (vs. substitution) moderates the effects, with a stronger positive impact in the substitution condition. This research mainly contributes to the literature on responsible AI by exploring service robots' social presence in influencing customer fairness perceptions. The findings provide hospitality practitioners on how to effectively integrate service robots to enhance perceived responsible AI and improve the overall customer experience.</t>
  </si>
  <si>
    <t>Fang, Shujie; Zhu, Ximeng; Zhu, Tengteng; Zhang, Lu; Li, Yaoqi</t>
  </si>
  <si>
    <t>Li, YQ (corresponding author), Sun Yat Sen Univ, Sch Tourism Management, 135 Xingang West Rd, Guangzhou 510275, Peoples R China.</t>
  </si>
  <si>
    <t>zxm215309@163.com; shujiefang@vip.126.com; zhutt2@mail2.sysu.edu.cn; luzhang@msu.edu; liyaoqi3@mail.sysu.edu.cn</t>
  </si>
  <si>
    <t>Henan Province Soft Science Research Project [252400411104]; National Natural Science Foundation of China [72572179]; Guangdong Philosophy and Social Science Planning Project [GD24YGL21]</t>
  </si>
  <si>
    <t>Henan Province Soft Science Research Project; National Natural Science Foundation of China (National Natural Science Foundation of China (NSFC)); Guangdong Philosophy and Social Science Planning Project</t>
  </si>
  <si>
    <t>This research was supported by the grants from Henan Province Soft Science Research Project (No.252400411104) , National Natural Science Foundation of China (No.72572179) and Guangdong Philosophy and Social Science Planning Project (No. GD24YGL21) .</t>
  </si>
  <si>
    <t>[Fang, Shujie; Zhu, Ximeng] Zhengzhou Univ, Sch Management, 100 Sci Ave, Zhengzhou 450001, Peoples R China; [Zhu, Tengteng] Foshan Univ, Sch Management, 18 Jiangwan 1st Rd, Foshan 528000, Peoples R China; [Zhang, Lu] Michigan State Univ, Sch Hospitality Business, Broad Coll Business, E Lansing, MI 48824 USA; [Li, Yaoqi] Sun Yat Sen Univ, Sch Tourism Management, 135 Xingang West Rd, Guangzhou 510275, Peoples R China</t>
  </si>
  <si>
    <t>Zhengzhou University; Foshan University; Michigan State University; Michigan State University's Broad College of Business; Sun Yat Sen University</t>
  </si>
  <si>
    <t>Fair enough? The unintended consequences of service robot social presence for customer fairness perception in hospitality industry</t>
  </si>
  <si>
    <t>INTERNATIONAL JOURNAL OF HOSPITALITY MANAGEMENT</t>
  </si>
  <si>
    <t>Service robot; Responsible AI; Customer fairness perception; Social presence; Mind perception; Hospitality industry</t>
  </si>
  <si>
    <t>MODEL; SATISFACTION; JUSTICE</t>
  </si>
  <si>
    <t>方, 淑杰/GXM-9367-2022</t>
  </si>
  <si>
    <t>0278-4319</t>
  </si>
  <si>
    <t>1873-4693</t>
  </si>
  <si>
    <t>INT J HOSP MANAG</t>
  </si>
  <si>
    <t>Int. J. Hosp. Manag.</t>
  </si>
  <si>
    <t>104730</t>
  </si>
  <si>
    <t>10.1016/j.ijhm.2026.104730</t>
  </si>
  <si>
    <t>http://dx.doi.org/10.1016/j.ijhm.2026.104730</t>
  </si>
  <si>
    <t>Hospitality, Leisure, Sport &amp; Tourism</t>
  </si>
  <si>
    <t>HU6CU</t>
  </si>
  <si>
    <t>WOS:001763066000001</t>
  </si>
  <si>
    <t>Buhr, E; Onder, O; Rudra, P; Ursin, F</t>
  </si>
  <si>
    <t>While trust is foundational to the doctor-patient relationship, the introduction of AI into healthcare settings poses the risk of eroding this trust, and such erosion cannot be countered simply by appealing to the notion of "trustworthy AI." We argue that trust presupposes specific epistemic attitudes that cannot be meaningfully applied to AI systems. Accordingly, our focus is not on specifying which capabilities AI must exhibit in order to appear trustworthy, but on examining from an epistemological perspective how the use of AI reshapes the dynamics of trust within the doctor-patient relationship. To this end, we first sketch conceptions of trust and demonstrate how trust differs from reliance. We then combine the model of Computational Reliabilism with an epistemic framework to develop a matrix for the ethical analysis of our use cases. Finally, we apply this framework to three scenarios of melanoma detection, risk prediction, and psychotherapy chatbots, which we construct by mapping epistemic stances across different modes of human-machine interaction, ranging from collaborative support with varying degrees of autonomy to the replacement of human-human interaction. We argue that the application of AI in the doctor-patient relationship exposes what we call a "reliability gap" - a conceptual space where the opaque nature of advanced AI systems prevents both doctors and patients from independently verifying their reliability. This creates a dynamic where reliability in the AI's performance is increasingly mediated by the doctor as a proxy. Our use cases demonstrate that the more autonomous and opaque AI systems are, the more trust in the doctor becomes essential for bridging reliability gaps, while threatening to overburden the doctor's central role.</t>
  </si>
  <si>
    <t>Buhr, Eike; Onder, Orhan; Rudra, Pranab; Ursin, Frank</t>
  </si>
  <si>
    <t>Social Science Citation Index (SSCI); Arts &amp; Humanities Citation Index (A&amp;HCI)</t>
  </si>
  <si>
    <t>Buhr, E (corresponding author), Carl Von Ossietzky Univ Oldenburg, Ethics Med, Oldenburg, Germany.</t>
  </si>
  <si>
    <t>ursin.frank@mh-hannover.de; orhnonder@gmail.com; pranab.rudra@stud.mh-hannover.de; eike.buhr@uni-oldenburg.de</t>
  </si>
  <si>
    <t>We thank Christin Hempeler for valuable comments and input.</t>
  </si>
  <si>
    <t>[Buhr, Eike] Carl Von Ossietzky Univ Oldenburg, Ethics Med, Oldenburg, Germany; [Onder, Orhan] Marmara Univ, Hist Med &amp; Ethics, Sch Med, Istanbul, Turkiye; [Onder, Orhan] Univ Vienna, Dept Philosophy, Philosophy Media &amp; Technol, Vienna, Austria; [Rudra, Pranab; Ursin, Frank] Hannover Med Sch MHH, Inst Ethics Hist &amp; Philosophy Med, Hannover, Germany</t>
  </si>
  <si>
    <t>Carl von Ossietzky Universitat Oldenburg; Marmara University; University of Vienna; Hannover Medical School</t>
  </si>
  <si>
    <t>Trust and Artificial Intelligence in the Doctor-Patient Relationship: Epistemological Preconditions and Reliability Gaps</t>
  </si>
  <si>
    <t>ETHICS AND INFORMATION TECHNOLOGY</t>
  </si>
  <si>
    <t>Artificial intelligence; Trust; Healthcare; Doctor-patient relationship; Ethics; Epistemology</t>
  </si>
  <si>
    <t>Onder, Orhan/OBO-7761-2025; Ursin, Frank/AAD-6311-2020</t>
  </si>
  <si>
    <t>1388-1957</t>
  </si>
  <si>
    <t>1572-8439</t>
  </si>
  <si>
    <t>ETHICS INF TECHNOL</t>
  </si>
  <si>
    <t>Ethics Inf. Technol.</t>
  </si>
  <si>
    <t>10.1007/s10676-025-09867-w</t>
  </si>
  <si>
    <t>http://dx.doi.org/10.1007/s10676-025-09867-w</t>
  </si>
  <si>
    <t>Ethics; Information Science &amp; Library Science; Philosophy</t>
  </si>
  <si>
    <t>Social Sciences - Other Topics; Information Science &amp; Library Science; Philosophy</t>
  </si>
  <si>
    <t>8VP4M</t>
  </si>
  <si>
    <t>WOS:001598394700001</t>
  </si>
  <si>
    <t>Alsobeh, A; Shatnawi, A; Magableh, A</t>
  </si>
  <si>
    <t>Federated learning (FL) has emerged as a paradigm-shifting approach for collaborative machine learning (ML) while preserving data privacy. However, existing FL frameworks face significant challenges in ensuring trustworthiness, regulatory compliance, and security across heterogeneous institutional environments. We introduce AspectFL, a novel aspect-oriented programming (AOP) framework that seamlessly integrates trust, compliance, and security concerns into FL systems through cross-cutting aspect weaving. Our framework implements four core aspects: FAIR (Findability, Accessibility, Interoperability, Reusability) compliance, security threat detection and mitigation, provenance tracking, and institutional policy enforcement. AspectFL employs a sophisticated aspect weaver that intercepts FL execution at critical joinpoints, enabling dynamic policy enforcement and real-time compliance monitoring without modifying core learning algorithms. We demonstrate AspectFL's effectiveness through experiments on healthcare and financial datasets, including a detailed and reproducible evaluation on the real-world MIMIC-III dataset. Our results, reported with 95% confidence intervals and validated with appropriate statistical tests, show significant improvements in model performance, with a 4.52% and 0.90% increase in Area Under the Curve (AUC) for the healthcare and financial scenarios, respectively. Furthermore, we present a detailed ablation study, a comparative benchmark against existing FL frameworks, and an empirical scalability analysis, demonstrating the practical viability of our approach. AspectFL achieves high FAIR compliance scores (0.762), robust security (0.798 security score), and consistent policy adherence (over 84%), establishing a new standard for trustworthy FL.</t>
  </si>
  <si>
    <t>Alsobeh, Anas; Shatnawi, Amani; Magableh, Aws</t>
  </si>
  <si>
    <t>Magableh, A (corresponding author), Prince Sultan Univ, Dept Software Engn, Riyadh 11586, Saudi Arabia.; Magableh, A (corresponding author), Yarmouk Univ, Dept Comp Informat Syst, Irbid 21163, Jordan.</t>
  </si>
  <si>
    <t>aws.magableh@yu.edu.jo; anas.alsobeh@gmail.com; amanishatnawi1@weber.edu</t>
  </si>
  <si>
    <t>NSF [2437898]</t>
  </si>
  <si>
    <t>NSF (National Science Foundation (NSF))</t>
  </si>
  <si>
    <t>The authors express their sincere gratitude to Southern Illinois UniversityCarbondale, Weber State University, Yarmouk University, and Prince Sultan University for providingthe institutional support and resources necessary for this research. This work is also inspired by theBuilding Research Innovation at Community Colleges-Research Data Management (BRICCs-RDM)initiative, which is part of the BRICCs initiative and aims to understand how RDM can be integratedinto CI-enabled research to accelerate scientific discoveries across various fields. BRICCs is supportedby NSF award number 2437898.</t>
  </si>
  <si>
    <t>[Alsobeh, Anas] Utah Valley Univ, Informat Syst &amp; Technol Dept, Orem, UT 84058 USA; [Alsobeh, Anas] Southern Illinois Univ, Sch Comp, Carbondale, IL 62901 USA; [Shatnawi, Amani] Weber State Univ, Sch Comp, Ogden, UT 84408 USA; [Magableh, Aws] Prince Sultan Univ, Dept Software Engn, Riyadh 11586, Saudi Arabia; [Magableh, Aws] Yarmouk Univ, Dept Comp Informat Syst, Irbid 21163, Jordan</t>
  </si>
  <si>
    <t>Utah System of Higher Education; Utah Valley University; Southern Illinois University System; Southern Illinois University; Utah System of Higher Education; Weber State University; Prince Sultan University; Yarmouk University</t>
  </si>
  <si>
    <t>AspectFL: Aspect-Oriented Programming for Trustworthy and Compliant Federated Learning Systems</t>
  </si>
  <si>
    <t>federated learning; aspect-oriented programming; FAIR principles; security; compliance; trustworthy AI; privacy preservation; institutional policies</t>
  </si>
  <si>
    <t>Magableh, Aws/AAY-2090-2021; AlSobeh, Anas/IYJ-5663-2023</t>
  </si>
  <si>
    <t>AlSobeh, Anas/0000-0002-1506-7924</t>
  </si>
  <si>
    <t>DEC 1 2025</t>
  </si>
  <si>
    <t>1048</t>
  </si>
  <si>
    <t>10.3390/info16121048</t>
  </si>
  <si>
    <t>http://dx.doi.org/10.3390/info16121048</t>
  </si>
  <si>
    <t>AF2AK</t>
  </si>
  <si>
    <t>WOS:001646694600001</t>
  </si>
  <si>
    <t>Stevens, AF; Stetson, P</t>
  </si>
  <si>
    <t>Background: Artificial intelligence and machine learning (AI/ML) technologies like generative and ambient AI solutions are proliferating in real-world healthcare settings. Clinician trust affects adoption and impact of these systems. Organizations need a validated method to assess factors underlying trust and acceptance of AI for clinical workflows in order to improve adoption and the impact of AI. Objective: Our study set out to develop and assess a novel clinician-centered model to measure and explain trust and adoption of AI technology. We hypothesized that clinicians' system-specific Trust in AI is the primary predictor of both Acceptance (i.e., willingness to adopt), and post-adoption Trusting Stance (i.e., general stance towards any AI system). We validated the new model at an urban comprehensive cancer center. We produced an easily implemented survey tool for measuring clinician trust and adoption of AI. Methods: This survey-based, cross-sectional, psychometric study included a model development phase and validation phase. Measurement was done with five-point ascending unidirectional Likert scales. The development sample included N = 93 clinicians (physicians, advanced practice providers, nurses) that used an AI-based communication application. The validation sample included N = 73 clinicians that used a commercially available AI-powered speech-to-text application for note-writing in an electronic health record (EHR). Analytical procedures included exploratory factor analysis (EFA), confirmatory factor analysis (CFA), and partial least squares structural equation modeling (PLS-SEM). The Johnson-Neyman (JN) methodology was used to determine moderator effects. Results: In the fully moderated causal model, clinician trust explained a large amount of variance in their acceptance of a specific AI application (56%) and their post-adoption general trusting stance towards AI in general (36%). Moderators included organizational assurances, length of time using the application, and clinician age. The final validated instrument has 20 items and takes 5 min to complete on average. Conclusions: We found that clinician acceptance of AI is determined by their degree of trust formed via information credibility, perceived application value, and reliability. The novel model, TrAAIT, explains factors underlying AI trustworthiness and acceptance for clinicians. With its easy-to-use instrument and Summative Score Dashboard, TrAAIT can help organizations implementing AI to identify and intercept barriers to clinician adoption in real-world settings.</t>
  </si>
  <si>
    <t>Stevens, Alexander F.; Stetson, Pete</t>
  </si>
  <si>
    <t>Stevens, AF (corresponding author), Mem Sloan Kettering Canc Ctr, Digital Prod &amp; Informat Div, DigITs, New York, NY 10065 USA.</t>
  </si>
  <si>
    <t>stevensa@mskcc.org</t>
  </si>
  <si>
    <t>National Institutes of Health under Cancer Center [3 P30 CA008748-53]; National Cancer Institute [P30CA008748] Funding Source: NIH RePORTER</t>
  </si>
  <si>
    <t>National Institutes of Health under Cancer Center (United States Department of Health &amp; Human Services, National Institutes of Health (NIH) - USA, Office of the Administrator (NIH)); National Cancer Institute (United States Department of Health &amp; Human Services, National Institutes of Health (NIH) - USA, NIH National Cancer Institute (NCI))</t>
  </si>
  <si>
    <t>The research reported here was conducted at Memorial Sloan Kettering Cancer Center and supported by the National Institutes of Health under Cancer Center Support Grant: 3 P30 CA008748-53. The content is solely the responsibility of the authors and does not necessarily represent the official views of the National Institutes of Health or Memorial Sloan Kettering Cancer Center.</t>
  </si>
  <si>
    <t>[Stevens, Alexander F.; Stetson, Pete] Mem Sloan Kettering Canc Ctr, Digital Prod &amp; Informat Div, DigITs, New York, NY 10065 USA; [Stetson, Pete] Mem Sloan Kettering Canc Ctr, Dept Med, New York, NY USA</t>
  </si>
  <si>
    <t>Memorial Sloan Kettering Cancer Center; Memorial Sloan Kettering Cancer Center</t>
  </si>
  <si>
    <t>Theory of trust and acceptance of artificial intelligence technology (TrAAIT): An instrument to assess clinician trust and acceptance of artificial intelligence</t>
  </si>
  <si>
    <t>Clinician trust; Trustworthy artificial intelligence/machine; learning (AI/ML); Human computer interaction; Technology acceptance; Digital healthcare; AI/ML adoption</t>
  </si>
  <si>
    <t>INFORMATION-SYSTEMS SUCCESS; PLS-SEM; USER ACCEPTANCE; UNIFIED THEORY; MODEL; MANAGEMENT; QUALITY; INTENTION; DELONE; HEALTH</t>
  </si>
  <si>
    <t>Stevens, Alexander/JPX-2227-2023</t>
  </si>
  <si>
    <t>Stevens, Alexander/0000-0002-4072-4498; Stetson, Peter/0000-0002-8984-1302</t>
  </si>
  <si>
    <t>104550</t>
  </si>
  <si>
    <t>10.1016/j.jbi.2023.104550</t>
  </si>
  <si>
    <t>http://dx.doi.org/10.1016/j.jbi.2023.104550</t>
  </si>
  <si>
    <t>CK8L3</t>
  </si>
  <si>
    <t>37981107</t>
  </si>
  <si>
    <t>WOS:001125236600001</t>
  </si>
  <si>
    <t>Manz, R; Bäcker, J; Cramer, S; Meyer, P; Müller, D; Muzalyova, A; Rentschler, L; Wengenmayr, C; Hinske, LC; Huss, R; Raffler, J; Soto-Rey, I</t>
  </si>
  <si>
    <t>This work aimed to evaluate both the usefulness and user acceptance of five gradient-based explainable artificial intelligence (XAI) methods in the use case of a prostate carcinoma clinical decision support system environment. In addition, we aimed to determine whether XAI helps to increase the acceptance of artificial intelligence (AI) and recommend a particular method for this use case. The evaluation was conducted on a tool developed in-house with different visualization approaches to the AI-generated Gleason grade and the corresponding XAI explanations on top of the original slide. The study was a heuristic evaluation of five XAI methods. The participants were 15 pathologists from the University Hospital of Augsburg with a wide range of experience in Gleason grading and AI. The evaluation consisted of a user information form, short questionnaires on each XAI method, a ranking of the methods, and a general questionnaire to evaluate the performance and usefulness of the AI. There were significant differences between the ratings of the methods, with Grad-CAM++ performing best. Both AI decision support and XAI explanations were seen as helpful by the majority of participants. In conclusion, our pilot study suggests that the evaluated XAI methods can indeed improve the usefulness and acceptance of AI. The results obtained are a good indicator, but further studies involving larger sample sizes are warranted to draw more definitive conclusions.</t>
  </si>
  <si>
    <t>Manz, Robin; Baecker, Jonas; Cramer, Samantha; Meyer, Philip; Mueller, Dominik; Muzalyova, Anna; Rentschler, Lukas; Wengenmayr, Christoph; Hinske, Ludwig Christian; Huss, Ralf; Raffler, Johannes; Soto-Rey, Inaki</t>
  </si>
  <si>
    <t>Soto-Rey, I (corresponding author), Univklinikum Augsburg, Inst Digitale Med, Stenglinstr 2, D-86156 Augsburg, Germany.</t>
  </si>
  <si>
    <t>inaki.sotorey@uk-augsburg.de</t>
  </si>
  <si>
    <t>Augsburg University, Intramural Funding; Intramural Funding of the Faculty of Medicine, University of Augsburg, Germany</t>
  </si>
  <si>
    <t>We would like to express our sincere gratitude to all members of the UK Augsburg's pathology department who dedicated their time to participate in this evaluation study. This study was funded by the Intramural Funding of the Faculty of Medicine, University of Augsburg, Germany. Open Access funding enabled and organized by Projekt DEAL.</t>
  </si>
  <si>
    <t>[Manz, Robin; Baecker, Jonas; Cramer, Samantha; Meyer, Philip; Mueller, Dominik; Muzalyova, Anna; Wengenmayr, Christoph; Hinske, Ludwig Christian; Raffler, Johannes; Soto-Rey, Inaki] Univ Hosp Augsburg, Digital Med, Augsburg, Germany; [Mueller, Dominik] Univ Augsburg, IT Infrastructure Translat Med Res, Augsburg, Germany; [Rentschler, Lukas; Huss, Ralf] Univ Hosp Augsburg, Inst Pathol &amp; Mol Diagnost, Augsburg, Germany; [Huss, Ralf] BioM Biotech Cluster Dev GmbH, Planegg, Germany; [Raffler, Johannes] Bavarian Canc Res Ctr BZKF, Augsburg, Germany</t>
  </si>
  <si>
    <t>University of Augsburg</t>
  </si>
  <si>
    <t>Do explainable AI (XAI) methods improve the acceptance of AI in clinical practice? An evaluation of XAI methods on Gleason grading</t>
  </si>
  <si>
    <t>JOURNAL OF PATHOLOGY CLINICAL RESEARCH</t>
  </si>
  <si>
    <t>explainable artificial intelligence; artificial intelligence; evaluation; Gleason score; prostate carcinoma; pathology; clinical decision support</t>
  </si>
  <si>
    <t>PROSTATE-CANCER; INTEROBSERVER REPRODUCIBILITY; PROGNOSTIC VALUE; CARCINOMA; SCORE</t>
  </si>
  <si>
    <t>Soto Rey, Iñaki/A-4429-2013; Hinske, Christian/AAN-4805-2021</t>
  </si>
  <si>
    <t>Rentschler, Lukas/0000-0001-7260-0177; Huss, Ralf/0000-0002-6447-9300; Soto Rey, Iñaki/0000-0003-3061-5818; Raffler, Johannes/0000-0003-2495-4020; Manz, Robin/0009-0001-5339-6091; Müller, Dominik/0000-0003-0838-9885; Muzalyova, Anna/0000-0003-4441-8006</t>
  </si>
  <si>
    <t>2056-4538</t>
  </si>
  <si>
    <t>J PATHOL CLIN RES</t>
  </si>
  <si>
    <t>J. Pathol. Clin. Res.</t>
  </si>
  <si>
    <t>e70023</t>
  </si>
  <si>
    <t>10.1002/2056-4538.70023</t>
  </si>
  <si>
    <t>http://dx.doi.org/10.1002/2056-4538.70023</t>
  </si>
  <si>
    <t>0BO3W</t>
  </si>
  <si>
    <t>40079401</t>
  </si>
  <si>
    <t>WOS:001443467300001</t>
  </si>
  <si>
    <t>Okyere-Gyamfi, S; Akoto-Adjepong, V; Adu, K; Ayidzoe, MA; Appiah, O; Appiahene, P; Mensah, PK; Opoku, M; Bawah, FU; Awarayi, NS; Boateng, S; Nimbe, P; Adekoya, AF</t>
  </si>
  <si>
    <t>In January 2021 and January 2022, COVID-19 caused roughly 13,000 and 6,000 deaths respectively per day. In August 2022, 26,000 deaths per day were estimated to be caused by COVID-19, followed by 13,000 deaths per day in February 2024. The timely identification and treatment of malignant diseases can potentially lower the mortality rate. Nonetheless, the use of manual methods for diagnosing these conditions requires a meticulous and comprehensive examination, making it susceptible to errors, burdensome for healthcare professionals, and timeintensive. Hence, the objective of this study is to design and deploy a novel deep-learning model for the detection of COVID-19 thoracic diseases. A Convolutional Neural Network (CNN) with less trainable parameters was implemented. This proposed model was deployed on a mobile device using Android Studio and Flutter for the detection of COVID-19 thoracic diseases. Specificity, accuracy, precision, sensitivity, f1-score, ROC, and PR curves were used to evaluate the model's performance. Moreover, the carbon footprint as well as how responsible the proposed model is according to Responsible AI rules was also assessed. The model's evaluation results show an overall accuracy of 93.27 %, specificity of 97.33 %, precision of 93.75 %, sensitivity of 94.42 %, F1-Score of 94.06 %, ROC rate of 98.0 %, PR rate of 96.8 %. The evaluation of the mobile application shows higher generalizability on the COVID-19 dataset. Also, the overall FACETS Score representing responsible AI is 83 % and the carbon footprint (representing the amount of carbon emission emitted into the environment during model training and testing) of 416.73 g with equivalent tree months of 0.45 was obtained. This application with better performance and a low carbon footprint was deployed using Android Studio and Flutter and can assist physicians in the diagnosis of COVID-19 and related diseases.</t>
  </si>
  <si>
    <t>Okyere-Gyamfi, Steve; Akoto-Adjepong, Vivian; Adu, Kwabena; Ayidzoe, Mighty Abra; Appiah, Obed; Appiahene, Peter; Mensah, Patrick Kwabena; Opoku, Michael; Bawah, Faiza Umar; Awarayi, Nicodemus Songose; Boateng, Samuel; Nimbe, Peter; Adekoya, Adebayo Felix</t>
  </si>
  <si>
    <t>Okyere-Gyamfi, S (corresponding author), Catholic Univ Sunyani, Dept Comp &amp; Informat Sci, POB 363, Sunyani, Ghana.</t>
  </si>
  <si>
    <t>steve.og@cug.edu.gh</t>
  </si>
  <si>
    <t>[Okyere-Gyamfi, Steve; Adekoya, Adebayo Felix] Catholic Univ Sunyani, Dept Comp &amp; Informat Sci, POB 363, Sunyani, Ghana; [Akoto-Adjepong, Vivian; Adu, Kwabena; Ayidzoe, Mighty Abra; Appiah, Obed; Appiahene, Peter; Mensah, Patrick Kwabena; Opoku, Michael; Bawah, Faiza Umar; Awarayi, Nicodemus Songose; Boateng, Samuel; Nimbe, Peter] Univ Energy &amp; Nat Resources, Dept Comp Sci &amp; Informat, POB 214, Sunyani, Ghana</t>
  </si>
  <si>
    <t>Deployment of mobile application using a novel CNN model for the detection of COVID-19 thoracic disease</t>
  </si>
  <si>
    <t>SCIENTIFIC AFRICAN</t>
  </si>
  <si>
    <t>Artificial intelligence; Deep learning; Convolutional neural network; Carbon footprint; Responsible AI; COVID-19; Deployment</t>
  </si>
  <si>
    <t>Adekoya, Adebayo/AAC-6085-2021; Adu, Kwabena/AAZ-8972-2020; Appiahene,PhD, Prof. Peter/AAX-2738-2021; Appiah, Obed/QIR-8461-2026; Boateng, Samuel/AAX-5135-2021; Ayidzoe, Mighty/AAV-4147-2020</t>
  </si>
  <si>
    <t>2468-2276</t>
  </si>
  <si>
    <t>SCI AFR</t>
  </si>
  <si>
    <t>Sci. Afr.</t>
  </si>
  <si>
    <t>e02432</t>
  </si>
  <si>
    <t>10.1016/j.sciaf.2024.e02432</t>
  </si>
  <si>
    <t>http://dx.doi.org/10.1016/j.sciaf.2024.e02432</t>
  </si>
  <si>
    <t>J8O4T</t>
  </si>
  <si>
    <t>WOS:001339599500001</t>
  </si>
  <si>
    <t>Sivaraman, J; Paramarthalingam, A</t>
  </si>
  <si>
    <t>Diabetic retinopathy (DR) is a common eye problem in people with diabetes. If it is not treated early, it get worse and may lead to blindness. To address these problems, this research proposes a Diabetic Retinopathy Lesions Segmentation Using Dual Swin U-Net Transformer with Transpose Decoder and Explainable AI (DRLD-DSUN-SS). Initially, a retinal image is collected from publicly available datasets such as Fine-Grained Annotated Diabetic Retinopathy (FGADR), Indian Diabetic Retinopathy Image Dataset (IDRiD) and Digital Retinal Images for Vessel Extraction (DRIVE), which provides high-resolution fundus images with lesion annotations. Images are preprocessed using Adaptive Fast Desensitized Kalman Filter (AFDKF), which includes resizing, noise removal and normalize pixel intensity value. Data augmentation used for (rotation, flipping, scaling) to improve generalization and normalize values. Outer Totality Cellular Automata (OTCA) automatically assigns pixel-level labels. After pre-processing, the dataset is separated into training, validation and test sets. Dual Swin U-Net Transformer (DS-TransUNet) acts as encoder to extract multi-scale contextual features via hierarchical attention, while the Transpose Decoder (TD) reconstructs high-resolution segmentation maps. Integrated DS-TransUNet-TD model segments diabetic retinopathy lesions such as microaneurysms, hemorrhages, hard and soft exudates and the optic disc. Grad-CAM-based XAI methods generate jet-mapped heatmaps, overlaid on fundus images with lesion masks, enhancing interpretability and aiding clinical diagnosis and decision-making. The proposed DRLD-DSUNSS model demonstrates a successful segmentation performance of 94.9%, representing an improvement of 4.9% 7.2% over existing state-of-the-art models DMSF-LSDR, ASHF-OCT-DRD and LAD-PEUNet-RS. The model's Dice coefficient and mean IoU were also shown to improve over these methods by 3.5 - 5.8%.</t>
  </si>
  <si>
    <t>Sivaraman, Jegan; Paramarthalingam, Arjun</t>
  </si>
  <si>
    <t>Sivaraman, J (corresponding author), Univ Coll Engn Villupuram, Dept Comp Sci &amp; Engn, Villupuram 605103, India.</t>
  </si>
  <si>
    <t>jeganucev@gmail.com; arjun_ucev@ymail.com</t>
  </si>
  <si>
    <t>[Sivaraman, Jegan; Paramarthalingam, Arjun] Univ Coll Engn Villupuram, Dept Comp Sci &amp; Engn, Villupuram 605103, India</t>
  </si>
  <si>
    <t>Diabetic retinopathy lesions segmentation using Dual Swin U-Net transformer with transpose decoder and explainable AI</t>
  </si>
  <si>
    <t>Diabetic retinopathy; Adaptive fast desensitized Kalman filter; Dual Swin U -Net transformer; Explainable AI; Grad-CAM; Outer totality cellular automata; Transpose decoder</t>
  </si>
  <si>
    <t>Paramarthalingam, Arjun/AAF-3282-2019</t>
  </si>
  <si>
    <t>JUL 19 2026</t>
  </si>
  <si>
    <t>347</t>
  </si>
  <si>
    <t>116231</t>
  </si>
  <si>
    <t>10.1016/j.knosys.2026.116231</t>
  </si>
  <si>
    <t>http://dx.doi.org/10.1016/j.knosys.2026.116231</t>
  </si>
  <si>
    <t>JB6IX</t>
  </si>
  <si>
    <t>WOS:001785469300001</t>
  </si>
  <si>
    <t>Yang, X; Liu, JY; Huang, XZ; Liang, H; Cui, P; He, SR; Zhang, H; Liao, WP; Zhang, GK; Huang, QQ; Ning, H; Luo, TY; Luo, YH; Li, W; Huang, JG</t>
  </si>
  <si>
    <t>Background: Low bone mineral density (LBMD), which includes osteopenia and osteoporosis, is associated with substantial health care costs. However, current diagnostic methods for LBMD are limited in terms of accuracy and accessibility. This study aims to develop an interpretable machine learning model for LBMD risk assessment and implement it as a web-based clinical decision support tool. Methods: Data from subjects who underwent dual-energy X-ray absorptiometry (DXA) at the People's Hospital of Guangxi Zhuang Autonomous Region were collected and randomly divided into a training set (70 %) and an internal validation set (30 %). An external validation set was sourced from the National Health and Nutrition Examination Survey (NHANES) database. Least absolute shrinkage and selection operator (LASSO) regression and multiple logistic regression were used for feature selection. Ten common machine learning models were conducted based on the selected features. Model performance was assessed using the area under the receiver operating characteristic curve (AUC), Matthews correlation coefficient (MCC), Brier score, and decision curve analysis (DCA). The decision mechanisms of the best-performing model were explained using SHapley Additive exPlanations (SHAP) and Local Interpretable Model-agnostic Explanations (LIME). The optimal model was deployed as a web application using Streamlit. Results: A total of 16,274 participants were included in this study. Age, body mass index (BMI), alkaline phosphatase, and total cholesterol were identified as key predictors of LBMD. The logistic regression (LR) model demonstrated superior prediction performance (internal validation set [AUC = 0.902, MCC = 0.684, Brier score = 0.123], external validation set [0.812, 0.358, 0.265]). DCA confirmed its clinical utility. Both SHAP and LIME showed consistent results in identifying predictive factors. The LR model was deployed as a web application to predict LBMD. Conclusion: Our interpretable machine learning model and web-based implementation provide a free and reliable tool for predicting LBMD, which represents a significant advancement in making LBMD screening more accessible and cost-effective.</t>
  </si>
  <si>
    <t>Yang, Xing; Liu, Jianyuan; Huang, Xiaozhi; Liang, Hao; Cui, Ping; He, Shiran; Zhang, Heng; Liao, Wenping; Zhang, Guangkun; Huang, Qianqian; Ning, Huan; Luo, Tingyan; Luo, Yinghua; Li, Wei; Huang, Jiegang</t>
  </si>
  <si>
    <t>Luo, YH; Li, W (corresponding author), 6 Taoyuan Rd, Nanning 530021, Peoples R China.; Huang, JG (corresponding author), 22 Shuangyong Rd, Nanning 530021, Peoples R China.</t>
  </si>
  <si>
    <t>liwei2186gxqyy@163.com; jieganghuang@gxmu.edu.cn; 26895185@qq.com</t>
  </si>
  <si>
    <t>Natural Science Foundation of Guangxi Zhuang Autonomous Region [2024GXNSFBA010104]; Science and Technology Major Project of Guangxi [GuikeAA22096018]</t>
  </si>
  <si>
    <t>Natural Science Foundation of Guangxi Zhuang Autonomous Region (National Natural Science Foundation of Guangxi Province); Science and Technology Major Project of Guangxi</t>
  </si>
  <si>
    <t>This work was supported by funds from Natural Science Foundation of Guangxi Zhuang Autonomous Region (grant no. 2024GXNSFBA010104) and the Science and Technology Major Project of Guangxi (grant no. GuikeAA22096018).</t>
  </si>
  <si>
    <t>[Yang, Xing] Peoples Hosp Guangxi Zhuang Autonomous Reg, Hlth Management Res Inst, Nanning, Peoples R China; [Yang, Xing; Huang, Xiaozhi; Luo, Yinghua; Li, Wei] Guangxi Acad Med Sci, Nanning, Peoples R China; [Liu, Jianyuan; He, Shiran; Zhang, Heng; Liao, Wenping; Huang, Qianqian; Ning, Huan; Luo, Tingyan; Huang, Jiegang] Guangxi Med Univ, Sch Publ Hlth, Nanning, Peoples R China; [Liu, Jianyuan; Liang, Hao; Cui, Ping; He, Shiran; Zhang, Heng; Liao, Wenping; Zhang, Guangkun; Huang, Qianqian; Ning, Huan; Luo, Tingyan; Huang, Jiegang] Guangxi Med Univ, Guangxi Key Lab AIDS Prevent &amp; Treatment, Nanning, Peoples R China; [Huang, Xiaozhi; Luo, Yinghua; Li, Wei] Peoples Hosp Guangxi Zhuang Autonomous Reg, Hlth Management Ctr, Nanning, Peoples R China; [Cui, Ping; Zhang, Guangkun] Guangxi Med Univ, Life Sci Inst, Nanning, Peoples R China</t>
  </si>
  <si>
    <t>Guangxi Medical University; Guangxi Medical University; Guangxi Medical University</t>
  </si>
  <si>
    <t>Machine learning-driven clinical decision support for low bone mineral density: A web-based prediction model with explainable AI integration</t>
  </si>
  <si>
    <t>BONE</t>
  </si>
  <si>
    <t>Low bone mineral density; Risk factors; Machine learning; Logistic regression; Prediction model; SHAP; LIME</t>
  </si>
  <si>
    <t>X-RAY ABSORPTIOMETRY; ALKALINE-PHOSPHATASE; OSTEOPOROSIS; REGRESSION; DIAGNOSIS; WOMEN; RISK</t>
  </si>
  <si>
    <t>Huang, Jiegang/Y-5218-2018; , luoyinghua/PMG-8705-2026</t>
  </si>
  <si>
    <t>8756-3282</t>
  </si>
  <si>
    <t>1873-2763</t>
  </si>
  <si>
    <t>Bone</t>
  </si>
  <si>
    <t>200</t>
  </si>
  <si>
    <t>117592</t>
  </si>
  <si>
    <t>10.1016/j.bone.2025.117592</t>
  </si>
  <si>
    <t>http://dx.doi.org/10.1016/j.bone.2025.117592</t>
  </si>
  <si>
    <t>5ZW1W</t>
  </si>
  <si>
    <t>40669588</t>
  </si>
  <si>
    <t>WOS:001548293800001</t>
  </si>
  <si>
    <t>Ul Karim, R; Mahdi, S; Samin, A; Zereen, AN; Abdullah-Al-Wadud, M; Uddin, J</t>
  </si>
  <si>
    <t>Early detection of stroke is critical for improving survival rates and recovery. This study presents an innovative approach to stroke diagnosis through the analysis of facial landmarks combining MediaPipe's facial landmark detection with advanced machine learning models' Random Forest (RF), Extreme Gradient Boosting (XGB), and Categorical Boosting (CB). A comprehensive dataset of stroke and non-stroke facial images are curated, with MediaPipe extracting 228 facial landmarks from key regions affected by stroke-related asymmetry. Explainable AI (XAI) techniques are applied to enhance model interpretability, allowing for a deeper understanding of the most significant facial regions contributing to stroke prediction. The machine learning models are individually optimized through hyperparameter tuning, and further we propose a Multimodal Voting Classifier (MVC). By aggregating the predictions through majority voting or weighted averaging, the system reduces the likelihood of incorrect classifications that might arise from a single model's limitations. This results in a more stable and generalized model with improved diagnostic accuracy, as demonstrated by its 94.75% accuracy, than any individual model's performance. Feature importance analysis, facilitated by XAI, identified key facial regions-such as the eyes, cheeks, and lips-as critical indicators of stroke, significantly improving the model's diagnostic precision. Additionally, t-SNE visualization is employed to provide insight into classifying the stroke and non-stroke cases, reinforcing the model's robustness. Real-time metrics show the model's efficiency and adaptability across diverse hardware, enabling practical clinical integration. The proposed system offers a cost-effective, non-invasive diagnostic tool that can be implemented in real-time, potentially improving accessibility to stroke diagnosis in remote and resource-limited areas.</t>
  </si>
  <si>
    <t>Ul Karim, Reshad; Mahdi, Sammam; Samin, Abrar; Zereen, Aniqua Nusrat; Abdullah-Al-Wadud, M.; Uddin, Jia</t>
  </si>
  <si>
    <t>Zereen, AN (corresponding author), Mahidol Univ, Fac Informat &amp; Commun Technol, Salaya 73170, Thailand.; Uddin, J (corresponding author), Woosong Univ, Endicott Coll, AI &amp; Big Data Dept, Daejeon 34606, South Korea.</t>
  </si>
  <si>
    <t>jia.uddin@wsu.ac.kr; aniqua.zer@mahidol.ac.th</t>
  </si>
  <si>
    <t>King Saud University, Saudi Arabia [RSPD2025R951]</t>
  </si>
  <si>
    <t>King Saud University, Saudi Arabia (King Saud University)</t>
  </si>
  <si>
    <t>This work was supported by the Researchers Supporting Project, King Saud University, Saudi Arabia, under Project RSPD2025R951.</t>
  </si>
  <si>
    <t>[Ul Karim, Reshad; Mahdi, Sammam] BRAC Univ, Sch Data &amp; Sci, Dhaka 1212, Bangladesh; [Zereen, Aniqua Nusrat] Mahidol Univ, Fac Informat &amp; Commun Technol, Salaya 73170, Thailand; [Abdullah-Al-Wadud, M.] King Saud Univ, Coll Comp &amp; Informat Sci, Dept Software Engn, Riyadh 11543, Saudi Arabia; [Uddin, Jia] Woosong Univ, Endicott Coll, AI &amp; Big Data Dept, Daejeon 34606, South Korea</t>
  </si>
  <si>
    <t>Bangladesh Rural Advancement Committee BRAC; BRAC University; Mahidol University; King Saud University; Woosong University</t>
  </si>
  <si>
    <t>Optimizing Stroke Recognition With MediaPipe and Machine Learning: An Explainable AI Approach for Facial Landmark Analysis</t>
  </si>
  <si>
    <t>Machine learning; Accuracy; Real-time systems; Paralysis; Feature extraction; Classification tree analysis; Training; Robustness; Predictive models; Facial features; Explainable AI; facial landmarks analysis; feature importance; machine learning; MediaPipe; stroke recognition</t>
  </si>
  <si>
    <t>Zereen, Aniqua Nusrat/JMA-9189-2023; Abdullah-Al-Wadud, M/AAI-5142-2020</t>
  </si>
  <si>
    <t>Karim, Reshad Ul/0009-0000-8291-6749; Mahdi, Sammam/0009-0005-7202-2692; Uddin, Jia/0000-0002-3403-4095; Zereen, Aniqua Nusrat/0000-0002-8655-8667; Abdullah-Al-Wadud, M/0000-0001-6767-3574; , Samin/0009-0004-7768-5201</t>
  </si>
  <si>
    <t>32636</t>
  </si>
  <si>
    <t>32660</t>
  </si>
  <si>
    <t>10.1109/ACCESS.2025.3550577</t>
  </si>
  <si>
    <t>http://dx.doi.org/10.1109/ACCESS.2025.3550577</t>
  </si>
  <si>
    <t>0WQ3Z</t>
  </si>
  <si>
    <t>WOS:001457781100020</t>
  </si>
  <si>
    <t>Taib, AG; Partridge, GJW; Phillips, P; Maxwell-Armstrong, C; Chen, X; Hofvind, SSH; James, JJ; Chen, Y</t>
  </si>
  <si>
    <t>Background: Incorrect artificial intelligence (AI) suggestions can lead to automation bias; however, their impact on medical image interpretation is underresearched. Purpose: To assess how incorrect AI suggestions influence the diagnostic accuracy, read times, and visual search behavior of readers interpreting screening mammograms. Materials and Methods: In this retrospective multireader paired study conducted between September 2024 and February 2025, 10 National Health Service Breast Screening Programme mammography readers evaluated a test set of two-view mammography screening examinations. The test set included true-positive (TP), false-negative (FN), false-positive (FP), and true-negative (TN) AI suggestions, verified by 3 years of follow-up or histopathologic analysis. In round 1, readers interpreted cases without AI. In round 2, conducted 6 weeks later, a commercially available AI tool was used as decision support, displaying prompts with a region score of 10 or higher (scale, 0-100). Eye-tracking cameras recorded readers' fixations- maintained gaze-over specific image areas. Wilcoxon signed rank tests were used for paired comparisons between rounds, and Kruskal-Wallis tests compared cases with different AI outcomes. Results: The test set (n = 60) included cases with 26 TP, 14 FN, 14 FP, and six TN AI suggestions. Median reader sensitivity was lower for cases with FN AI suggestions when reading cases with AI (39%) compared with unassisted reading (71%; P = .002). Reader specificity was higher for cases with FP AI suggestions (39% vs 21%; P = .004). A greater number of visible (TP and FP) AI prompts led to longer median read times, from 25 seconds (zero prompts) to 34 seconds (four or more prompts) (P = .001). Readers fixated less when reviewing cancer cases that AI failed to detect (FN suggestions) compared with unassisted reading (0.44 vs 0.47 fixations per second; P = .03). Shorter fixation durations were observed when readers interpreted cases with FP AI suggestions compared with unassisted reading (0.54 vs 0.56 second; P = .001). Conclusion: Incorrect AI suggestions influenced both reader accuracy and visual search behaviors during mammography interpretation. The greatest negative impact was observed with FN AI suggestions; therefore, AI thresholds should be calibrated accordingly. (c) RSNA, 2026</t>
  </si>
  <si>
    <t>Taib, Adnan G.; Partridge, George J. W.; Phillips, Peter; Maxwell-Armstrong, Charles; Chen, Xin; Hofvind, Solveig S. H.; James, Jonathan J.; Chen, Yan</t>
  </si>
  <si>
    <t>Chen, Y (corresponding author), Univ Nottingham, Nottingham City Hosp, Translat Med Sci, Sch Med, Clin Sci Bldg,City Hosp Campus,Hucknall Rd, Nottingham NG5 1PB, England.</t>
  </si>
  <si>
    <t>mszyc1@exmail.nottingham.ac.uk</t>
  </si>
  <si>
    <t>Lunit</t>
  </si>
  <si>
    <t>This study was funded by Lunit, which was not involved in the production of this research article.</t>
  </si>
  <si>
    <t>[Taib, Adnan G.; Partridge, George J. W.; Chen, Yan] Univ Nottingham, Nottingham City Hosp, Translat Med Sci, Sch Med, Clin Sci Bldg,City Hosp Campus,Hucknall Rd, Nottingham NG5 1PB, England; [Phillips, Peter] Univ Cumbria, Hlth &amp; Med Sci Grp, Lancaster, England; [Maxwell-Armstrong, Charles] Nottingham Univ Hosp NHS Trust, Dept Colorectal Surg, Nottingham, England; [Chen, Xin] Univ Nottingham, Sch Comp Sci, Nottingham, England; [Hofvind, Solveig S. H.] Norwegian Inst Publ Hlth, Dept Screening Programs, Canc Registry Norway, Oslo, Norway; [Hofvind, Solveig S. H.] Arctic Univ Norway, Fac Hlth Sci, Dept Hlth &amp; Care Sci, UiT, Tromso, Norway; [James, Jonathan J.] Nottingham Univ Hosp NHS Trust, Nottingham Breast Inst, Nottingham, England</t>
  </si>
  <si>
    <t>University of Nottingham; Nottingham University Hospital NHS Trust; Nottingham City Hospital; University of Cumbria; Nottingham University Hospital NHS Trust; University of Nottingham; Norwegian Institute of Public Health (NIPH); University of Oslo; UiT The Arctic University of Tromso; Nottingham University Hospital NHS Trust</t>
  </si>
  <si>
    <t>Automation Bias in Action: Eye Tracking of Humans Reading Screening Mammograms with and without AI Prompts</t>
  </si>
  <si>
    <t>320</t>
  </si>
  <si>
    <t>e252590</t>
  </si>
  <si>
    <t>10.1148/radiol.252590</t>
  </si>
  <si>
    <t>http://dx.doi.org/10.1148/radiol.252590</t>
  </si>
  <si>
    <t>MH1XK</t>
  </si>
  <si>
    <t>42446361</t>
  </si>
  <si>
    <t>WOS:001842151400001</t>
  </si>
  <si>
    <t>Xu, J; Wang, HX; Lu, M; Bi, H; Li, D; Xue, ZX; Zhang, Q</t>
  </si>
  <si>
    <t>Background and Objective: Although deep learning-based intelligent diagnosis of bladder cancer has achieved excellent performance, the reliability of neural network predicted results may not be evaluated. This study aims to explore a trustworthy AI-based tumor segmentation model, which not only outputs predicted results but also provides confidence information about the predictions. Methods: This paper proposes a novel model for bladder tumor segmentation with uncertainty estimation (BSU), which is not merely able to effectively segment the lesion area but also yields an uncertainty map showing the confidence information of the segmentation results. In contrast to previous uncertainty estimation, we utilize test time augmentation (TTA) and test time dropout (TTD) to estimate aleatoric uncertainty and epistemic uncertainty in both internal and external datasets to explore the effects of both uncertainties on different datasets. Results: Our BSU model achieved the Dice coefficients of 0.766 and 0.848 on internal and external cystoscopy datasets, respectively, along with accuracy of 0.950 and 0.954. Compared to the state-of-the-art methods, our BSU model demonstrated superior performance, which was further validated by the statistically significance of the t-tests at the conventional level. Clinical experiments verified the practical value of uncertainty estimation in real-world bladder cancer diagnostics. Conclusions: The proposed BSU model is able to visualize the confidence of the segmentation results, serving as a valuable addition for assisting urologists in enhancing both the precision and efficiency of bladder cancer diagnoses in clinical practice.</t>
  </si>
  <si>
    <t>Xu, Jie; Wang, Haixin; Lu, Min; Bi, Hai; Li, Deng; Xue, Zixuan; Zhang, Qi</t>
  </si>
  <si>
    <t>Zhang, Q (corresponding author), Univ Int Business &amp; Econ, Sch Informat Technol &amp; Management, Beijing 100029, Peoples R China.</t>
  </si>
  <si>
    <t>zhangqi@uibe.edu.cn</t>
  </si>
  <si>
    <t>Natural Science Foundation of China [62106047]; Key R&amp;D Plan of Shanxi Province, China [2023-YBSF-051]</t>
  </si>
  <si>
    <t>Natural Science Foundation of China (National Natural Science Foundation of China (NSFC)); Key R&amp;D Plan of Shanxi Province, China</t>
  </si>
  <si>
    <t>This work was supported by Natural Science Foundation of China (No. 62106047) , Key R&amp;D Plan of Shanxi Province, China (No. 2023-YBSF-051) .</t>
  </si>
  <si>
    <t>[Xu, Jie; Zhang, Qi] Univ Int Business &amp; Econ, Sch Informat Technol &amp; Management, Beijing 100029, Peoples R China; [Wang, Haixin] Chinese Peoples Liberat Army Gen Hosp, Med Ctr 1, Cadre Med Dept, Beijing 100853, Peoples R China; [Lu, Min] Peking Univ, Peking Univ Third Hosp, Sch Basic Med Sci, Dept Pathol,Hlth Sci Ctr, Beijing 100191, Peoples R China; [Li, Deng] Shanghai Jiao Tong Univ, Shanghai Gen Hosp, Sch Med, Dept Urol, Shanghai 201620, Peoples R China; [Xue, Zixuan] Peking Univ Third Hosp, Dept Urol, Beijing 100191, Peoples R China</t>
  </si>
  <si>
    <t>University of International Business &amp; Economics; Chinese People's Liberation Army General Hospital; Peking University; Shanghai Jiao Tong University; Peking University</t>
  </si>
  <si>
    <t>An accurate and trustworthy deep learning approach for bladder tumor segmentation with uncertainty estimation</t>
  </si>
  <si>
    <t>Medical information processing; Deep learning; Uncertainty estimation; Tumor segmentation</t>
  </si>
  <si>
    <t>CLASSIFICATION; CANCER</t>
  </si>
  <si>
    <t>Zhang, Qi/QWB-2423-2026</t>
  </si>
  <si>
    <t>Zhang, Qi/0000-0003-1912-0523; Xu, Jie/0009-0002-4583-1097</t>
  </si>
  <si>
    <t>108645</t>
  </si>
  <si>
    <t>10.1016/j.cmpb.2025.108645</t>
  </si>
  <si>
    <t>http://dx.doi.org/10.1016/j.cmpb.2025.108645</t>
  </si>
  <si>
    <t>Y8C7R</t>
  </si>
  <si>
    <t>39954510</t>
  </si>
  <si>
    <t>WOS:001434340500001</t>
  </si>
  <si>
    <t>Dwivedi, K; Rajpal, A; Rajpal, S; Agarwal, M; Kumar, V; Kumar, N</t>
  </si>
  <si>
    <t>Non-Small Cell Lung Cancer (NSCLC) exhibits intrinsic heterogeneity at the molecular level that aids in distinguishing between its two prominent subtypes - Lung Adenocarcinoma (LUAD) and Lung Squamous Cell Carcinoma (LUSC). This paper proposes a novel explainable AI (XAI)-based deep learning framework to discover a small set of NSCLC biomarkers. The proposed framework comprises three modules - an autoencoder to shrink the input feature space, a feed-forward neural network to classify NSCLC instances into LUAD and LUSC, and a biomarker discovery module that leverages the combined network comprising the autoencoder and the feed-forward neural network. In the biomarker discovery module, XAI methods uncovered a set of 52 relevant biomarkers for NSCLC subtype classification. To evaluate the classification performance of the discovered biomarkers, multiple machine-learning models are constructed using these biomarkers. Using 10-Fold cross-validation, Multilayer Perceptron achieved an accuracy of 95.74% (+/- 1.27) at 95% confidence interval. Further, using Drug-Gene Interaction Database, we observe that 14 of the discovered biomarkers are druggable. In addition, 28 biomarkers aid the prediction of the survivability of the patients. Out of 52 discovered biomarkers, we find that 45 biomarkers have been reported in previous studies on distinguishing between the two NSCLC subtypes. To the best of our knowledge, the remaining seven biomarkers have not yet been reported for NSCLC subtyping and could be further explored for their contribution to targeted therapy of lung cancer.</t>
  </si>
  <si>
    <t>Dwivedi, Kountay; Rajpal, Ankit; Rajpal, Sheetal; Agarwal, Manoj; Kumar, Virendra; Kumar, Naveen</t>
  </si>
  <si>
    <t>University Grants Commission, New Delhi, India [190510173202]; Institute of Eminence (IoE) , University of Delhi, India [IoE/2021/12/FRP]</t>
  </si>
  <si>
    <t>University Grants Commission, New Delhi, India (University Grants Commission, India); Institute of Eminence (IoE) , University of Delhi, India</t>
  </si>
  <si>
    <t>Kountay Dwivedi would like to thank University Grants Commission, New Delhi, India, for providing Junior Research Fellowship (Reference ID: 190510173202) . The team would also like to thank Prof. Shandar Ahmad and his team at the School of Computational and Integrative Sciences, Jawaharlal Nehru University, for his insightful suggestions, and Dr. Debasis Dash, Institute of Genomics and Integrative Biology, Council of Scientific and Industrial Research, New Delhi, India, for providing his eminent guidance. Also, Dr. Ankit Rajpal (PI) and Dr. Manoj Agarwal (Co-PI) would like to thank the Institute of Eminence (IoE) , University of Delhi, India to provide a minor research grant under the Faculty Research Programme (Ref. No./IoE/2021/12/FRP) .</t>
  </si>
  <si>
    <t>[Dwivedi, Kountay; Rajpal, Ankit; Kumar, Naveen] Univ Delhi, Dept Comp Sci, Delhi, India; [Rajpal, Sheetal] Univ Delhi, Dyal Singh Coll, Delhi, India; [Agarwal, Manoj] Univ Delhi, Hansraj Coll, Delhi, India; [Kumar, Virendra] All India Inst Med Sci, Dept Nucl Magnet Resonance Imaging, New Delhi, India</t>
  </si>
  <si>
    <t>University of Delhi; University of Delhi; University of Delhi; All India Institute of Medical Sciences (AIIMS) New Delhi</t>
  </si>
  <si>
    <t>An explainable AI-driven biomarker discovery framework for Non-Small Cell Lung Cancer classification</t>
  </si>
  <si>
    <t>COMPUTERS IN BIOLOGY AND MEDICINE</t>
  </si>
  <si>
    <t>Explainable AI; Non-Small Cell Lung Cancer; Biomarkers; Classification; Neural network; Machine learning</t>
  </si>
  <si>
    <t>GENE-EXPRESSION; MICROARRAY DATA; PROGNOSIS; DIAGNOSIS; SELECTION; SURVIVAL; ADENOCARCINOMA; PROGRESSION; PREDICTION; CARCINOMA</t>
  </si>
  <si>
    <t>Agarwal, Manoj/AAU-8614-2021; Rajpal, Ankit/T-2536-2019</t>
  </si>
  <si>
    <t>Rajpal, Ankit/0000-0002-0033-4380; RAJPAL, SHEETAL/0000-0003-1420-8809; Dwivedi, Kountay/0000-0001-5439-0567</t>
  </si>
  <si>
    <t>0010-4825</t>
  </si>
  <si>
    <t>1879-0534</t>
  </si>
  <si>
    <t>COMPUT BIOL MED</t>
  </si>
  <si>
    <t>Comput. Biol. Med.</t>
  </si>
  <si>
    <t>106544</t>
  </si>
  <si>
    <t>10.1016/j.compbiomed.2023.106544</t>
  </si>
  <si>
    <t>http://dx.doi.org/10.1016/j.compbiomed.2023.106544</t>
  </si>
  <si>
    <t>Biology; Computer Science, Interdisciplinary Applications; Engineering, Biomedical; Mathematical &amp; Computational Biology</t>
  </si>
  <si>
    <t>Life Sciences &amp; Biomedicine - Other Topics; Computer Science; Engineering; Mathematical &amp; Computational Biology</t>
  </si>
  <si>
    <t>8J8EZ</t>
  </si>
  <si>
    <t>36652866</t>
  </si>
  <si>
    <t>WOS:000922646000001</t>
  </si>
  <si>
    <t>Hernandez, M; Ramon-Julvez, U; Ferraz, F; Consortium</t>
  </si>
  <si>
    <t>The Alzheimer ' s Disease Prediction Of Longitudinal Evolution (TADPOLE) Challenge is the most comprehensive challenge to date with regard to the number of subjects, considered features, and challenge participants. The initial objective of TADPOLE was the identification of the most predictive data, features, and methods for the progression of subjects at risk of developing Alzheimer ' s. The challenge was successful in recognizing tree-based ensemble methods such as gradient boosting and random forest as the best methods for the prognosis of the clinical status in Alzheimer's disease (AD). However, the challenge outcome was limited to which combination of data processing and methods exhibits the best accuracy; hence, it is difficult to determine the contribution of the methods to the accuracy. The quantification of feature importance was globally approached by all the challenge participant methods. In addition, TADPOLE provided general answers that focused on improving performance while ignoring important issues such as interpretability. The purpose of this study is to intensively explore the models of the top three TADPOLE Challenge methods in a common framework for fair comparison. In addition, for these models, the most meaningful features for the prognosis of the clinical status of AD are studied and the contribution of each feature to the accuracy of the methods is quantified. We provide plausible explanations as to why the methods achieve such accuracy, and we investigate whether the methods use information coherent with clinical knowledge. Finally, we approach these issues through the analysis of SHapley Additive exPlanations (SHAP) values, a technique that has recently attracted increasing attention in the field of explainable artificial intelligence (XAI).</t>
  </si>
  <si>
    <t>Hernandez, Monica; Ramon-Julvez, Ubaldo; Ferraz, Francisco; ADNI Consortium</t>
  </si>
  <si>
    <t>Hernandez, M (corresponding author), Univ Zaragoza, Aragon Inst Engn Res, Zaragoza, Spain.</t>
  </si>
  <si>
    <t>mhg@unizar.es</t>
  </si>
  <si>
    <t>Ministerio de Ciencia e Innovacion [PID2019-104358RB-I00]; Gobierno de Aragon [T 64 20R]</t>
  </si>
  <si>
    <t>Ministerio de Ciencia e Innovacion (Instituto de Salud Carlos III, Spanish Government); Gobierno de Aragon (Gobierno de Aragon)</t>
  </si>
  <si>
    <t>MH, URJ Grant number: PID2019-104358RB-I00 Funder: Ministerio de Ciencia e Innovacion URL: https://www.ciencia.gob.es/site-web/;jsessionid= FE84CCA1BA4EAA27EABCADF4007CCF07 The funders had no role in study design, data collection and analysis, decision to publish, or preparation of the manuscript. 2) MHG Grant number: T 64 20R Funder: Gobierno de Aragon URL: https://www. aragon.es/ The funders had no role in study design, data collection and analysis, decision to publish, or preparation of the manuscript.</t>
  </si>
  <si>
    <t>[Hernandez, Monica; Ramon-Julvez, Ubaldo; Ferraz, Francisco] Univ Zaragoza, Aragon Inst Engn Res, Zaragoza, Spain</t>
  </si>
  <si>
    <t>University of Zaragoza</t>
  </si>
  <si>
    <t>Explainable AI toward understanding the performance of the top three TADPOLE Challenge methods in the forecast of Alzheimer's disease diagnosis</t>
  </si>
  <si>
    <t>DEMENTIA; ACCURACY; MRI</t>
  </si>
  <si>
    <t>/A-9855-2013</t>
  </si>
  <si>
    <t>Hernández Giménez, Mónica/0000-0003-1270-5852</t>
  </si>
  <si>
    <t>10.1371/journal.pone.0264695</t>
  </si>
  <si>
    <t>http://dx.doi.org/10.1371/journal.pone.0264695</t>
  </si>
  <si>
    <t>3M1MQ</t>
  </si>
  <si>
    <t>35522653</t>
  </si>
  <si>
    <t>WOS:000835222600037</t>
  </si>
  <si>
    <t>Moon, SW; Kim, J; Kim, YJ; Kim, SH; An, CS; Kim, KG; Jung, CK</t>
  </si>
  <si>
    <t>Recently, as the number of cancer patients has increased, much research is being conducted for efficient treatment, including the use of artificial intelligence in genitourinary pathology. Recent research has focused largely on the classification of renal cell carcinoma subtypes. Nonetheless, the broader categorization of renal tissue into non-neoplastic normal tissue, benign tumor and malignant tumor remains understudied. This gap in research can primarily be attributed to the limited availability of extensive datasets including benign tumor and normal tissue in addition to specific type of renal cell carcinoma, which hampers the ability to conduct comprehensive studies in these broader categories. This research introduces a model aimed at classifying renal tissue into three primary categories: normal (non-neoplastic), benign tumor, and malignant tumor. Utilizing digital pathology while slide images (WSIs) from nephrectomy specimens of 2,535 patients from multiple institutions, the model provides a foundational approach for distinguishing these key tissue types. The study utilized a dataset of 12,223 WSIs comprising 1,300 WSIs of normal tissue, 700 WSIs of benign tumors, and 10,223 WSIs of malignant tumors. Employing the ResNet-18 architecture and a Multiple Instance Learning approach, the model demonstrated high accuracy, with F1-scores of 0.934 (CI: 0.933-0.934) for normal tissue, 0.684 (CI: 0.682-0.687) for benign tumors, and 0.878 (CI: 0.877-0.879) for malignant tumors. The overall performance was also notable, achieving a weighted average F1-score of 0.879 (CI: 0.879-0.880) and a weighted average area under the receiver operating characteristic curve of 0.969 (CI: 0.969-0.969). This model significantly aids in the swift and accurate diagnosis of renal tissue, encompassing non-neoplastic normal tissue, benign tumor, and malignant tumor.</t>
  </si>
  <si>
    <t>Moon, Seung Wan; Kim, Jisup; Kim, Young Jae; Kim, Sung Hyun; An, Chi Sung; Kim, Kwang Gi; Jung, Chan Kwon</t>
  </si>
  <si>
    <t>Kim, KG (corresponding author), Gachon Univ, Coll Med, Gil Med Ctr, Dept Biomed Engn,Premed Course, 38-13 3beon Gil, Incheon 21565, South Korea.; Kim, KG (corresponding author), Gachon Univ, Gachon Adv Inst Hlth Sci &amp; Technol GAIHIST, Lee Gil Ya Canc &amp; Diabet Inst, Dept Hlth Sci &amp; Technol, 155 Gaetbeol Ro, Incheon, South Korea.; Jung, CK (corresponding author), Catholic Univ Korea, Dept Hosp Pathol, Coll Med, 222 Banpo Daero, Seoul 06591, South Korea.; Jung, CK (corresponding author), Catholic Univ Korea, Canc Res Inst, Coll Med, 222 Banpo Daero, Seoul 06591, South Korea.</t>
  </si>
  <si>
    <t>kimkg@gachon.ac.kr; ckjung@catholic.ac.kr</t>
  </si>
  <si>
    <t>Ministry of Trade, Industry and Energy [K_G012001187801]; Technology Innovation Program; Ministry of Trade, Industry and Energy (MOTIE, Korea) [GRRC-Gachon2023]; GRRC program of Gyeonggi Province [RS-2022-00166555]; National Research Foundation of Korea (NRF) - Ministry of Science and ICT (MSIT, Korea) [RS-2021-KH113146, RS-2023-00280710]; Korea Health Technology R&amp;D Project through the Korea Health Industry Development Institute (KHIDI) - Ministry of Health and Welfare, Republic of Korea; Ministry of SMEs and Startups (MSS, Korea)</t>
  </si>
  <si>
    <t>Ministry of Trade, Industry and Energy; Technology Innovation Program; Ministry of Trade, Industry and Energy (MOTIE, Korea); GRRC program of Gyeonggi Province; National Research Foundation of Korea (NRF) - Ministry of Science and ICT (MSIT, Korea); Korea Health Technology R&amp;D Project through the Korea Health Industry Development Institute (KHIDI) - Ministry of Health and Welfare, Republic of Korea; Ministry of SMEs and Startups (MSS, Korea)</t>
  </si>
  <si>
    <t>We thank the reviewers for their opinions and give credit to our co-authors for their hard work. This work was supported by the Technology Innovation Program (K_G012001187801, "Development of Diagnostic Medical Devices with Artificial Intelligence-Based Image Analysis Technology") funded by the Ministry of Trade, Industry and Energy (MOTIE, Korea). Additional support was provided by the GRRC program of Gyeonggi Province [GRRC-Gachon2023(B01), Development of AI-based Medical Imaging Technology], the National Research Foundation of Korea (NRF) grant funded by the Ministry of Science and ICT (MSIT, Korea) (Grant No. RS-2022-00166555), and a grant from the Korea Health Technology R&amp;D Project through the Korea Health Industry Development Institute (KHIDI), funded by the Ministry of Health and Welfare, Republic of Korea (Grant No. RS-2021-KH113146). This work was also supported by the Export-Oriented "2023 Small and Medium Business Technology Development (R&amp;D) Support Project" (Grant No: RS-2023-00280710) funded by the Ministry of SMEs and Startups (MSS, Korea).</t>
  </si>
  <si>
    <t>[Moon, Seung Wan; Kim, Young Jae; Kim, Kwang Gi] Gachon Univ, Coll Med, Gil Med Ctr, Dept Biomed Engn,Premed Course, 38-13 3beon Gil, Incheon 21565, South Korea; [Kim, Jisup] Gachon Univ, Dept Pathol, Gil Med Ctr, Coll Med, Dokjeom Ro 3beon Gil, Incheon 21565, South Korea; [Kim, Young Jae; Kim, Kwang Gi] Gachon Univ, Gachon Adv Inst Hlth Sci &amp; Technol GAIHIST, Lee Gil Ya Canc &amp; Diabet Inst, Dept Hlth Sci &amp; Technol, 155 Gaetbeol Ro, Incheon, South Korea; [Kim, Sung Hyun] Natl Informat Soc Agcy NIA, Dept AI Data, 53 Cheomdan Ro, Deagu, South Korea; [An, Chi Sung] Elect &amp; Telecommun Res Inst, Urban Datalab, Convergence Ctr, 218 Gajeong Ro, Deajeon, South Korea; [Jung, Chan Kwon] Catholic Univ Korea, Dept Hosp Pathol, Coll Med, 222 Banpo Daero, Seoul 06591, South Korea; [Jung, Chan Kwon] Catholic Univ Korea, Canc Res Inst, Coll Med, 222 Banpo Daero, Seoul 06591, South Korea</t>
  </si>
  <si>
    <t>Gachon University; Gachon University; Gachon University; Electronics &amp; Telecommunications Research Institute - Korea (ETRI); Catholic University of Korea; Catholic University of Korea</t>
  </si>
  <si>
    <t>Leveraging explainable AI and large-scale datasets for comprehensive classification of renal histologic types</t>
  </si>
  <si>
    <t>Renal tumor classification; Deep learning; Multiple instance learning; Digital pathology</t>
  </si>
  <si>
    <t>kim, kwanggi/D-6890-2012; Jung, Chan/HTG-3801-2023</t>
  </si>
  <si>
    <t>JAN 11 2025</t>
  </si>
  <si>
    <t>1745</t>
  </si>
  <si>
    <t>10.1038/s41598-025-85857-8</t>
  </si>
  <si>
    <t>http://dx.doi.org/10.1038/s41598-025-85857-8</t>
  </si>
  <si>
    <t>S1X5N</t>
  </si>
  <si>
    <t>39799164</t>
  </si>
  <si>
    <t>WOS:001396240600019</t>
  </si>
  <si>
    <t>Muhammad, J; Ghergherehchi, M; Ali, S; Song, HS; Rahim, N</t>
  </si>
  <si>
    <t>Parkinson's disease (PD) is a neurodegenerative disorder characterized by motor and non-motor symptoms, including tremor, rigidity, and postural instability. Machine learning (ML) models have shown promise for the diagnosis of PD; however, many existing approaches do not explicitly address fairness and robustness. As a result, these models can lead to biased outcomes across demographic groups and vulnerability to adversarial attacks. In this study, we used the Parkinson's Progression Markers Initiative (PPMI) cohort, which includes clinical and demographic information from 1,084 participants spanning diverse age, sex, and racial groups. Our study addresses the key challenge of developing robust and equitable ML models to diagnose the progression of PD. We evaluated the performance of two fairness-optimized classifiers, namely, Random Forest (RF) and Decision Tree (DT). To evaluate model vulnerability, we applied adversarial techniques, specifically label leakage and data poisoning attacks, which simulate intentional or erroneous data alterations that can amplify biases and degrade accuracy. These adversarial manipulations substantially degraded model performance; specifically, DT accuracy declined by more than 10% between sensitive groups. The accuracy of the RF model decreased by 20%. Moreover, under attack, fairness metrics such as Statistical Parity Difference (SPD), which looks at differences in the chances of getting a positive prediction across demographic groups, and Equal Opportunity Difference (EOD) for differences in true positive rates between groups, both showed a decline. This pattern suggests that adversarial perturbations increased bias and widened performance disparities across demographic groups. Our results demonstrated that adversarial attacks increased the incidence of false positives and false negatives, thereby lowering the accuracy and fairness of the PD diagnostic predictions. These findings underscore the urgent need for robust and fairness-aware defenses in medical AI to mitigate racial, age, and gender disparities and ensure a reliable clinical decision-making process.</t>
  </si>
  <si>
    <t>Muhammad, Junaid; Ghergherehchi, Mitra; Ali, Shiraz; Seung Song, Ho; Rahim, Nasir</t>
  </si>
  <si>
    <t>Ghergherehchi, M (corresponding author), Sungkyunkwan Univ, Dept Elect &amp; Comp Engn, Suwon, South Korea.; Song, HS (corresponding author), Catholic Kwandong Univ, Dept Elect Engn, Gangneung Si 25601, Gangwon Do, South Korea.</t>
  </si>
  <si>
    <t>mitragh@skku.edu; hssong@cku.ac.kr</t>
  </si>
  <si>
    <t>the Ministry of Education (MOE) and Gangwon State (G.S.) [2025-RISE-10-00.1]</t>
  </si>
  <si>
    <t>the Ministry of Education (MOE) and Gangwon State (G.S.)</t>
  </si>
  <si>
    <t>This research was supported by the Regional Innovation System &amp; Education (RISE) program through the Gangwon RISE Center, funded by the Ministry of Education (MOE) and Gangwon State (G.S.), Republic of Korea (Grant No. 2025-RISE-10-001 to H.S.S.).</t>
  </si>
  <si>
    <t>[Muhammad, Junaid; Ghergherehchi, Mitra; Ali, Shiraz] Sungkyunkwan Univ, Dept Elect &amp; Comp Engn, Suwon, South Korea; [Seung Song, Ho] Catholic Kwandong Univ, Dept Elect Engn, Gangneung Si 25601, Gangwon Do, South Korea; [Rahim, Nasir] Gachon Univ, Sch Comp, Seongnam, South Korea</t>
  </si>
  <si>
    <t>Sungkyunkwan University (SKKU); Catholic Kwandong University; Gachon University</t>
  </si>
  <si>
    <t>Trustworthy AI for medical decisions: Adversarially robust and fair machine learning prediction for Parkinson's disease</t>
  </si>
  <si>
    <t>GENDER-DIFFERENCES; FEATURE-SELECTION; BIAS</t>
  </si>
  <si>
    <t>Rahim, Nasir/JWP-7813-2024</t>
  </si>
  <si>
    <t>Ali, Samiya/0009-0001-6626-2711; Rahim, Nasir/0000-0001-6274-2593</t>
  </si>
  <si>
    <t>e0342062</t>
  </si>
  <si>
    <t>10.1371/journal.pone.0342062</t>
  </si>
  <si>
    <t>http://dx.doi.org/10.1371/journal.pone.0342062</t>
  </si>
  <si>
    <t>EC0QZ</t>
  </si>
  <si>
    <t>41729985</t>
  </si>
  <si>
    <t>WOS:001697514400001</t>
  </si>
  <si>
    <t>Munia, AA; Abdar, M; Hasan, M; Jalali, MS; Banerjee, B; Khosravi, A; Hossain, I; Fu, HZ; Frangi, AF</t>
  </si>
  <si>
    <t>Small inaccuracies in the system components or artificial intelligence (AI) models for medical imaging could have significant consequences leading to life hazards. To mitigate those risks, one must consider the precision of the image analysis outcomes (e.g., image segmentation), along with the confidence in the underlying model predictions. U-shaped architectures, based on the convolutional encoder-decoder, have established themselves as a critical component of many AI-enabled diagnostic imaging systems. However, most of the existing methods focus on producing accurate diagnostic predictions without assessing the uncertainty associated with such predictions or the introduced techniques. Uncertainty maps highlight areas in the predicted segmented results, where the model is uncertain or less confident. This could lead radiologists to pay more attention to ensuring patient safety and pave the way for trustworthy AI applications. In this paper, we therefore propose the Attention-guided Hierarchical Fusion U-Net (named AHF-U-Net) for medical image segmentation. We then introduce the uncertainty-aware version of it called UA-AHF-U-Net which provides the uncertainty map alongside the predicted segmentation map. The network is designed by integrating the Encoder Attention Fusion module (EAF) and the Decoder Attention Fusion module (DAF) on the encoder and decoder sides of the U-Net architecture, respectively. The EAF and DAF modules utilize spatial and channel attention to capture relevant spatial information and indicate which channels are appropriate for a given image. Furthermore, an enhanced skip connection is introduced and named the Hierarchical Attention-Enhanced (HAE) skip connection. We evaluated the efficiency of our model by comparing it with eleven well-established methods for three popular medical image segmentation datasets consisting of coarse-grained images with unclear boundaries. Based on the quantitative and qualitative results, the proposed method ranks first in two datasets and second in a third. The code can be accessed at: https://github.com/AfsanaAhmedMunia/AHFFusion-U-Net.</t>
  </si>
  <si>
    <t>Munia, Afsana Ahmed; Abdar, Moloud; Hasan, Mehedi; Jalali, Mohammad S.; Banerjee, Biplab; Khosravi, Abbas; Hossain, Ibrahim; Fu, Huazhu; Frangi, Alejandro F.</t>
  </si>
  <si>
    <t>Abdar, M (corresponding author), Deakin Univ, Inst Intelligent Syst Res &amp; Innovat IISRI, Waurn Ponds, Vic 3216, Australia.</t>
  </si>
  <si>
    <t>abbas.khosravi@deakin.edu.au; MSJALALI@mgh.harvard.edu; mmhasan@deakin.edu.au; alejandro.frangi@manchester.ac.uk; amunia@deakin.edu.au; i.hossain@deakin.edu.au; m.abdar1987@gmail.com; bbanerjee@iitb.ac.in; hzfu@ieee.org</t>
  </si>
  <si>
    <t>[Munia, Afsana Ahmed; Abdar, Moloud; Hasan, Mehedi; Khosravi, Abbas; Hossain, Ibrahim] Deakin Univ, Inst Intelligent Syst Res &amp; Innovat IISRI, Waurn Ponds, Vic 3216, Australia; [Jalali, Mohammad S.] Harvard Univ, Harvard Med Sch, MGH Inst Technol Assessment, Boston, MA 02114 USA; [Banerjee, Biplab] Indian Inst Technol, CSRE Dept, Mumbai 400076, Maharashtra, India; [Fu, Huazhu] Agcy Technol &amp; Res ASTAR, Inst High Performance Comp IHPC, Singapore, Singapore; [Frangi, Alejandro F.] Univ Manchester, Christabel Pankhurst Inst, Sch Engn &amp; Hlth Sci, Manchester M13 9PL, England</t>
  </si>
  <si>
    <t>Deakin University; Harvard University; Harvard Medical School; Harvard University Medical Affiliates; Massachusetts General Hospital; Indian Institute of Technology System (IIT System); Indian Institute of Technology (IIT) - Bombay; Agency for Science Technology &amp; Research (A*STAR); A*STAR - Institute of High Performance Computing (IHPC); University of Manchester</t>
  </si>
  <si>
    <t>Attention-guided hierarchical fusion U-Net for uncertainty-driven medical image segmentation</t>
  </si>
  <si>
    <t>Medical image segmentation; Uncertainty quantification; Feature fusion; Deep learning</t>
  </si>
  <si>
    <t>Frangi, Alejandro/C-6500-2008; Khosravi, Abbas/AAQ-8102-2021; Abdar, Moloud/B-8451-2017; Jalali, Mohammad/Q-2188-2019; Munia, Afsana Ahmed/NGR-4225-2025; Fu, Huazhu/A-1411-2014</t>
  </si>
  <si>
    <t>Frangi, Alejandro/0000-0002-2675-528X; Abdar, Moloud/0000-0002-3059-6357; Munia, Afsana Ahmed/0000-0002-1587-5059; Fu, Huazhu/0000-0002-9702-5524</t>
  </si>
  <si>
    <t>102719</t>
  </si>
  <si>
    <t>10.1016/j.inffus.2024.102719</t>
  </si>
  <si>
    <t>http://dx.doi.org/10.1016/j.inffus.2024.102719</t>
  </si>
  <si>
    <t>K4G2X</t>
  </si>
  <si>
    <t>WOS:001343468500001</t>
  </si>
  <si>
    <t>Mehta, RS; Aljawai, YM; Kebriaei, P; Cao, K; Zou, J; Carmazzi, Y; Rondon, G; Oran, B; Popat, U; Rezvani, K; Champlin, RE; Shpall, EJ</t>
  </si>
  <si>
    <t>We developed a novel, explainable artificial intelligence (AI)-driven prognostic model using a contemporary single-centre cohort of 668 patients undergoing haploidentical hematopoietic cell transplantation (HCT) with post-transplantation cyclophosphamide (PTCy) prophylaxis (2015-2024) to define the hierarchy of prognostic factors for overall survival. Employing a gradient boosting machine with explainable AI techniques, including partial dependence plots and surrogate decision trees, revealed a non-linear, U-shaped effect of donor age, with optimal outcomes for donors in their late 20 s to early 40 s. Recipient age was the dominant risk factor, modulated by donor age and HLA factors. HLA-DPB1 non-permissive mismatches were the most significant HLA factor (9.6% 3-year OS reduction), followed by HLA-B leader and HLA-DQB1 mismatches, with no independent effect of HLA-DRB1. The model accurately stratified patients into distinct risk quartiles, with 3-year survival ranging from 75% in the lowest-risk to below 20% in the highest-risk group. Critically, simulation analyses demonstrated that optimal donor selection (age 30, no key HLA mismatches) could shift a patient's risk profile by approximately one full quartile, significantly improving survival (e.g., Q3 patients from 20% to 50% 3-year OS). This study provides a practical, data-driven framework for personalized donor selection in the modern HCT era. Future multi-center validation studies are warranted.</t>
  </si>
  <si>
    <t>Mehta, Rohtesh S.; Aljawai, Yosra M.; Kebriaei, Partow; Cao, Kai; Zou, Jun; Carmazzi, Yudith; Rondon, Gabriela; Oran, Betul; Popat, Uday; Rezvani, Katayoun; Champlin, Richard E.; Shpall, Elizabeth J.</t>
  </si>
  <si>
    <t>Mehta, RS (corresponding author), Univ Texas MD Anderson Canc Ctr, Dept Stem Cell Transplantat &amp; Cellular Therapy, Houston, TX 77030 USA.</t>
  </si>
  <si>
    <t>rmehta1@mdanderson.org</t>
  </si>
  <si>
    <t>[Mehta, Rohtesh S.; Aljawai, Yosra M.; Kebriaei, Partow; Cao, Kai; Zou, Jun; Carmazzi, Yudith; Rondon, Gabriela; Oran, Betul; Popat, Uday; Rezvani, Katayoun; Champlin, Richard E.; Shpall, Elizabeth J.] Univ Texas MD Anderson Canc Ctr, Dept Stem Cell Transplantat &amp; Cellular Therapy, Houston, TX 77030 USA</t>
  </si>
  <si>
    <t>University of Texas System; UTMD Anderson Cancer Center</t>
  </si>
  <si>
    <t>Development and explainable AI-driven characterization of a prognostic model for haploidentical transplantation outcomes</t>
  </si>
  <si>
    <t>HEMATOPOIETIC-CELL TRANSPLANTATION; DONOR AGE; HLA FACTORS; IMMATURITY; SURVIVAL; HLA-DPB1; IMPACT; HCT</t>
  </si>
  <si>
    <t>10.1038/s41746-026-02377-z</t>
  </si>
  <si>
    <t>http://dx.doi.org/10.1038/s41746-026-02377-z</t>
  </si>
  <si>
    <t>GI0OI</t>
  </si>
  <si>
    <t>41772139</t>
  </si>
  <si>
    <t>WOS:001736896800003</t>
  </si>
  <si>
    <t>Iurada, L; Bucci, S; Hospedales, TM; Tommasi, T</t>
  </si>
  <si>
    <t>Deep learning-based recognition systems are deployed at scale for real-world applications that inevitably involve our social life. Although of great support when making complex decisions, they might capture spurious data correlations and leverage sensitive attributes (e.g., age, gender, ethnicity). How to factor out this information while maintaining high performance is a problem with several open questions, many of which are shared with those of the domain adaptation and generalization literature which aims at avoiding visual domain biases. In this work, we propose an in-depth study of the relationship between cross-domain learning (CD) and model fairness, by experimentally evaluating 14 CD approaches together with 3 state-of-the-art fairness algorithms on 5 datasets of faces and medical images spanning several demographic groups. We consider attribute classification and landmark detection tasks: the latter is introduced here for the first time in the fairness literature, showing how keypoint localization may be affected by sensitive attribute biases. To assess the analyzed methods, we adopt widely used evaluation metrics while also presenting their limits with a detailed review. Moreover, we propose a new Harmonic Fairness (HF) score that can ease unfairness mitigation model comparisons. Overall, our work shows how CD approaches can outperform state-of-the-art fairness algorithms and defines a framework with dataset and metrics as well as a code suite to pave the way for a more systematic analysis of fairness problems in computer vision (Code available at: https://github.com/iurada/fairness_crossdomain).</t>
  </si>
  <si>
    <t>Iurada, Leonardo; Bucci, Silvia; Hospedales, Timothy M.; Tommasi, Tatiana</t>
  </si>
  <si>
    <t>Iurada, L (corresponding author), Politecn Torino, Dipartimento Automat &amp; Informat DAUIN, I-10129 Turin, Italy.</t>
  </si>
  <si>
    <t>leonardo.iurada@polito.it</t>
  </si>
  <si>
    <t>Consorzio Interuniversitario CINECA through the Project IsC98_FA-DA under the Italian SuperComputing Resource Allocation-ISCRA Initiative</t>
  </si>
  <si>
    <t>[Iurada, Leonardo; Bucci, Silvia; Tommasi, Tatiana] Politecn Torino, Dipartimento Automat &amp; Informat DAUIN, I-10129 Turin, Italy; [Hospedales, Timothy M.] Univ Edinburgh, Sch Informat, Edinburgh EH8 9YL, Scotland</t>
  </si>
  <si>
    <t>Polytechnic University of Turin; University of Edinburgh</t>
  </si>
  <si>
    <t>Fairness Meets Cross-Domain Learning: A Benchmark of Models and Metrics</t>
  </si>
  <si>
    <t>Domain adaptation; domain generalization; fair and trustworthy artificial intelligence; face recognition; landmark detection</t>
  </si>
  <si>
    <t>Bucci, Silvia/0000-0001-6318-7288; Iurada, Leonardo/0009-0009-5637-9850; Tommasi, Tatiana/0000-0001-8229-7159</t>
  </si>
  <si>
    <t>47854</t>
  </si>
  <si>
    <t>47867</t>
  </si>
  <si>
    <t>10.1109/ACCESS.2024.3383841</t>
  </si>
  <si>
    <t>http://dx.doi.org/10.1109/ACCESS.2024.3383841</t>
  </si>
  <si>
    <t>NA6H0</t>
  </si>
  <si>
    <t>WOS:001197751400001</t>
  </si>
  <si>
    <t>Bakas, S; Vollmuth, P; Galldiks, N; Booth, TC; Aerts, HJWL; Bi, WL; Wiestler, B; Tiwari, P; Pati, S; Baid, U; Calabrese, E; Lohmann, P; Nowosielski, M; Jain, R; Colen, R; Ismail, M; Rasool, G; Lupo, JM; Akbari, H; Tonn, JC; Macdonald, D; Vogelbaum, M; Chang, SM; Davatzikos, C; Villanueva-Meyer, JE; Huang, RY</t>
  </si>
  <si>
    <t>Technological advancements have enabled the extended investigation, development, and application of computational approaches in various domains, including health care. A burgeoning number of diagnostic, predictive, prognostic, and monitoring biomarkers are continuously being explored to improve clinical decision making in neuro-oncology. These advancements describe the increasing incorporation of artificial intelligence (AI) algorithms, including the use of radiomics. However, the broad applicability and clinical translation of AI are restricted by concerns about generalisability, reproducibility, scalability, and validation. This Policy Review intends to serve as the leading resource of recommendations for the standardisation and good clinical practice of AI approaches in health care, particularly in neuro-oncology. To this end, we investigate the repeatability, reproducibility, and stability of AI in response assessment in neuro-oncology in studies on factors affecting such computational approaches, and in publicly available opensource data and computational software tools facilitating these goals. The pathway for standardisation and validation of these approaches is discussed with the view of trustworthy AI enabling the next generation of clinical trials. We conclude with an outlook on the future of AI-enabled neuro-oncology.</t>
  </si>
  <si>
    <t>Bakas, Spyridon; Vollmuth, Philipp; Galldiks, Norbert; Booth, Thomas C.; Aerts, Hugo J. W. L.; Bi, Wenya Linda; Wiestler, Benedikt; Tiwari, Pallavi; Pati, Sarthak; Baid, Ujjwal; Calabrese, Evan; Lohmann, Philipp; Nowosielski, Martha; Jain, Rajan; Colen, Rivka; Ismail, Marwa; Rasool, Ghulam; Lupo, Janine M.; Akbari, Hamed; Tonn, Joerg C.; Macdonald, David; Vogelbaum, Michael; Chang, Susan M.; Davatzikos, Christos; Villanueva-Meyer, Javier E.; Huang, Raymond Y.</t>
  </si>
  <si>
    <t>Bakas, S (corresponding author), Indiana Univ, Dept Pathol &amp; Lab Med, Div Computat Pathol, Indianapolis, IN 46202 USA.</t>
  </si>
  <si>
    <t>spbakas@iu.edu</t>
  </si>
  <si>
    <t>NCI [R35CA22052]; NCI: CCSG [U54CA27451, NINDS: R01NS042645, NCATS: UL1TR001878]; HN SPORE - Veterans Affairs (VA) Merit Award [1I01BX005842-01A2]; DOD/PRCRP Career Development Award; Dana Foundation David Mahoney Neuroimaging Program [W81XWH-18-1-0404]; V Foundation Translational Research Award; Johnson &amp; Johnson WiSTEM2D Award; Ohio Third Frontier Technology Validation Fund; Musella Foundation; European Union: European Research Council [866504]; Deutsche Forschungsgemeinschaft; Medical Research Council [428090865/SPP 2177]; Wellcome/Engineering and Physical Sciences Research Council Centre for Medical Engineering [MR/W021684/1]; Department of Radiology, Perelman School of Medicine, at the University of Pennsylvania [WT 203,148/Z/16/Z]</t>
  </si>
  <si>
    <t>NCI (United States Department of Health &amp; Human Services, National Institutes of Health (NIH) - USA, NIH National Cancer Institute (NCI)); NCI: CCSG (United States Department of Health &amp; Human Services, National Institutes of Health (NIH) - USA, NIH National Cancer Institute (NCI)); HN SPORE - Veterans Affairs (VA) Merit Award; DOD/PRCRP Career Development Award; Dana Foundation David Mahoney Neuroimaging Program; V Foundation Translational Research Award; Johnson &amp; Johnson WiSTEM2D Award; Ohio Third Frontier Technology Validation Fund; Musella Foundation (ACEV Foundation); European Union: European Research Council (European Union (EU), European Research Council (ERC)); Deutsche Forschungsgemeinschaft (German Research Foundation (DFG)); Medical Research Council (UK Research &amp; Innovation (UKRI), Medical Research Council UK (MRC)); Wellcome/Engineering and Physical Sciences Research Council Centre for Medical Engineering (UK Research &amp; Innovation (UKRI), Engineering &amp; Physical Sciences Research Council (EPSRC), Wellcome Trust); Department of Radiology, Perelman School of Medicine, at the University of Pennsylvania</t>
  </si>
  <si>
    <t>U01CA242871 (to SB) , NCI/ITCR: U24CA189523 (to CD) , NCI/ITCR: U01CA248226 (to PT) , NCI: R01CA264017 (to PT) , NCI: U01CA248226 (to PT) , NCI: P01CA118816 (to JML) , NCI: U24CA194354 (to HJWLA) , NCI: U01CA190234 (to HJWLA) , NCI: U01CA209414 (to HJWLA) , NCI: R35CA22052 (to HJWLA) , NCI: U54CA27451 (to HJWLA) , NINDS: R01NS042645 (to CD) , NCATS: UL1TR001878 (to SB and CD) , NCI: CCSG and HN SPORE (to RC) . It was also partly funded by the Veterans Affairs (VA) Merit Award: 1I01BX005842-01A2 (to PT) , the DOD/PRCRP Career Development Award: W81XWH-18-1-0404 (to PT) , the Dana Foundation David Mahoney Neuroimaging Program (to PT) , the V Foundation Translational Research Award (to PT) , the Johnson &amp; Johnson WiSTEM2D Award (to PT) , the Ohio Third Frontier Technology Validation Fund (to PT) , the Musella Foundation Grant (to MI and PT) , the R&amp;D Pilot Award, Departments of Radiology and Medical Physics, University of Wisconsin-Madison (to MI and PT) , the European Union: European Research Council (866504; to HJWLA) , the Deutsche Forschungsgemeinschaft (project number 428090865/SPP 2177; to PL and NG) , the Medical Research Council: MR/W021684/1 (to TCB) , and the Wellcome/Engineering and Physical Sciences Research Council Centre for Medical Engineering (WT 203,148/Z/16/Z; to TCB) . The content of this publication is solely the responsibility of the authors and does not represent the official views of the NIH or of any other funding body. SB, SP, UB, and HA conducted part of the work reported in this manuscript at their current affiliation, as well as while they were affiliated with the Center for Artificial Intelligence and Data Science for Integrated Diagnostics (AI2D) , the Center for Biomedical Image Computing and Analytics (CBICA) , and the Department of Radiology, Perelman School of Medicine, at the University of Pennsylvania.r U01CA242871 (to SB) , NCI/ITCR: U24CA189523 (to CD) , NCI/ITCR: U01CA248226 (to PT) , NCI: R01CA264017 (to PT) , NCI: U01CA248226 (to PT) , NCI: P01CA118816 (to JML) , NCI: U24CA194354 (to HJWLA) , NCI: U01CA190234 (to HJWLA) , NCI: U01CA209414 (to HJWLA) , NCI: R35CA22052 (to HJWLA) , NCI: U54CA27451 (to HJWLA) , NINDS: R01NS042645 (to CD) , NCATS: UL1TR001878 (to SB and CD) , NCI: CCSG and HN SPORE (to RC) . It was also partly funded by the Veterans Affairs (VA) Merit Award: 1I01BX005842-01A2 (to PT) , the DOD/PRCRP Career Development Award: W81XWH-18-1-0404 (to PT) , the Dana Foundation David Mahoney Neuroimaging Program (to PT) , the V Foundation Translational Research Award (to PT) , the Johnson &amp; Johnson WiSTEM2D Award (to PT) , the Ohio Third Frontier Technology Validation Fund (to PT) , the Musella Foundation Grant (to MI and PT) , the R&amp;D Pilot Award, Departments of Radiology and Medical Physics, University of Wisconsin-Madison (to MI and PT) , the European Union: European Research Council (866504; to HJWLA) , the Deutsche Forschungsgemeinschaft (project number 428090865/SPP 2177; to PL and NG) , the Medical Research Council: MR/W021684/1 (to TCB) , and the Wellcome/Engineering and Physical Sciences Research Council Centre for Medical Engineering (WT 203,148/Z/16/Z; to TCB) . The content of this publication is solely the responsibility of the authors and does not represent the official views of the NIH or of any other funding body. SB, SP, UB, and HA conducted part of the work reported in this manuscript at their current affiliation, as well as while they were affiliated with the Center for Artificial Intelligence and Data Science for Integrated Diagnostics (AI2D) , the Center for Biomedical Image Computing and Analytics (CBICA) , and the Department of Radiology, Perelman School of Medicine, at the University of Pennsylvania.</t>
  </si>
  <si>
    <t>[Bakas, Spyridon; Pati, Sarthak; Baid, Ujjwal] Indiana Univ, Dept Pathol &amp; Lab Med, Div Computat Pathol, Indianapolis, IN 46202 USA; [Bakas, Spyridon; Baid, Ujjwal] Indiana Univ, Sci Sch Med, Dept Radiol &amp; Imaging Sci, Indianapolis, IN USA; [Bakas, Spyridon] Indiana Univ Sch Med, Dept Neurol Surg, Indianapolis, IN USA; [Bakas, Spyridon] Indiana Univ, Sch Med, Dept Biostat &amp; Hlth Data Sci, Indianapolis, IN USA; [Bakas, Spyridon; Baid, Ujjwal] Indiana Univ, Melvin &amp; Bren Simon Comprehens Canc Ctr, Indianapolis, IN USA; [Bakas, Spyridon] Indiana Univ, Luddy Sch Informat Comp &amp; Engn, Comp Sci Dept, Bloomington, IN USA; [Vollmuth, Philipp] Bonn Univ Hosp, Div Computat Radiol &amp; Clin AI, Div Computat Radiol &amp; Clin AI, Bonn, Germany; [Vollmuth, Philipp] Univ Bonn, Fac Med, Bonn, Germany; [Vollmuth, Philipp] German Canc Res Ctr, Div Med Image Comp, Heidelberg, Germany; [Galldiks, Norbert; Lohmann, Philipp] Fac Med, Dept Neurol, Cologne, Germany; [Galldiks, Norbert; Lohmann, Philipp] Univ Hosp Cologne, Cologne, Germany; [Galldiks, Norbert] Res Ctr Juelich, Inst Neurosci &amp; Med, Julich, Germany; [Booth, Thomas C.] Kings Coll London, Sch Biomed Engn &amp; Imaging Sci, London, England; [Booth, Thomas C.] Kings Coll Hosp NHS Fdn Trust, Dept Neuroradiol, London, England; [Aerts, Hugo J. W. L.; Huang, Raymond Y.] Harvard Med Sch, Brigham &amp; Womens Hosp, Dept Radiol, Boston, MA USA; [Bi, Wenya Linda] Harvard Med Sch, Brigham &amp; Womens Hosp, Dept Neurosurg, Boston, MA USA; [Aerts, Hugo J. W. L.] Harvard Med Sch, Artificial Intelligence Med Program, Mass Gen Brigham, Boston, MA USA; [Aerts, Hugo J. W. L.] Maastricht Univ, Radiol &amp; Nucl Med, Maastricht, Netherlands; [Wiestler, Benedikt] Tech Univ Munich, Univ Hosp, Dept Neuroradiol, Munich, Germany; [Tiwari, Pallavi; Ismail, Marwa] Univ Wisconsin, Sch Med &amp; Publ Hlth, Dept Radiol, Madison, WI USA; [Calabrese, Evan; Lupo, Janine M.; Villanueva-Meyer, Javier E.] Duke Univ, Sch Med, Dept Radiol, Durham, NC USA; [Chang, Susan M.] Univ Calif San Francisco, Dept Neurol Surg, Div Neurooncol, San Francisco, CA USA; [Lohmann, Philipp] Univ Hosp RWTH Aachen, Dept Nucl Med, Aachen, Germany; [Nowosielski, Martha] Med Univ Innsbruck, Dept Neurol, Innsbruck, Austria; [Jain, Rajan] NYU, Dept Radiol, Grossman Sch Med, New York, NY USA; [Jain, Rajan] NYU, Dept Neurosurg, Grossman Sch Med, New York, NY USA; [Colen, Rivka] Univ Pittsburgh, Dept Radiol, Med Ctr, Neuroradiol Div, Pittsburgh, PA 15260 USA; [Akbari, Hamed] Santa Clara Univ, Dept Gen Engn, Santa Clara, CA USA; [Tonn, Joerg C.] Ludwig Maximilians Univ Munchen, Dept Neurosurg, Munich, Germany; [Tonn, Joerg C.] German Canc Consortium, Partner Site Munich, Munich, Germany; [Macdonald, David] London Reg Canc Programme, London, ON, Canada; [Vogelbaum, Michael] H Lee Moffitt Canc Ctr &amp; Res Inst, Dept Neurooncol, Tampa, FL USA; [Vogelbaum, Michael] H Lee Moffitt Canc Ctr &amp; Res Inst, Dept Neurosurg, Tampa, FL USA; [Rasool, Ghulam] H Lee Moffitt Canc Ctr &amp; Res Inst, Dept Machine Learning, Tampa, FL USA; [Vogelbaum, Michael] H Lee Moffitt Canc Ctr &amp; Res Inst, Tampa, FL USA; [Davatzikos, Christos] Univ Penn, Perelman Sch Med, Dept Radiol, Philadelphia, PA USA; [Davatzikos, Christos] Univ Penn, Ctr Artificial Intelligence Integrated Diagnost, Philadelphia, PA USA; [Davatzikos, Christos] Univ Penn, Ctr Biomed Image Comp &amp; Analyt, Philadelphia, PA USA</t>
  </si>
  <si>
    <t>Indiana University System; Indiana University Indianapolis; Indiana University System; Indiana University Indianapolis; Indiana University System; Indiana University Bloomington; Indiana University System; Indiana University Indianapolis; Indiana University System; Indiana University Indianapolis; Indiana University System; Indiana University Bloomington; University of Bonn; University of Bonn; Helmholtz Association; German Cancer Research Center (DKFZ); University of Cologne; University of Cologne; Helmholtz Association; Julich Research Centre; University of London; King's College London; King's College Hospital NHS Foundation Trust; Harvard University; Harvard Medical School; Harvard University Medical Affiliates; Brigham &amp; Women's Hospital; Harvard University; Harvard Medical School; Harvard University Medical Affiliates; Brigham &amp; Women's Hospital; Harvard University; Mass General Brigham; Harvard Medical School; Maastricht University; University of Munich; Technical University of Munich; University of Wisconsin System; University of Wisconsin Madison; Duke University; University of California System; University of California San Francisco; RWTH Aachen University; RWTH Aachen University Hospital; Medical University of Innsbruck; New York University; New York University; Pennsylvania Commonwealth System of Higher Education (PCSHE); University of Pittsburgh; Santa Clara University; University of Munich; Helmholtz Association; German Cancer Research Center (DKFZ); H Lee Moffitt Cancer Center &amp; Research Institute; H Lee Moffitt Cancer Center &amp; Research Institute; H Lee Moffitt Cancer Center &amp; Research Institute; H Lee Moffitt Cancer Center &amp; Research Institute; University of Pennsylvania; Pennsylvania Medicine; University of Pennsylvania; University of Pennsylvania</t>
  </si>
  <si>
    <t>Artificial Intelligence for Response Assessment in Neuro Oncology (AI-RANO), part 2: recommendations for standardisation, validation, and good clinical practice</t>
  </si>
  <si>
    <t>LANCET ONCOLOGY</t>
  </si>
  <si>
    <t>MGMT PROMOTER METHYLATION; CENTRAL-NERVOUS-SYSTEM; BRAIN-TUMORS; PATTERN-ANALYSIS; GLIOBLASTOMA; MRI; SURVIVAL; FEATURES; GLIOMA; CLASSIFICATION</t>
  </si>
  <si>
    <t>Colen, Rivka/Y-4062-2019; Akbari, Hamed/AAG-7535-2020; Nowosielski, Martha/AAD-5442-2022; Aerts, Hugo/ABF-2821-2020; Pati, Sarthak/AAL-1334-2020; Davatzikos, Christos/ABE-2057-2021; Galldiks, Norbert/AAG-6896-2019; Vollmuth (né Kickingereder), Philipp/AAK-3267-2021; Tonn, Joerg/AAK-8509-2021; Rasool, Ghulam/T-7960-2019; Lohmann, Philipp/I-3293-2017; Huang, Raymond/AFN-4922-2022</t>
  </si>
  <si>
    <t>Lohmann, Philipp/0000-0002-5360-046X; Wiestler, Benedikt/0000-0002-2963-7772; Huang, Raymond/0000-0001-7661-797X</t>
  </si>
  <si>
    <t>122</t>
  </si>
  <si>
    <t>1470-2045</t>
  </si>
  <si>
    <t>1474-5488</t>
  </si>
  <si>
    <t>LANCET ONCOL</t>
  </si>
  <si>
    <t>Lancet Oncol.</t>
  </si>
  <si>
    <t>e589</t>
  </si>
  <si>
    <t>e601</t>
  </si>
  <si>
    <t>10.1016/S1470-2045(24)00315-2</t>
  </si>
  <si>
    <t>http://dx.doi.org/10.1016/S1470-2045(24)00315-2</t>
  </si>
  <si>
    <t>L1G6N</t>
  </si>
  <si>
    <t>39481415</t>
  </si>
  <si>
    <t>WOS:001348280600001</t>
  </si>
  <si>
    <t>Kim, S; Shim, H; Im, M</t>
  </si>
  <si>
    <t>Retinal prostheses using electrical stimulation are developed to restore partial visual function perception in blind individuals, enabling object and large-character recognition. These devices capture visual scenes via a camera, process them, and stimulate the remaining retinal neurons through an implanted microelectrode array, eventually eliciting percepts known as "phosphenes". However, unintended current spread among electrodes remains a significant challenge, leading to blurred and/or distorted percepts. Therefore, optimizing the spatial activation patterns is critical for enhancing visual resolution and reducing power consumption. In this study, we introduce a novel application of explainable artificial intelligence (XAI) to optimize electrode activation patterns in retinal prostheses. XAI-driven phosphene generation prioritizes visually informative regions while suppressing less relevant areas, enabling more efficient stimulation, while reducing the total current usage without compromising object recognition accuracy. To replace labor-intensive psychophysical testing, deep learning models evaluate the recognition performance of different XAI-informed stimulation methods. Our findings reveal that XAI-driven activation patterns consistently achieve higher energy efficiency than conventional grayscale-based electrode mapping without compromising recognition performance. Moreover, XAI provides interpretable maps of electrode engagement, facilitating clinical understanding and personalized stimulation strategies. These results highlight the potential of XAI to enhance the efficiency, interpretability, and functional outcomes of next-generation retinal prosthetic systems.</t>
  </si>
  <si>
    <t>Kim, Sein; Shim, Hamin; Im, Maesoon</t>
  </si>
  <si>
    <t>Im, M (corresponding author), Korea Inst Sci &amp; Technol KIST, Brain Sci Inst, Seoul, South Korea.; Im, M (corresponding author), Univ Sci &amp; Technol UST, KIST Sch, Div Biomed Sci &amp; Technol, Seoul, South Korea.</t>
  </si>
  <si>
    <t>maesoon.im@kist.re.kr</t>
  </si>
  <si>
    <t>National Research Foundation (NRF) of Korea [RS-2025-00514523, RS-2025-25465381]; Korea Institute of Science and Technology [26E0131, 26E0241, 26Z9002]</t>
  </si>
  <si>
    <t>National Research Foundation (NRF) of Korea; Korea Institute of Science and Technology (Korea Institute of Science &amp; Technology (KIST))</t>
  </si>
  <si>
    <t>This study was supported by Korea Institute of Science and Technology (26E0131, 26E0241, 26Z9002), National Research Foundation (NRF) of Korea (RS-2025-00514523, RS-2025-25465381).</t>
  </si>
  <si>
    <t>[Kim, Sein; Shim, Hamin; Im, Maesoon] Korea Inst Sci &amp; Technol KIST, Brain Sci Inst, Seoul, South Korea; [Im, Maesoon] Univ Sci &amp; Technol UST, KIST Sch, Div Biomed Sci &amp; Technol, Seoul, South Korea</t>
  </si>
  <si>
    <t>Korea Institute of Science &amp; Technology (KIST); University of Science &amp; Technology (UST); Korea Institute of Science &amp; Technology (KIST)</t>
  </si>
  <si>
    <t>Explainable AI-Driven Optimization of Electrode Activation Reduces Power Consumption While Preserving Object Recognition in Retinal Prostheses</t>
  </si>
  <si>
    <t>ADVANCED INTELLIGENT SYSTEMS</t>
  </si>
  <si>
    <t>artificial vision; explainable artificial intelligence; phosphenes; retinal prostheses</t>
  </si>
  <si>
    <t>NEURAL STIMULATION; VISION; SEGMENTATION; EXPRESSION; PREDICTION; NETWORKS; MODELS</t>
  </si>
  <si>
    <t>Im, Maesoon/AFO-1812-2022</t>
  </si>
  <si>
    <t>2640-4567</t>
  </si>
  <si>
    <t>ADV INTELL SYST-GER</t>
  </si>
  <si>
    <t>Adv. Intell. Syst.</t>
  </si>
  <si>
    <t>10.1002/aisy.202501360</t>
  </si>
  <si>
    <t>http://dx.doi.org/10.1002/aisy.202501360</t>
  </si>
  <si>
    <t>Automation &amp; Control Systems; Computer Science, Artificial Intelligence; Robotics</t>
  </si>
  <si>
    <t>Automation &amp; Control Systems; Computer Science; Robotics</t>
  </si>
  <si>
    <t>MR5JR</t>
  </si>
  <si>
    <t>WOS:001743054100001</t>
  </si>
  <si>
    <t>Arnaud, E; Petitprez, E; Ammirati, C; Nemitz, B; Dequen, G; Gignon, M; Ghazali, DA</t>
  </si>
  <si>
    <t>The research on artificial intelligence (AI) applied to emergency medicine and its daily use in emergency departments has significantly increased in recent years. AI should be considered as a tool to assist in the diagnosis and therapeutic management of patients and to improve the orga-nization of the emergency departments, particularly conside-ring contextual constraints from several aspects. AI has not only advantages (reproducibility, speed) but also risks (error, loss of critical thinking). Like the General Data Protection Regulation, especially for health, the European Commission has published a draft regulation called "AI Act" for the design, development, and use of AI algorithms. It wishes to impose, among other things, a human guarantee, in other words, human supervision to ensure the safety of patients, caregivers, and institutions. The establishment of a multipro-fessional human guarantee college aiming to guarantee the supervision of AI tools from design, development, deploy-ment, and daily use will thus ensure the long-term safety of patients.</t>
  </si>
  <si>
    <t>Arnaud, E.; Petitprez, E.; Ammirati, C.; Nemitz, B.; Dequen, G.; Gignon, M.; Ghazali, D. A.</t>
  </si>
  <si>
    <t>Arnaud, E (corresponding author), CHU Amiens Picardie, Dept Med Urgence, 1 Rond Point Christian Cabrol, F-80000 Amiens, France.; Arnaud, E (corresponding author), Univ Picardie Jules Verne, Lab Modelisat Informat &amp; Syst UR4290, F-80000 Amiens, France.</t>
  </si>
  <si>
    <t>arnaud.emilien@chu-amiens.fr</t>
  </si>
  <si>
    <t>[Arnaud, E.; Ammirati, C.; Ghazali, D. A.] CHU Amiens Picardie, Dept Med Urgence, 1 Rond Point Christian Cabrol, F-80000 Amiens, France; [Arnaud, E.; Dequen, G.] Univ Picardie Jules Verne, Lab Modelisat Informat &amp; Syst UR4290, F-80000 Amiens, France; [Petitprez, E.] Univ Picardie Jules Verne, Ctr Droit Prive &amp; Sci Criminelles Amiens UR3911, F-80000 Amiens, France; [Ammirati, C.] CHU Amiens Picardie, SimUSante, F-80000 Amiens, France; [Ammirati, C.; Gignon, M.] Univ Picardie Jules Verne, Gignon Ctr Rech Psychol Cognit Psychisme &amp; Org UR7, F-80000 Amiens, France; [Ammirati, C.; Gignon, M.] Univ Sorbonne Paris Nord, Lab Educ &amp; Promot Sante UR3412, Paris, France; [Nemitz, B.] CHU Amiens Picardie, F-80000 Amiens, France; [Gignon, M.] CHU Amiens Picardie, Pole Prevent Risques Informat Med &amp; Epidemiol, F-80000 Amiens, France; [Ghazali, D. A.] Univ Paris Cite, Inserm UMR1137, IAME Infect Antimicrobials Modelling Evolut, F-75006 Paris, France</t>
  </si>
  <si>
    <t>Universite de Picardie Jules Verne (UPJV); CHU Amiens; Universite de Picardie Jules Verne (UPJV); Universite de Picardie Jules Verne (UPJV); Universite de Picardie Jules Verne (UPJV); CHU Amiens; Universite de Picardie Jules Verne (UPJV); Universite de Picardie Jules Verne (UPJV); CHU Amiens; Universite de Picardie Jules Verne (UPJV); CHU Amiens; Universite Paris Cite; Institut National de la Sante et de la Recherche Medicale (Inserm)</t>
  </si>
  <si>
    <t>Artificial Intelligence in Emergency Structures: the Role of Training and Human Oversight</t>
  </si>
  <si>
    <t>ANNALES FRANCAISES DE MEDECINE D URGENCE</t>
  </si>
  <si>
    <t>Emergency medicine; Artificial intelligence Human oversight; European regulation</t>
  </si>
  <si>
    <t>HEALTH TECHNOLOGY-ASSESSMENT; DECISION-MAKING; REASON</t>
  </si>
  <si>
    <t>Dequen, Gilles/AFA-1543-2022; GIGNON, Maxime/MIT-1451-2025; ARNAUD, Emilien/HJI-5325-2023; GHAZALI, Daniel/AGT-6293-2022</t>
  </si>
  <si>
    <t>ARNAUD, Emilien/0000-0002-6971-009X</t>
  </si>
  <si>
    <t>LAVOISIER</t>
  </si>
  <si>
    <t>CACHAN</t>
  </si>
  <si>
    <t>14, RUE DE PROVIGNY, 94236 CACHAN, FRANCE</t>
  </si>
  <si>
    <t>2108-6524</t>
  </si>
  <si>
    <t>2108-6591</t>
  </si>
  <si>
    <t>ANN FR MED URGENCE</t>
  </si>
  <si>
    <t>Ann. Fr. Med. Urgence</t>
  </si>
  <si>
    <t>10.3166/afmu-2022-0496</t>
  </si>
  <si>
    <t>http://dx.doi.org/10.3166/afmu-2022-0496</t>
  </si>
  <si>
    <t>HG7G5</t>
  </si>
  <si>
    <t>WOS:001158398400003</t>
  </si>
  <si>
    <t>Anokwuru, CC; Nwuzoh, MI; Eneh, S; Ikhuoria, OV; Edeh, GC; Ekwebene, OC; Udokang, EI; Onukansi, F; Nwokocha, GC; Udoewah, SA</t>
  </si>
  <si>
    <t>Artificial intelligence and algorithmic tools are increasingly integrated into reproductive healthcare, including fertility tracking applications, diagnostic systems, and clinical decision support tools. While these technologies may support improved access, personalisation, and decision making, their expansion is also associated with significant ethical and governance challenges in a domain shaped by legal risk, social norms, and deeply personal health decisions. These challenges include limited transparency, which may constrain informed consent and autonomy; risks of bias arising from unrepresentative data; heightened privacy concerns linked to sensitive reproductive information; and unclear accountability across developers, clinicians, and institutions. Importantly, these risks are not uniform, but are shaped by legal, social, and health system conditions, and may be particularly pronounced in low resource and legally restrictive settings. Despite growing attention to AI ethics, existing frameworks and guidance often remain high level and do not fully address how these challenges should be governed in context-sensitive reproductive health settings. This paper advances a governance-oriented perspective that integrates Healthcare 5.0 and reproductive justice frameworks to examine how these challenges emerge within adaptive socio-technical systems. It argues that existing governance approaches remain insufficiently responsive to structural and intersectional vulnerabilities and proposes a context aware approach that embeds human oversight, explainability, privacy protection, and accountability as core system level requirements. By positioning reproductive health as a critical test case for AI governance, this perspective highlights the need for enforceable, context-sensitive approaches that prioritise equity, autonomy, and the lived realities of affected populations.</t>
  </si>
  <si>
    <t>Anokwuru, Collins Chibueze; Nwuzoh, Moses Ifeatu; Eneh, Stanley; Ikhuoria, Ogechi Vinaprisca; Edeh, Gabriel Chidera; Ekwebene, Onyeka Chukwudalu; Udokang, Ephraim Ikpongifono; Onukansi, Francisca; Nwokocha, Gospel Chinaemerem; Udoewah, Samson Adiaetok</t>
  </si>
  <si>
    <t>Anokwuru, CC (corresponding author), Corona Management Syst, Abuja, Nigeria.; Anokwuru, CC (corresponding author), Fed Univ Technol Owerri, Dept Publ Hlth, Owerri, Nigeria.; Anokwuru, CC (corresponding author), Youth Res Hub, Enugu, Enugu, Nigeria.</t>
  </si>
  <si>
    <t>collins.anokwuru@coronams.com</t>
  </si>
  <si>
    <t>Youth in Research Hub</t>
  </si>
  <si>
    <t>The authors gratefully acknowledge the support and mentorship provided through the Youth in Research Hub. This manuscript is a product of collaborative engagement and capacity-building efforts led by the Hub to foster research leadership among early-career African scholars</t>
  </si>
  <si>
    <t>[Anokwuru, Collins Chibueze] Corona Management Syst, Abuja, Nigeria; [Anokwuru, Collins Chibueze; Onukansi, Francisca] Fed Univ Technol Owerri, Dept Publ Hlth, Owerri, Nigeria; [Anokwuru, Collins Chibueze; Nwuzoh, Moses Ifeatu; Eneh, Stanley; Ikhuoria, Ogechi Vinaprisca; Edeh, Gabriel Chidera; Ekwebene, Onyeka Chukwudalu; Udokang, Ephraim Ikpongifono; Onukansi, Francisca; Nwokocha, Gospel Chinaemerem; Udoewah, Samson Adiaetok] Youth Res Hub, Enugu, Enugu, Nigeria; [Nwuzoh, Moses Ifeatu] Sheffield Hallam Univ, Inst Social Sci, Sheffield, England; [Eneh, Stanley] Obafemi Awolowo Univ, Dept Community Hlth, Ife, Osun, Nigeria; [Eneh, Stanley] Univ Nigeria, IVAN Res Inst, Nsukka, Enugu, Nigeria; [Ikhuoria, Ogechi Vinaprisca] Univ Maryland, Dept Behav &amp; Community Hlth, College Pk, MD USA; [Edeh, Gabriel Chidera] Babcock Univ, Dept Haematol Blood Transfus, Teaching Hosp, Ilishan Remo, Ogun, Nigeria; [Ekwebene, Onyeka Chukwudalu] Indiana Univ Sch Med, Ryan White Ctr Pediat Infect Dis &amp; Global Hlth, Dept Pediat, Indianapolis, IN USA; [Udokang, Ephraim Ikpongifono] Univ Uyo, Fac Pharm, Uyo, Akwa Ibom, Nigeria; [Nwokocha, Gospel Chinaemerem] Univ Port Harcourt, Dept Plant Sci &amp; Biotechnol, Port Harcourt, Nigeria; [Udoewah, Samson Adiaetok] Univ Port Harcourt, Africa Ctr Excellence Publ Hlth &amp; Toxicol Res, Dept Publ Hlth Nursing, Port Harcourt, Nigeria</t>
  </si>
  <si>
    <t>Sheffield Hallam University; Obafemi Awolowo University; University of Nigeria; University System of Maryland; University of Maryland College Park; Indiana University System; Indiana University Bloomington; University of Uyo; University of Port Harcourt; University of Port Harcourt</t>
  </si>
  <si>
    <t>Regulating algorithmic tools in reproductive health: ethical and legal challenges</t>
  </si>
  <si>
    <t>FRONTIERS IN REPRODUCTIVE HEALTH</t>
  </si>
  <si>
    <t>accountability; algorithmic bias; artificial intelligence; data privacy; ethical challenges; ethical governance of AI; reproductive health</t>
  </si>
  <si>
    <t>Eneh, Stanley/IRY-8609-2023; Ekwebene, Onyeka/KIL-8331-2024</t>
  </si>
  <si>
    <t>2673-3153</t>
  </si>
  <si>
    <t>FRONT REPROD HEALTH</t>
  </si>
  <si>
    <t>Front. Reprod. Health</t>
  </si>
  <si>
    <t>1771550</t>
  </si>
  <si>
    <t>10.3389/frph.2026.1771550</t>
  </si>
  <si>
    <t>http://dx.doi.org/10.3389/frph.2026.1771550</t>
  </si>
  <si>
    <t>Public, Environmental &amp; Occupational Health; Reproductive Biology</t>
  </si>
  <si>
    <t>IH3BY</t>
  </si>
  <si>
    <t>42179720</t>
  </si>
  <si>
    <t>WOS:001771676700001</t>
  </si>
  <si>
    <t>Tavory, T</t>
  </si>
  <si>
    <t>This article contends that the responsible artificial intelligence (AI) approach-which is the dominant ethics approach ruling mostregulatory and ethical guidance-falls short because it overlooks the impact of AI on human relationships. Focusing only onresponsible AI principles reinforces a narrow concept of accountability and responsibility of companies developing AI. Thisarticle proposes that applying the ethics of care approach to AI regulation can offer a more comprehensive regulatory and ethicalframework that addresses AI's impact on human relationships. This dual approach is essential for the effective regulation of AIin the domain of mental health care. The article delves into the emergence of the new "therapeutic" area facilitated by AI-basedbots, which operate without a therapist. The article highlights the difficulties involved, mainly the absence of a defined duty ofcare toward users, and shows how implementing ethics of care can establish clear responsibilities for developers. It also shedslight on the potential for emotional manipulation and the risks involved. In conclusion, the article proposes a series of considerationsgrounded in the ethics of care for the developmental process of AI-powered therapeutic tools.</t>
  </si>
  <si>
    <t>Tavory, Tamar</t>
  </si>
  <si>
    <t>Tavory, T (corresponding author), Bar Ilan Univ, Fac Law, IL-5290002 Ramat Gan, Israel.</t>
  </si>
  <si>
    <t>ttavory@gmail.com</t>
  </si>
  <si>
    <t>[Tavory, Tamar] Bar Ilan Univ, Fac Law, IL-5290002 Ramat Gan, Israel; [Tavory, Tamar] Tel Aviv Univ, Samueli Initiat Responsible AI Med, Tel Aviv, Israel</t>
  </si>
  <si>
    <t>Bar Ilan University; Tel Aviv University</t>
  </si>
  <si>
    <t>Regulating AI in Mental Health:Ethics of Care Perspective</t>
  </si>
  <si>
    <t>JMIR MENTAL HEALTH</t>
  </si>
  <si>
    <t>artificial intelligence; ethics of care; regulation; legal; relationship; mental health; mental healthcare; AI; ethic; ethics; ethical; regulations; law; framework; frameworks; regulatory; relationships; chatbot; chatbots; conversational agent; conversational agents; European Artificial Intelligence Act</t>
  </si>
  <si>
    <t>Tavory, Tamar/0009-0004-0184-558X</t>
  </si>
  <si>
    <t>2368-7959</t>
  </si>
  <si>
    <t>JMIR MENT HEALTH</t>
  </si>
  <si>
    <t>JMIR Ment. Health</t>
  </si>
  <si>
    <t>e58493</t>
  </si>
  <si>
    <t>10.2196/58493</t>
  </si>
  <si>
    <t>http://dx.doi.org/10.2196/58493</t>
  </si>
  <si>
    <t>H3N3Z</t>
  </si>
  <si>
    <t>39298759</t>
  </si>
  <si>
    <t>WOS:001322536000001</t>
  </si>
  <si>
    <t>Li, HS; Gai, JP; Bu, LY; Gao, C</t>
  </si>
  <si>
    <t>In the context of the pursuit of universal accessibility in the information society, the elderly still face many obstacles in using health information systems. This study focuses on applying explainable artificial intelligence (XAI) in a health management system for elderly users. It profoundly explores its impact on trust, compliance, and cognitive load, aiming to improve the elderly's experience in the health information system and promote the universal accessibility of health information for all. The study adopts an experimental control design to compare the user experience of elderly users using a health management platform with XAI functions and a traditional platform. The results show that XAI significantly enhances the trust of elderly users in the health management system, improves their compliance with health advice, optimizes the overall user experience, and effectively reduces cognitive load. These findings not only enrich the theoretical research on the technology acceptance behavior of the elderly in the field of human-computer interaction and ergonomics but also provide practical guidance for the developers of health management platforms, helping to create more user-friendly and more humane elderly health management technologies, promote the widespread application of intelligent health management systems, relieve the pressure on the medical system, and improve the health status and quality of life of the elderly, to achieve the goal of healthy aging better.</t>
  </si>
  <si>
    <t>Li, HeSen; Gai, JunPeng; Bu, LiYan; Gao, Chong</t>
  </si>
  <si>
    <t>Bu, LY (corresponding author), Shenyang Aerosp Univ, Sch Art &amp; Design, 37 Daoyi South Ave,Shenbei New Area, Shenyang 110135, Peoples R China.</t>
  </si>
  <si>
    <t>buliyan@sau.edu.cn</t>
  </si>
  <si>
    <t>General project of Liaoning Provincial Department of Education [JYTMS20230290]; Provincial Education Science "14th Five-Year Plan" Project Establishment [JG22DB537]; Basic scientific research operating expenses project of Liaoning universities in 2024; The 2025 Liaoning Province Economic and Social Development Research Project [2025lslqnwzzkt-066]</t>
  </si>
  <si>
    <t>General project of Liaoning Provincial Department of Education; Provincial Education Science "14th Five-Year Plan" Project Establishment; Basic scientific research operating expenses project of Liaoning universities in 2024; The 2025 Liaoning Province Economic and Social Development Research Project</t>
  </si>
  <si>
    <t>This work was supported by the General project of Liaoning Provincial Department of Education [grant number JYTMS20230290]; and the 2022 Provincial Education Science "14th Five-Year Plan" Project Establishment [grant number JG22DB537]; and Basic scientific research operating expenses project of Liaoning universities in 2024; and 2025 Liaoning Province Economic and Social Development Research Project [grant number 2025lslqnwzzkt-066].</t>
  </si>
  <si>
    <t>[Li, HeSen; Gai, JunPeng; Bu, LiYan; Gao, Chong] Shenyang Aerosp Univ, Sch Art &amp; Design, 37 Daoyi South Ave,Shenbei New Area, Shenyang 110135, Peoples R China</t>
  </si>
  <si>
    <t>Shenyang Aerospace University</t>
  </si>
  <si>
    <t>Enhancing universal access in elderly health information systems: the triumvirate of trust, adherence, and cognitive load with explainable AI</t>
  </si>
  <si>
    <t>UNIVERSAL ACCESS IN THE INFORMATION SOCIETY</t>
  </si>
  <si>
    <t>Explainable AI (XAI); Elderly health management; Trust; Adherence; Cognitive load</t>
  </si>
  <si>
    <t>Li, Hesen/OKR-9772-2025</t>
  </si>
  <si>
    <t>Gao, Chong/0009-0000-6854-4432</t>
  </si>
  <si>
    <t>1615-5289</t>
  </si>
  <si>
    <t>1615-5297</t>
  </si>
  <si>
    <t>UNIVERSAL ACCESS INF</t>
  </si>
  <si>
    <t>Univers. Access Inf. Soc.</t>
  </si>
  <si>
    <t>3449</t>
  </si>
  <si>
    <t>3463</t>
  </si>
  <si>
    <t>10.1007/s10209-025-01245-z</t>
  </si>
  <si>
    <t>http://dx.doi.org/10.1007/s10209-025-01245-z</t>
  </si>
  <si>
    <t>I2364</t>
  </si>
  <si>
    <t>WOS:001531108100001</t>
  </si>
  <si>
    <t>Yasar, S; Yagin, FH; Alzakari, SA; Alkhalifa, AK; Al-Hashem, F; Tabnjh, AK</t>
  </si>
  <si>
    <t>Pancreatic ductal adenocarcinoma (PDAC) has two principal molecular subtypes-classical and basal-like-with divergent prognosis and chemotherapy response, yet transcriptomic classifiers rarely generalize across cohorts or quantify per-patient uncertainty. We trained a classical-versus-basal-like classifier on CPTAC-PDAC (n = 140) and externally validated it on histology-filtered TCGA-PAAD (n = 150). Twelve algorithms were benchmarked under stratified nested cross-validation with four-method consensus feature selection; domain adaptation (naive transfer, CORAL, and ComBat), four conformal procedures (split, weighted, CV+, and Conformal Risk Control), and a four-method consensus explainable-AI framework (SHAP, LIME, permutation importance, and decision-curve ablation) with pathway enrichment were then evaluated. Top models reached a cross-validated AUROC approximate to 0.96 and external AUROC 0.913-0.938 (top-3 ensemble 0.961); batch correction did not improve transfer, indicating minimal residual batch effect. Consensus explainability recovered keratinization biology and nominated five candidate genes (GSDMC, A2ML1, PIP5K1B, IL20RB, and AKR7L) beyond the Moffitt signature. All four conformal procedures plateaued near 0.85 coverage at alpha = 0.05 under zero-shot transfer, whereas local recalibration on a small target sample restored nominal coverage. We present a transparent, externally validated, uncertainty-aware and TRIPOD+AI-compliant PDAC subtype classifier, best deployed as a calibrated decision-support tool with site-specific recalibration.</t>
  </si>
  <si>
    <t>Yasar, Seyma; Yagin, Fatma Hilal; Alzakari, Sarah A.; Alkhalifa, Amal K.; Al-Hashem, Fahaid; Tabnjh, Abedelmalek Kalefh</t>
  </si>
  <si>
    <t>Yagin, FH (corresponding author), Malatya Turgut Ozal Univ, Fac Med, Dept Biostat, TR-44210 Malatya, Turkiye.; Tabnjh, AK (corresponding author), Univ Gothenburg, Dept Cariol, Inst Odontol, Sahlgrenska Acad, S-40530 Gothenburg, Sweden.; Tabnjh, AK (corresponding author), Jordan Univ Sci &amp; Technol, Fac Appl Med Sci, Dept Appl Dent Sci, Irbid 22110, Jordan.; Tabnjh, AK (corresponding author), Saveetha Inst Med &amp; Tech Sci, Saveetha Med Coll &amp; Hosp, Dept Pathol, Chennai 602105, Tamil Nadu, India.</t>
  </si>
  <si>
    <t>abedelmalek.kalefh.tabnjh@gu.se; hilal.yagin@gmail.com</t>
  </si>
  <si>
    <t>Princess Nourah bint Abdulrahman University [PNURSP2026R716]</t>
  </si>
  <si>
    <t>Princess Nourah bint Abdulrahman University Researchers Supporting Project number (PNURSP2026R716), Princess Nourah bint Abdulrahman University, Riyadh, Saudi Arabia.</t>
  </si>
  <si>
    <t>[Yasar, Seyma] Inonu Univ, Fac Med, Dept Biostat &amp; Med Informat, TR-44280 Malatya, Turkiye; [Yagin, Fatma Hilal] Malatya Turgut Ozal Univ, Fac Med, Dept Biostat, TR-44210 Malatya, Turkiye; [Alzakari, Sarah A.; Alkhalifa, Amal K.] Princess Nourah bint Abdulrahman Univ, Coll Comp &amp; Informat Sci, Dept Comp Sci, POB 84428, Riyadh 11671, Saudi Arabia; [Al-Hashem, Fahaid] King Khalid Univ, Coll Med, Dept Physiol, Abha 61421, Saudi Arabia; [Tabnjh, Abedelmalek Kalefh] Univ Gothenburg, Dept Cariol, Inst Odontol, Sahlgrenska Acad, S-40530 Gothenburg, Sweden; [Tabnjh, Abedelmalek Kalefh] Jordan Univ Sci &amp; Technol, Fac Appl Med Sci, Dept Appl Dent Sci, Irbid 22110, Jordan; [Tabnjh, Abedelmalek Kalefh] Saveetha Inst Med &amp; Tech Sci, Saveetha Med Coll &amp; Hosp, Dept Pathol, Chennai 602105, Tamil Nadu, India</t>
  </si>
  <si>
    <t>Inonu University; Malatya Turgut Ozal University; Princess Nourah bint Abdulrahman University; King Khalid University; University of Gothenburg; Jordan University of Science &amp; Technology; Saveetha Institute of Medical &amp; Technical Science; Saveetha Medical College &amp; Hospital</t>
  </si>
  <si>
    <t>A Generalizable and Interpretable Framework for Molecular Subtype Classification of Pancreatic Ductal Adenocarcinoma Integrating Conformal Uncertainty Quantification and Consensus-Based Explainable Artificial Intelligence Across Multiple Cohorts</t>
  </si>
  <si>
    <t>INTERNATIONAL JOURNAL OF MOLECULAR SCIENCES</t>
  </si>
  <si>
    <t>pancreatic ductal adenocarcinoma; molecular subtype; cross-cohort validation; conformal prediction; explainable AI; CPTAC; TCGA; TRIPOD plus AI</t>
  </si>
  <si>
    <t>Yagin, Fatma/ABI-8066-2020</t>
  </si>
  <si>
    <t>1661-6596</t>
  </si>
  <si>
    <t>1422-0067</t>
  </si>
  <si>
    <t>INT J MOL SCI</t>
  </si>
  <si>
    <t>Int. J. Mol. Sci.</t>
  </si>
  <si>
    <t>6989</t>
  </si>
  <si>
    <t>10.3390/ijms27156989</t>
  </si>
  <si>
    <t>http://dx.doi.org/10.3390/ijms27156989</t>
  </si>
  <si>
    <t>Biochemistry &amp; Molecular Biology; Chemistry, Multidisciplinary</t>
  </si>
  <si>
    <t>Biochemistry &amp; Molecular Biology; Chemistry</t>
  </si>
  <si>
    <t>MO1FH</t>
  </si>
  <si>
    <t>42589641</t>
  </si>
  <si>
    <t>WOS:001846853000001</t>
  </si>
  <si>
    <t>Radic, M; Busch-Casler, J; Vosen, A; Herrmann, P; Appenzeller, A; Mucha, H; Philipp, P; Frank, K; Dauth, S; Köhm, M; Orak, B; Döhmann, ISG; Böhm, P</t>
  </si>
  <si>
    <t>BackgroundThe rapidly growing quantity of health data presents researchers with ample opportunity for innovation. At the same time, exploitation of the value of Big Data poses various ethical challenges that must be addressed in order to fulfil the requirements of responsible research and innovation (Gerke et al. 2020; Howe III and Elenberg 2020). Data sovereignty and its principles of self-determination and informed consent are central goals in this endeavor. However, their consistent implementation has enormous consequences for the collection and processing of data in practice, especially given the complexity and growth of data in healthcare, which implies that artificial intelligence (AI) will increasingly be applied in the field due to its potential to unlock relevant, but previously hidden, information from the growing number of data (Jiang et al. 2017). Consequently, there is a need for ethically sound guidelines to help determine how data sovereignty and informed consent can be implemented in clinical research.MethodsUsing the method of a narrative literature review combined with a design thinking approach, this paper aims to contribute to the literature by answering the following research question: What are the practical requirements for the thorough implementation of data sovereignty and informed consent in healthcare?ResultsWe show that privacy-preserving technologies, human-centered usability and interaction design, explainable and trustworthy AI, user acceptance and trust, patient involvement, and effective legislation are key requirements for data sovereignty and self-determination in clinical research. We outline the implications for the development of IT solutions in the German healthcare system.HintergrundDie exponentiell wachsende Verf &amp; uuml;gbarkeit von Gesundheitsdaten bietet Forschenden ungeahnte Potenziale f &amp; uuml;r Innovationen. Gleichzeitig gehen mit der Verwertung von Big Data auch gro ss e ethische Herausforderungen einher, die es zu bew &amp; auml;ltigen gilt, um den Anforderungen an verantwortungsvolle Forschung und Innovation gerecht zu werden (Gerke et al. 2020; Howe III und Elenberg 2020). Datensouver &amp; auml;nit &amp; auml;t und die damit verbundenen Grunds &amp; auml;tze der Selbstbestimmung und der informierten Zustimmung sind dabei zentrale Ziele. Allerdings hat deren konsistente Umsetzung enorme Konsequenzen f &amp; uuml;r die Datenerhebung und -verarbeitung in der Praxis. Dies trifft insbesondere angesichts einer Zunahme an Quantit &amp; auml;t und Komplexit &amp; auml;t von Daten im Gesundheitswesen zu. Denn aufgrund des Potenzials, relevante aber bisher verborgene Informationen aus der Datenmenge zu erschlie ss en, ist eine zunehmende Anwendung von k &amp; uuml;nstlicher Intelligenz (KI) in diesem Bereich zu erwarten (Jiang et al. 2017). Folglich besteht ein Bedarf an ethisch fundierten Handlungsanweisungen, die helfen, Datensouver &amp; auml;nit &amp; auml;t und informierte Zustimmung in der klinischen Forschung umzusetzen.Material und MethodenDurch Anwendung einer narrativen Literaturrecherche in Kombination mit einem Design-Thinking-Ansatz soll das vorliegende Papier einen Beitrag zur Literatur leisten, indem die folgende Forschungsfrage beantwortet wird: Welche praktischen Anforderungen gibt es f &amp; uuml;r eine konsequente Umsetzung von Datensouver &amp; auml;nit &amp; auml;t und informierter Einwilligung im Gesundheitswesen?ErgebnisseEs wird gezeigt, dass Privatsph &amp; auml;re wahrende Technologien, menschenzentriert entwickelte Nutzungs- und Interaktionsl &amp; ouml;sungen, erkl &amp; auml;rbare und vertrauensw &amp; uuml;rdige KI, Nutzerakzeptanz und -vertrauen, Patientenbeteiligung und eine wirksame Gesetzgebung zentrale Voraussetzungen f &amp; uuml;r Datensouver &amp; auml;nit &amp; auml;t und Selbstbestimmung in der klinischen Forschung sind. Die Bedeutung f &amp; uuml;r die Entwicklung von IT-L &amp; ouml;sungen im deutschen Gesundheitssystem wird dargelegt.</t>
  </si>
  <si>
    <t>Radic, Marija; Busch-Casler, Julia; Vosen, Agnes; Herrmann, Philipp; Appenzeller, Arno; Mucha, Henrik; Philipp, Patrick; Frank, Kevin; Dauth, Stephanie; Koehm, Michaela; Orak, Berna; Doehmann, Indra Spiecker Genannt; Boehm, Peter</t>
  </si>
  <si>
    <t>Radic, M (corresponding author), Fraunhofer Ctr Int Management &amp; Knowledge Econ IMW, Martin Luther Ring 13, D-04109 Leipzig, Germany.</t>
  </si>
  <si>
    <t>marija.radic@imw.fraunhofer.de</t>
  </si>
  <si>
    <t>German Federal Ministry of Education and Research [01GP2112A]</t>
  </si>
  <si>
    <t>German Federal Ministry of Education and Research (Federal Ministry of Education &amp; Research (BMBF))</t>
  </si>
  <si>
    <t>The underlying research project was funded by the German Federal Ministry of Education and Research with the funding number 01GP2112A-DATACARE-Data sovereignty and informed consentas enablers for patient-oriented AI-driven clinical research. The responsibility for the content of this paperlies with the authors.</t>
  </si>
  <si>
    <t>[Radic, Marija; Busch-Casler, Julia; Vosen, Agnes; Herrmann, Philipp] Fraunhofer Ctr Int Management &amp; Knowledge Econ IMW, Martin Luther Ring 13, D-04109 Leipzig, Germany; [Appenzeller, Arno] Karlsruhe Inst Technol KIT, Karlsruhe, Germany; [Mucha, Henrik; Philipp, Patrick] Fraunhofer Inst Optron Syst Technol &amp; Image Exploi, Karlsruhe, Germany; [Frank, Kevin; Dauth, Stephanie; Koehm, Michaela] Fraunhofer Inst Translat Med &amp; Pharmacol ITMP, Frankfurt, Germany; [Dauth, Stephanie; Koehm, Michaela] Fraunhofer Cluster Excellence Immune Mediated Dis, Frankfurt, Germany; [Orak, Berna; Doehmann, Indra Spiecker Genannt] Goethe Univ Frankfurt, Chair Publ &amp; Adm Law Informat Law Environm Law &amp; L, Frankfurt, Germany; [Boehm, Peter] Deutsch Rheuma Liga e?V, Bonn, Germany</t>
  </si>
  <si>
    <t>Helmholtz Association; Karlsruhe Institute of Technology; Goethe University Frankfurt</t>
  </si>
  <si>
    <t>Data sovereignty requirements for patient-oriented AI-driven clinical research in Germany</t>
  </si>
  <si>
    <t>ETHIK IN DER MEDIZIN</t>
  </si>
  <si>
    <t>Data sovereignty; Informed consent; Artificial intelligence; German healthcare system; Big Data; Datensouver &amp; auml;nit &amp; auml;t; Informierte Zustimmung; K &amp; uuml;nstliche Intelligenz; Deutsches Gesundheitssystem</t>
  </si>
  <si>
    <t>ARTIFICIAL-INTELLIGENCE; TRUST</t>
  </si>
  <si>
    <t>Köhm, Michaela/HKO-7590-2023</t>
  </si>
  <si>
    <t>Boehm, Peter/0000-0002-7186-1997; Herrmann, Philipp/0000-0002-3763-7916; Appenzeller, Arno/0000-0002-7090-5388; Radic, Marija/0000-0002-7746-2065; Busch-Casler, Julia/0000-0001-6861-666X</t>
  </si>
  <si>
    <t>0935-7335</t>
  </si>
  <si>
    <t>1437-1618</t>
  </si>
  <si>
    <t>ETHIK MED</t>
  </si>
  <si>
    <t>Ethik Med.</t>
  </si>
  <si>
    <t>562</t>
  </si>
  <si>
    <t>10.1007/s00481-024-00827-4</t>
  </si>
  <si>
    <t>http://dx.doi.org/10.1007/s00481-024-00827-4</t>
  </si>
  <si>
    <t>M7H6Z</t>
  </si>
  <si>
    <t>WOS:001270435900001</t>
  </si>
  <si>
    <t>Ibrahim, AM; Zoromba, MA; Abousoliman, AD; Zaghamir, DEF; Alenezi, IN; Elsayed, EA; Mohamed, HAH</t>
  </si>
  <si>
    <t>BackgroundApplying artificial intelligence (AI) to nursing practice has dramatically enhanced healthcare delivery in Arab countries. However, AI application also raises complex moral issues, including patient privacy, data security, responsibility, transparency, and equity in decision-making.AimA systematic analysis of the ethical issues surrounding the application of AI in nursing practice in Arab nations is carried out in this review, highlighting the most important ethical issues and recommending responsible AI integration.MethodsA comprehensive literature search was conducted across major databases. Following the initial identification of 150 articles, 120 were selected for full-text review based on the title and abstract screening. Subsequently, 50 pertinent studies were incorporated into this review.ResultsNumerous significant ethical concerns regarding AI application in decision-making processes were identified. The assessment also highlighted the possible effects of AI on the nurse-patient interaction and the critical role played by the ethics committees and regulatory frameworks in resolving these issues.ConclusionEthical frameworks must be established to guarantee AI integration into nursing practice, safeguard patients' welfare, and strengthen the trust between healthcare providers and patients.Clinical trialNo clinical Trial.AI application in nursing practice is an opportunity and a challenge for Arab countries. Artificial Intelligence is of much help for decision-making, monitoring, and automating tasks, raising several ethical concerns regarding privacy, accuracy, and bias. It is the responsibility of nurses to make AI use transparent and nondiscriminatory, communicate effectively with their patients, and respect their autonomy. Ongoing training is essential to navigate AI's impact on care. Ethical issues include protecting vulnerable groups, ensuring fairness, and maintaining empathy, especially in end-of-life care. Regulations and guidelines are vital to ensure AI respects cultural values and patients' rights, balancing technological advancements with compassionate, equitable care.</t>
  </si>
  <si>
    <t>Ibrahim, Ateya Megahed; Zoromba, Mohamed Ali; Abousoliman, Ali D.; Zaghamir, Donia Elsaid Fathi; Alenezi, Ibrahim Naif; Elsayed, Ebtesam A.; Mohamed, Heba Ali Hamed</t>
  </si>
  <si>
    <t>Ibrahim, AM (corresponding author), Prince Sattam Bin Abdulaziz Univ, Coll Nursing, Al Kharj, Saudi Arabia.; Ibrahim, AM (corresponding author), Port Said Univ, Coll Nursing, Port Fuad, Egypt.</t>
  </si>
  <si>
    <t>ateyamegahed@yahoo.com</t>
  </si>
  <si>
    <t>Prince Sattam bin Abdulaziz University [PSAU/2025/R/1446]</t>
  </si>
  <si>
    <t>This study is supported via funding from Prince Sattam bin Abdulaziz University (Project number PSAU/2025/R/1446).</t>
  </si>
  <si>
    <t>[Ibrahim, Ateya Megahed; Zoromba, Mohamed Ali; Abousoliman, Ali D.; Zaghamir, Donia Elsaid Fathi] Prince Sattam Bin Abdulaziz Univ, Coll Nursing, Al Kharj, Saudi Arabia; [Ibrahim, Ateya Megahed; Zaghamir, Donia Elsaid Fathi] Port Said Univ, Coll Nursing, Port Fuad, Egypt; [Zoromba, Mohamed Ali] Mansoura Univ, Fac Nursing, Mansoura, Egypt; [Abousoliman, Ali D.] Kafrelsheikh Univ, Fac Nursing, Kafr Al Sheikh, Egypt; [Alenezi, Ibrahim Naif] Northern Border Univ, Coll Nursing, Dept Publ Hlth Nursing, Nursing Studies, Ar Ar, Saudi Arabia; [Elsayed, Ebtesam A.] Saudi Elect Univ, Coll Hlth Sci, Publ Hlth Dept, Riyadh, Saudi Arabia; [Elsayed, Ebtesam A.] Ain Shams Univ, Fac Nursing, Family &amp; Community Hlth Nursing Dept, Cairo, Egypt; [Mohamed, Heba Ali Hamed] Mansoura Univ, Fac Nursing, Dept Community Hlth Nursing, Mansoura, Egypt; [Mohamed, Heba Ali Hamed] Al Ghad Coll Appl Med Sci, Nursing Dept, Al Madinah Al Munawwara, Saudi Arabia</t>
  </si>
  <si>
    <t>Prince Sattam Bin Abdulaziz University; Egyptian Knowledge Bank (EKB); Port Said University; Egyptian Knowledge Bank (EKB); Mansoura University; Egyptian Knowledge Bank (EKB); Kafrelsheikh University; Northern Border University; Saudi Electronic University; Egyptian Knowledge Bank (EKB); Ain Shams University; Egyptian Knowledge Bank (EKB); Mansoura University</t>
  </si>
  <si>
    <t>Ethical implications of artificial intelligence integration in nursing practice in arab countries: literature review</t>
  </si>
  <si>
    <t>Arab countries; Artificial Intelligence; Nursing; Ethical considerations; Data security; Patient privacy</t>
  </si>
  <si>
    <t>Fathi Zaghamir, Donia Elsaid/QIV-1217-2026; Ibrahim, Ateya megahed/HPF-6878-2023; Elsayed, Ebtesam/HLG-3317-2023; Alenezi, Ibrahim N/GWR-0289-2022; Mohamed, Heba/ACI-9837-2022; Zoromba, Mohamed/B-1990-2019; Abousoliman, Ali/IQS-4616-2023</t>
  </si>
  <si>
    <t>Ibrahim, Ateya megahed/0000-0001-8192-0017; Elsayed, Ebtesam/0000-0001-6425-6724; Alenezi, Ibrahim N/0000-0003-2744-8465; ali, heba/0000-0002-4745-0688; Zoromba, Mohamed/0000-0002-4298-1121</t>
  </si>
  <si>
    <t>FEB 11 2025</t>
  </si>
  <si>
    <t>10.1186/s12912-025-02798-3</t>
  </si>
  <si>
    <t>http://dx.doi.org/10.1186/s12912-025-02798-3</t>
  </si>
  <si>
    <t>W6V4V</t>
  </si>
  <si>
    <t>39934834</t>
  </si>
  <si>
    <t>WOS:001419924900002</t>
  </si>
  <si>
    <t>Yan, YQ; Xue, XZ; Xie, JY; Liu, J; Sui, L; Jiang, T; Jin, ZY; Ou, D; Chuan, Z; Jin, MJ; Zhang, Y; Wang, VY; Luo, XM; Xu, SH; Xu, D</t>
  </si>
  <si>
    <t>Background: Dynamic HER2 expression changes during neoadjuvant therapy (NAT) challenge precision oncology. Current biopsy-dependent evaluation inadequately meets clinical needs for dynamic monitoring. We developed a non-invasive predictive model integrating pretreatment ultrasound radiomics and clinicopathological parameters to forecast post-NAT HER2 status evolution in breast cancer. Methods: In this multicenter retrospective study (January 2017-May 2023), 655 patients with paired pre- and post-NAT HER2 assessments were enrolled from three institutions. Pretreatment ultrasound images underwent manual tumor segmentation and radiomic feature extraction. Clinicopathological parameters, including baseline HER2 status and NAT regimen, were retrospectively collected. An Ultrasound Image Clinical Feature Fusion (UICFF) framework incorporating attention-guided multimodal feature selection was developed for HER2 transition prediction. Model performance was compared with six classical and two unimodal baselines. Survival outcomes were evaluated using Kaplan-Meier analysis. Results: Dynamic HER2 alterations occurred in 29.7 %, 34.6 %, and 25.5 % of the training, internal, and external cohorts, respectively. The multimodal UICFF achieved superior discrimination (AUC_internal = 0.811; AUC_external = 0.823), outperforming radiomics-only and clinicopathological-only models (external Delta AUCs: +0.193 and +0.125, respectively). SHapley Additive exPlanations analysis identified age, menopausal status, Ki67 index, and wavelet-based texture features as dominant predictors. Younger age and larger tumor size were positively associated with HER2 dynamics. Dynamic HER2 changes correlated with improved pathological response to HER2 blockade (58.6 % vs. 38.1 %) but showed no independent effect on 5-year event-free survival. Conclusions: The interpretable UICFF framework enables individualized, pretreatment prediction of HER2 evolution in patients undergoing NAT, providing a clinically actionable and noninvasive alternative to repeated biopsies.</t>
  </si>
  <si>
    <t>Yan, Yuqi; Xue, Xinzheng; Xie, Jiayu; Liu, Jian; Sui, Lin; Jiang, Tian; Jin, Zhiyan; Ou, Di; Chuan, Zhirui; Jin, Mingjie; Zhang, Yang; Wang, Vicky Yang; Luo, Xiaomao; Xu, Shihao; Xu, Dong</t>
  </si>
  <si>
    <t>Zhang, Y; Wang, VY; Xu, D (corresponding author), 1-2401,Xinshang Bldg,99 Citizen Ave, Wenling 317500, Peoples R China.; Luo, XM (corresponding author), 519 Kunzhou Rd, Kunming 650118, Peoples R China.; Xu, D (corresponding author), 1 East Banshan Rd, Hangzhou 310022, Peoples R China.</t>
  </si>
  <si>
    <t>blueskyluoxiaomao@163.com; yangzhang@waiim.org.cn; xudong@zjcc.org.cn; dcxshvip@wmu.edu.cn; wangyang@waiim.org.cn</t>
  </si>
  <si>
    <t>Pioneer and Leading Goose R&amp;D Program of Zhejiang [2023C04039]; Yunnan Provincial Department of Education Scientific Research Fund Project [2022J0235]; Yunnan Provincial Science and Technology Department-Kunming Medical University Joint Fund Applied Basic Research Project [202501AY070001-173]</t>
  </si>
  <si>
    <t>Pioneer and Leading Goose R&amp;D Program of Zhejiang; Yunnan Provincial Department of Education Scientific Research Fund Project; Yunnan Provincial Science and Technology Department-Kunming Medical University Joint Fund Applied Basic Research Project</t>
  </si>
  <si>
    <t>This work was supported by the Pioneer and Leading Goose R&amp;D Program of Zhejiang (2023C04039) , Yunnan Provincial Department of Education Scientific Research Fund Project (2022J0235) , and the Yunnan Provincial Science and Technology Department-Kunming Medical University Joint Fund Applied Basic Research Project (202501AY070001-173) .</t>
  </si>
  <si>
    <t>[Yan, Yuqi; Sui, Lin; Jiang, Tian; Ou, Di; Zhang, Yang; Wang, Vicky Yang; Xu, Dong] Zhejiang Canc Hosp, Dept Diagnost Ultrasound Imaging &amp; Intervent Thera, Hangzhou 310022, Peoples R China; [Yan, Yuqi; Sui, Lin; Jiang, Tian; Zhang, Yang; Wang, Vicky Yang; Xu, Dong] Chinese Acad Sci, Hangzhou Inst Med HIM, Res Ctr Intervent Med &amp; Engn, Hangzhou 310000, Zhejiang, Peoples R China; [Yan, Yuqi; Sui, Lin; Ou, Di; Zhang, Yang; Wang, Vicky Yang; Xu, Dong] Wenling Inst Big Data &amp; Artificial Intelligence In, Taizhou 317502, Peoples R China; [Yan, Yuqi; Sui, Lin; Zhang, Yang; Wang, Vicky Yang; Xu, Dong] Chinese Acad Sci, Hangzhou Inst Med HIM, Ctr Intelligent Diag &amp; Therapy Taizhou, Taizhou 317502, Peoples R China; [Yan, Yuqi; Liu, Jian; Sui, Lin; Ou, Di; Zhang, Yang; Wang, Vicky Yang] Taizhou Canc Hosp, Zhejiang Canc Hosp, Taizhou Key Lab Minimally Invas Intervent Therapy, Taizhou Branch, Taizhou 317502, Peoples R China; [Xue, Xinzheng; Liu, Jian] China Univ Min &amp; Technol, Sch Informat &amp; Control Engn, Xuzhou 221116, Peoples R China; [Xie, Jiayu; Jin, Zhiyan] Wenzhou Med Univ, Zhejiang Canc Hosp, Postgrad Training Base Alliance, Hangzhou 310022, Peoples R China; [Xie, Jiayu] Chinese Acad Sci, Zhejiang Canc Hosp, Hangzhou Inst Med, Breast Canc Ctr, Hangzhou 310022, Peoples R China; [Chuan, Zhirui; Luo, Xiaomao] Kunming Med Univ, Peking Univ, Affiliated Hosp 3, Canc Hosp,Yunnan Hosp,Yunnan Canc Hosp, Kunming 650118, Peoples R China; [Jin, Mingjie; Xu, Shihao] Wenzhou Med Univ, Affiliated Hosp 1, Dept Ultrasound Imaging, New Dist First Affiliated Hosp Wenzhou Med Univ, Wenzhou 325000, Peoples R China; [Xu, Dong] Wenzhou Med Univ, Wenzhou 325035, Zhejiang, Peoples R China</t>
  </si>
  <si>
    <t>Zhejiang Cancer Hospital; Chinese Academy of Sciences; Hangzhou Institute of Medicine, CAS; Chinese Academy of Sciences; Zhejiang Cancer Hospital; China University of Mining &amp; Technology; Wenzhou Medical University; Zhejiang Cancer Hospital; Chinese Academy of Sciences; Zhejiang Cancer Hospital; Hangzhou Institute of Medicine, CAS; Peking University; Kunming Medical University; Wenzhou Medical University; Wenzhou Medical University</t>
  </si>
  <si>
    <t>Prediction of HER2 changes post-neoadjuvant therapy based on fusion of ultrasound radiomics and clinicopathological features empowered by explainable AI: A multicenter study</t>
  </si>
  <si>
    <t>EUROPEAN JOURNAL OF CANCER</t>
  </si>
  <si>
    <t>HER2 Dynamics; Breast Cancer; Neoadjuvant Therapy; Ultrasound; Deep Learning; Radiomics</t>
  </si>
  <si>
    <t>BREAST-CANCER</t>
  </si>
  <si>
    <t>Xu, Dong/AFS-4478-2022; Xie, Jiayu/LTE-1327-2024; Luo, Xiaomao/JAC-3540-2023; Xue, Xinzheng/OIV-2810-2025</t>
  </si>
  <si>
    <t>Yan, Yuqi/0009-0002-9071-2441</t>
  </si>
  <si>
    <t>0959-8049</t>
  </si>
  <si>
    <t>1879-0852</t>
  </si>
  <si>
    <t>EUR J CANCER</t>
  </si>
  <si>
    <t>Eur. J. Cancer</t>
  </si>
  <si>
    <t>116158</t>
  </si>
  <si>
    <t>10.1016/j.ejca.2025.116158</t>
  </si>
  <si>
    <t>http://dx.doi.org/10.1016/j.ejca.2025.116158</t>
  </si>
  <si>
    <t>S8894</t>
  </si>
  <si>
    <t>41352003</t>
  </si>
  <si>
    <t>WOS:001637046000001</t>
  </si>
  <si>
    <t>Rajpoot, R; Gour, M; Jain, S; Semwal, VB</t>
  </si>
  <si>
    <t>In light of the ongoing battle against COVID-19, while the pandemic may eventually subside, sporadic cases may still emerge, underscoring the need for accurate detection from radiological images. However, the limited explainability of current deep learning models restricts clinician acceptance. To address this issue, our research integrates multiple CNN models with explainable AI techniques, ensuring model interpretability before ensemble construction. Our approach enhances both accuracy and interpretability by evaluating advanced CNN models on the largest publicly available X-ray dataset, COVIDx CXR-3, which includes 29,986 images, and the CT scan dataset for SARS-CoV-2 from Kaggle, which includes a total of 2,482 images. We also employed additional public datasets for cross-dataset evaluation, ensuring a thorough assessment of model performance across various imaging conditions. By leveraging methods including LIME, SHAP, Grad-CAM, and Grad-CAM++, we provide transparent insights into model decisions. Our ensemble model, which includes DenseNet169, ResNet50, and VGG16, demonstrates strong performance. For the X-ray image dataset, sensitivity, specificity, accuracy, F1-score, and AUC are recorded at 99.00%, 99.00%, 99.00%, 0.99, and 0.99, respectively. For the CT image dataset, these metrics are 96.18%, 96.18%, 96.18%, 0.9618, and 0.96, respectively. Our methodology bridges the gap between precision and interpretability in clinical settings by combining model diversity with explainability, promising enhanced disease diagnosis and greater clinician acceptance.</t>
  </si>
  <si>
    <t>Rajpoot, Reenu; Gour, Mahesh; Jain, Sweta; Semwal, Vijay Bhaskar</t>
  </si>
  <si>
    <t>Rajpoot, R (corresponding author), Maulana Azad Natl Inst Technol, Dept Comp Sci &amp; Engn, Bhopal 462003, India.</t>
  </si>
  <si>
    <t>rajputreenu@gmail.com</t>
  </si>
  <si>
    <t>[Rajpoot, Reenu; Gour, Mahesh; Jain, Sweta; Semwal, Vijay Bhaskar] Maulana Azad Natl Inst Technol, Dept Comp Sci &amp; Engn, Bhopal 462003, India</t>
  </si>
  <si>
    <t>National Institute of Technology (NIT System); Maulana Azad National Institute of Technology Bhopal</t>
  </si>
  <si>
    <t>Integrated ensemble CNN and explainable AI for COVID-19 diagnosis from CT scan and X-ray images</t>
  </si>
  <si>
    <t>Deep learning; Ensemble; Convolutional neural networks (CNN); Explainable AI; Chest X-ray images; CT scan images; COVID-19</t>
  </si>
  <si>
    <t>Gour, Mahesh/ABE-2155-2020; RAJPOOT, REENU/MCJ-7363-2025; jain, sweta/H-4976-2013; Semwal, Vijay Bhaskar/B-5628-2017</t>
  </si>
  <si>
    <t>Semwal, Vijay Bhaskar/0000-0003-0767-6057</t>
  </si>
  <si>
    <t>OCT 23 2024</t>
  </si>
  <si>
    <t>24985</t>
  </si>
  <si>
    <t>10.1038/s41598-024-75915-y</t>
  </si>
  <si>
    <t>http://dx.doi.org/10.1038/s41598-024-75915-y</t>
  </si>
  <si>
    <t>K1D2Y</t>
  </si>
  <si>
    <t>39443548</t>
  </si>
  <si>
    <t>WOS:001341352800023</t>
  </si>
  <si>
    <t>Donmez, TB; Mansour, M</t>
  </si>
  <si>
    <t>Alzheimer's disease (AD) plasma and cerebrospinal fluid (CSF) proteomics can distinguish AD from cognitively normal controls, but the generalizability of machine learning performance and the recurrence of biological signals across datasets require cautious interpretation. We developed an explainable artificial intelligence framework spanning two fluids and four ADNI proteomic datasets, covering 2082 modality specific samples, all analysed internally within ADNI. Phase 1 analysed plasma using a 119 analyte NULISA and targeted UPENN panel (n = 727; 216 CE, 511 controls). Phase 2 extended the analysis to CSF using SOMAscan7k, TMT-MS and targeted SET2, with Elecsys A beta 42, A beta 40, total tau and p-tau181 as anchor biomarkers. Only SOMAscan was subject-independent relative to Phase 1 plasma; TMT-MS and SET2 overlapped with Phase 1 for 96.0% and 97.7% of subjects and therefore are not independent replication cohorts. Under subject-level splits with fold internal preprocessing, we compared Elastic Net, Explainable Boosting Machines and gradient boosted trees with SHAP-based explanations. Among the candidate pipelines, we selected the pipeline with the highest held-out test ROC AUC for each platform; the selected values were 0.927 in plasma and 0.954-0.973 across the three CSF datasets. Because the same held out test performance was used for pipeline selection and headline reporting, these are optimistically selected single-holdout estimates, not unbiased estimates of generalizable or clinical performance. Explanations identified five recurring biological axes within ADNI: cholinergic (ACHE), tau/14-3-3 (YWHAG, YWHAZ, YWHAB, YWHAE), neuro-axonal (NEFL, NEFH), microglial/complement (CHIT1, SMOC1, CHI3L1, C7, CFH) and synaptic (NPTXR, NPTX2, DLG4, SYT5, VSNL1, ELAVL2). CSF analyses showed synaptic vesicle-cycle enrichment (q = 2 &amp; times; 10(-6)), and CSF YWHAG correlated strongly with total tau (rho = 0.87). Cross-fluid directional concordance was modest overall (54-57%) but increased to 73-80% among mapped analyte/protein rows reaching q &lt; 0.05 in CSF. These findings provide hypothesis-generating, internally supported evidence within ADNI. Independent external cohorts with locked pipelines are required to evaluate generalizable performance and biological reproducibility; the overlapping TMT-MS and SET2 analyses should not be interpreted as independent replication.</t>
  </si>
  <si>
    <t>Donmez, Turker Berk; Mansour, Mohammed</t>
  </si>
  <si>
    <t>Mansour, M (corresponding author), Sakarya Univ Appl Sci, Dept Mechatron Engn, TR-54050 Sakarya, Turkiye.</t>
  </si>
  <si>
    <t>turkerberkdonmez@gmail.com; mohammedmansour@subu.edu.tr</t>
  </si>
  <si>
    <t>Alzheimer's Disease Neuroimaging Initiative (ADNI; National Institutes of Health) [U01 AG024904]; Department of Defense ADNI [W81XWH-12-2-0012]; National Institute on Aging; National Institute of Biomedical Imaging and Bioengineering</t>
  </si>
  <si>
    <t>Alzheimer's Disease Neuroimaging Initiative (ADNI; National Institutes of Health) (United States Department of Health &amp; Human Services, National Institutes of Health (NIH) - USA, NIH National Institute of Neurological Disorders &amp; Stroke (NINDS)); Department of Defense ADNI (United States Department of Defense); National Institute on Aging (United States Department of Health &amp; Human Services, National Institutes of Health (NIH) - USA, NIH National Institute on Aging (NIA)); National Institute of Biomedical Imaging and Bioengineering (United States Department of Health &amp; Human Services, National Institutes of Health (NIH) - USA, NIH National Institute of Biomedical Imaging &amp; Bioengineering (NIBIB))</t>
  </si>
  <si>
    <t>The present analysis did not receive external funding. Data collection and sharing for this project were funded by the Alzheimer's Disease Neuroimaging Initiative (ADNI; National Institutes of Health Grant U01 AG024904) and the Department of Defense ADNI (award W81XWH-12-2-0012) . ADNI is further supported by the National Institute on Aging, the National Institute of Biomedical Imaging and Bioengineering and the private-sector contributions listed on the ADNI website.</t>
  </si>
  <si>
    <t>[Donmez, Turker Berk] Sakarya Univ Appl Sci, Dept Biomed Engn, TR-54050 Sakarya, Turkiye; [Mansour, Mohammed] Sakarya Univ Appl Sci, Dept Mechatron Engn, TR-54050 Sakarya, Turkiye</t>
  </si>
  <si>
    <t>Sakarya University of Applied Science; Sakarya University of Applied Science</t>
  </si>
  <si>
    <t>From prediction to mechanism: Explainable AI uncovers plasma and CSF proteomic signatures of Alzheimer's disease</t>
  </si>
  <si>
    <t>JOURNAL OF PROTEOMICS</t>
  </si>
  <si>
    <t>Alzheimer's disease; Explainable AI; SHAP; Plasma proteomics; CSF proteomics; ADNI</t>
  </si>
  <si>
    <t>CEREBROSPINAL-FLUID; GENETICS</t>
  </si>
  <si>
    <t>Dönmez, Türker Berk/HNP-0344-2023; Mansour, Mohammed/ACL-5254-2022</t>
  </si>
  <si>
    <t>Mansour, Mohammed/0000-0001-9672-0106</t>
  </si>
  <si>
    <t>1874-3919</t>
  </si>
  <si>
    <t>1876-7737</t>
  </si>
  <si>
    <t>J PROTEOMICS</t>
  </si>
  <si>
    <t>J. Proteomics</t>
  </si>
  <si>
    <t>105698</t>
  </si>
  <si>
    <t>10.1016/j.jprot.2026.105698</t>
  </si>
  <si>
    <t>http://dx.doi.org/10.1016/j.jprot.2026.105698</t>
  </si>
  <si>
    <t>KF9IT</t>
  </si>
  <si>
    <t>42297098</t>
  </si>
  <si>
    <t>WOS:001806014200001</t>
  </si>
  <si>
    <t>Ratcliffe, E; Devlin, C; Munot, S; Broadhead, T; Thangavelu, A; Quaranta, M; Nugent, D; Kalampokis, E; De Jong, D; Laios, A</t>
  </si>
  <si>
    <t>Background/Objectives: The incidence of acute kidney injury (AKI) following advanced epithelial ovarian cancer (EOC) surgery has not been extensively studied. This study aimed to investigate the incidence of AKI and identify preoperative and intraoperative predictors in patients undergoing advanced EOC cytoreduction using both traditional statistics and Artificial Intelligence (AI) modelling. Methods: Retrospective data were collected for 134 patients with a suspected or confirmed diagnosis of advanced EOC (FIGO Stage III-IV) who underwent surgical cytoreduction between January 2021 and December 2022 at a UK tertiary referral centre. AKI was diagnosed according to the KDIGO criteria. Data on 22 patient variables were extracted, including age, Charlson Comorbidity Index (CCI), procedure length, surgical complexity, and length of hospital stay. Logistic regression analysis was used for feature selection to identify AKI predictors, and an extreme gradient boost (XGBoost) model was applied to all variables related to AKI events. Results: The incidence of postoperative AKI was 6.72% (n=9). Predictive factors for AKI included younger age (OR = 0.942, p=0.037), lower CCI (OR = 0.415, p=0.015), longer procedure duration (OR = 1.006, p=0.019), and greater surgical effort (OR = 1.427, p=0.007). Patients with perioperative AKI experienced a doubling in the length of hospital stay (p=0.008). Mortality rates were similar between patients with and without AKI. AI-driven algorithms highlighted the complexity of AKI prediction and provided individual risk profiles, enabling future stratification and prompting different frequencies of AKI monitoring following cytoreduction. Conclusions: Predicting AKI is a complex task. This study found a lower-than-expected incidence of AKI following advanced EOC cytoreductive surgery. AKI is linked to heightened surgical risk-taking, underscoring the need for improved guidelines focusing on postoperative monitoring for targeted patients. Artificial Intelligence offers the potential for personalized AKI prediction.</t>
  </si>
  <si>
    <t>Ratcliffe, Elizabeth; Devlin, Ciara; Munot, Sarika; Broadhead, Timothy; Thangavelu, Amudha; Quaranta, Michela; Nugent, David; Kalampokis, Evangelos; De Jong, Diederick; Laios, Alexandros</t>
  </si>
  <si>
    <t>Laios, A (corresponding author), St James Univ Hosp, ESGO Ctr Excellence Ovarian Canc Surg, Dept Gynaecol Oncol, Leeds LS9 7TF, England.</t>
  </si>
  <si>
    <t>a.laios@nhs.net; david.nugent@nhs.net; s.munot@nhs.net; amudhathangavelu@nhs.net; ekal@uom.edu.gr; michela.quaranta@nhs.net; um21err@leeds.ac.uk; um19cmd@leeds.ac.uk; tim.broadhead@nhs.net; diederick.dejong@nhs.net</t>
  </si>
  <si>
    <t>[Ratcliffe, Elizabeth; Devlin, Ciara] Univ Leeds, Sch Med, Leeds LS2 9LU, England; [Munot, Sarika; Broadhead, Timothy; Thangavelu, Amudha; Quaranta, Michela; Nugent, David; De Jong, Diederick; Laios, Alexandros] St James Univ Hosp, ESGO Ctr Excellence Ovarian Canc Surg, Dept Gynaecol Oncol, Leeds LS9 7TF, England; [Kalampokis, Evangelos] Univ Macedonia, Dept Business Adm, Informat Syst Lab, Thessaloniki 54636, Greece</t>
  </si>
  <si>
    <t>University of Leeds; Saint James's University Hospital; University of Macedonia</t>
  </si>
  <si>
    <t>Incidence and Predictors of Acute Kidney Injury Following Advanced Ovarian Cancer Cytoreduction at a Tertiary UK Centre: An Exploratory Analysis and Insights from Explainable Artificial Intelligence</t>
  </si>
  <si>
    <t>CURRENT ONCOLOGY</t>
  </si>
  <si>
    <t>acute kidney injury; ovarian cancer; surgical cytoreduction; artificial intelligence</t>
  </si>
  <si>
    <t>EPITHELIAL OVARIAN; SURGERY</t>
  </si>
  <si>
    <t>Laios, Alexandros/AAN-9433-2020; Kalampokis, Evangelos/M-4337-2019; de Jong, Diederick/AAK-2586-2021</t>
  </si>
  <si>
    <t>Laios, Alexandros/0000-0002-4870-7393; Kalampokis, Evangelos/0000-0003-4416-8764; de Jong, Diederick/0000-0003-0081-674X</t>
  </si>
  <si>
    <t>1198-0052</t>
  </si>
  <si>
    <t>1718-7729</t>
  </si>
  <si>
    <t>CURR ONCOL</t>
  </si>
  <si>
    <t>Curr. Oncol.</t>
  </si>
  <si>
    <t>10.3390/curroncol32020073</t>
  </si>
  <si>
    <t>http://dx.doi.org/10.3390/curroncol32020073</t>
  </si>
  <si>
    <t>Y1F1S</t>
  </si>
  <si>
    <t>39996873</t>
  </si>
  <si>
    <t>WOS:001429663800001</t>
  </si>
  <si>
    <t>Jafarabadi, A; Abdolkarimi, ES</t>
  </si>
  <si>
    <t>Breast cancer is one of the leading causes of death worldwide. Despite advances in treatment, its increasing prevalence is a serious concern. Peripheral blood mononuclear cells (PBMCs) undergo gene expression changes when interacting with tumors and can be considered as promising biomarkers for early detection. This study aimed to identify potential biomarkers for breast cancer using explainable artificial intelligence (XAI) and machine learning models. Two datasets, GSE27562 and GSE47862, included healthy individuals and breast cancer patients. After careful preprocessing and data fusion, several machine learning models, including AdaBoost, XGBoost, Random Forest, and Decision Tree, were tested. The AdaBoost model achieved the highest accuracy of 98%. Using SHAP values, ten key genes that had the greatest impact on the model prediction were identified: MRPL3, SLC36A4, COMT, HAAO, KCTD10, FCHO1, RND2, RBM7, LBX1, and LTB4R. Pathway and functional analysis showed that these genes are involved in important processes such as protein metabolism and signal transduction and have high potential as biomarkers. Survival analysis was used to investigate the role of these genes in breast cancer prognosis, and Protein-Protein Interaction (PPI) analysis provided insights into the relationship and gene interaction networks. The findings of this study emphasize the high importance of PBMCs as a non-invasive tool for breast cancer prognosis and indicate that, given the high accuracy, interpretability, and potential of this method in clinical application, it can be used to transform cancer prognosis and develop therapeutic strategies.</t>
  </si>
  <si>
    <t>Jafarabadi, Azam; Abdolkarimi, Elahe Sadat</t>
  </si>
  <si>
    <t>Abdolkarimi, ES (corresponding author), Tafresh Univ, Dept Elect Engn, Tafresh 3951879611, Iran.</t>
  </si>
  <si>
    <t>Azamjafarabadi@shdu.ac.ir; E_abdolkarimi@tafreshu.ac.ir</t>
  </si>
  <si>
    <t>[Jafarabadi, Azam] Shahab Danesh Univ, Dept Elect Engn &amp; Informat Technol, Qom 3711687764, Iran; [Abdolkarimi, Elahe Sadat] Tafresh Univ, Dept Elect Engn, Tafresh 3951879611, Iran</t>
  </si>
  <si>
    <t>Advanced explainable AI-driven biomarker identification for early breast cancer detection using peripheral blood mononuclear cells: Insights into prognostic biomarkers</t>
  </si>
  <si>
    <t>Breast Cancer Detection; Peripheral Blood Mononuclear Cells (PBMCs); Machine Learning; Explainable Artificial Intelligence (XAI); Biomarkers; Gene Expression Profiling; SHAP Analysis</t>
  </si>
  <si>
    <t>EMT</t>
  </si>
  <si>
    <t>107910</t>
  </si>
  <si>
    <t>10.1016/j.bspc.2025.107910</t>
  </si>
  <si>
    <t>http://dx.doi.org/10.1016/j.bspc.2025.107910</t>
  </si>
  <si>
    <t>2DG1B</t>
  </si>
  <si>
    <t>WOS:001479888400001</t>
  </si>
  <si>
    <t>Parikh, RB; Zhang, YC; Kolla, L; Chivers, C; Courtright, KR; Zhu, JS; Navathe, AS; Chen, JB</t>
  </si>
  <si>
    <t>Sudden changes in health care utilization during the severe acute respiratory syndrome coronavirus 2 (SARS-CoV-2) pandemic may have impacted the performance of clinical predictive models that were trained prior to the pandemic. In this study, we evaluated the performance over time of a machine learning, electronic health record-based mortality prediction algorithm currently used in clinical practice to identify patients with cancer who may benefit from early advance care planning conversations. We show that during the pandemic period, algorithm identification of high-risk patients had a substantial and sustained decline. Decreases in laboratory utilization during the peak of the pandemic may have contributed to drift. Calibration and overall discrimination did not markedly decline during the pandemic. This argues for careful attention to the performance and retraining of predictive algorithms that use inputs from the pandemic period.</t>
  </si>
  <si>
    <t>Parikh, Ravi B.; Zhang, Yichen; Kolla, Likhitha; Chivers, Corey; Courtright, Katherine R.; Zhu, Jingsan; Navathe, Amol S.; Chen, Jinbo</t>
  </si>
  <si>
    <t>Parikh, RB (corresponding author), 423 Guardian Dr,Blockley 1102, Philadelphia, PA 19104 USA.</t>
  </si>
  <si>
    <t>ravi.parikh@pennmedicine.upenn.edu</t>
  </si>
  <si>
    <t>National Cancer Institute; National Cancer Institute [K08CA263541] Funding Source: NIH RePORTER; National Center for Advancing Translational Sciences [UL1TR001878] Funding Source: NIH RePORTER</t>
  </si>
  <si>
    <t>National Cancer Institute (United States Department of Health &amp; Human Services, National Institutes of Health (NIH) - USA, NIH National Cancer Institute (NCI)); National Cancer Institute (United States Department of Health &amp; Human Services, National Institutes of Health (NIH) - USA, NIH National Cancer Institute (NCI)); National Center for Advancing Translational Sciences (United States Department of Health &amp; Human Services, National Institutes of Health (NIH) - USA, NIH National Center for Advancing Translational Sciences (NCATS))</t>
  </si>
  <si>
    <t>This work was supported by grants from the National Cancer Institute to RBP (K08-CA-263541) and JC (R01-HL138306, UL1-TR001878).</t>
  </si>
  <si>
    <t>[Parikh, Ravi B.; Kolla, Likhitha; Chivers, Corey; Courtright, Katherine R.; Navathe, Amol S.] Univ Penn, Dept Med, Perelman Sch Med, Philadelphia, PA USA; [Parikh, Ravi B.; Zhang, Yichen; Zhu, Jingsan; Navathe, Amol S.] Univ Penn, Dept Med Eth &amp; Hlth Policy, Perelman Sch Med, Philadelphia, PA USA; [Parikh, Ravi B.; Navathe, Amol S.] Corporal Michael J Crescenz VA Med Ctr, Philadelphia, PA USA; [Kolla, Likhitha; Chen, Jinbo] Univ Penn, Dept Biostat Epidemiol &amp; Informat, Perelman Sch Med, Philadelphia, PA USA; [Parikh, Ravi B.] 423 Guardian Dr,Blockley 1102, Philadelphia, PA 19104 USA</t>
  </si>
  <si>
    <t>University of Pennsylvania; Pennsylvania Medicine; University of Pennsylvania; Pennsylvania Medicine; University of Pennsylvania; Pennsylvania Medicine</t>
  </si>
  <si>
    <t>Performance drift in a mortality prediction algorithm among patients with cancer during the SARS-CoV-2 pandemic</t>
  </si>
  <si>
    <t>SARS-CoV-2; machine learning; algorithm drift; mortality; cancer</t>
  </si>
  <si>
    <t>REGRESSION; MODELS</t>
  </si>
  <si>
    <t>Chivers, Corey/0000-0001-7290-2183</t>
  </si>
  <si>
    <t>10.1093/jamia/ocac221</t>
  </si>
  <si>
    <t>http://dx.doi.org/10.1093/jamia/ocac221</t>
  </si>
  <si>
    <t>7U7TG</t>
  </si>
  <si>
    <t>36409991</t>
  </si>
  <si>
    <t>WOS:000912331000001</t>
  </si>
  <si>
    <t>Rao, BD; Madhavi, K</t>
  </si>
  <si>
    <t>Diagnosis of bone cancer using histopathology images is essential for effective and timely treatment. However, contemporary diagnostic methods struggle to achieve high accuracy and interpretability while utilizing computational methods. Although existing methodologies in deep learning are promising, each suffers from significant limitations that arise from fundamental challenges in hyperparameter optimization, explainability, and generalizability across disparate datasets. Such disadvantages serve as barriers to clinical use, underscoring the need for a more reliable and comprehensible diagnostic framework. In this study, an Optimized Deep Learning Framework for Bone Cancer Detection (ODLF-BCD) algorithm is proposed by jointly combining Enhanced Bayesian Optimization (EBO), deep transfer learning from state-of-the-art pre-trained models (i.e., EfficientNet-B4, ResNet50, DenseNet121, InceptionV3, and VGG16), and explainable artificial intelligence, namely Grad-CAM and SHAP. It mitigates the state-of-the-art limitations through hyperparameter tuning, increased transparency, and data augmentation to balance the dataset. Extensive experiments verify the effectiveness of the proposed framework, where EfficientNet-B4 achieves 97.9% and 97.3% for binary and multi-class classification, respectively. Its performance is also confirmed with high precision, recall, and F1 score. Explainability facilitates the clinical interpretability of model predictions. Then, the proposed framework offers a robust and efficient alternative solution to the C-RAD, automating bone cancer diagnosis and enhancing the accuracy and transparency of the diagnosis. Its potential usefulness could provide clinicians with strong decision support systems for early and precise cancer detection.</t>
  </si>
  <si>
    <t>Rao, Bolleddu Devananda; Madhavi, K.</t>
  </si>
  <si>
    <t>Rao, BD (corresponding author), JNTUA, MLR Inst Technol, Hyderabad 500043, India.</t>
  </si>
  <si>
    <t>dev.bolleddu@gmail.com</t>
  </si>
  <si>
    <t>[Rao, Bolleddu Devananda] JNTUA, MLR Inst Technol, Hyderabad 500043, India; [Madhavi, K.] Jawaharlal Nehru Technol Univ, JNTUA Coll Engn, Dept CSE, Anantapur 515002, Ananthapuramu, India</t>
  </si>
  <si>
    <t>Jawaharlal Nehru Technological University - Anantapur; MLR Institute of Technology; Jawaharlal Nehru Technological University - Anantapur; JNTUA College of Engineering Anantapur</t>
  </si>
  <si>
    <t>Enhancing bone cancer detection through optimized pre trained deep learning models and explainable AI using the osteosarcoma tumor assessment dataset</t>
  </si>
  <si>
    <t>Bone cancer detection; Deep learning; Explainable AI; Transfer learning; Enhanced Bayesian optimization</t>
  </si>
  <si>
    <t>BOLLEDDU, DEVANANDA RAO/KRO-4391-2024</t>
  </si>
  <si>
    <t>BOLLEDDU, DEVANANDA RAO/0000-0002-1401-5516</t>
  </si>
  <si>
    <t>39104</t>
  </si>
  <si>
    <t>10.1038/s41598-025-26051-8</t>
  </si>
  <si>
    <t>http://dx.doi.org/10.1038/s41598-025-26051-8</t>
  </si>
  <si>
    <t>9OX0N</t>
  </si>
  <si>
    <t>41203786</t>
  </si>
  <si>
    <t>WOS:001611521500033</t>
  </si>
  <si>
    <t>Candanedo, D; Agyemang, E; Chaudhry, F; Franks, T; Taylor, B; Siliezar, K; Kakraba, S</t>
  </si>
  <si>
    <t>Mental health disorders in the workplace pose a significant global public health challenge, often resulting in reduced productivity. Timely and accurate prediction is essential for facilitating early and effective interventions. In this study, we evaluated six machine learning (ML) algorithms namely logistic regression, random forest, gradient boosting (GB), categorical boosting (CB), support vector machine, and neural network for their ability to predict treatment of mental health disorders using data from the Open Sourcing Mental Health (OSMH) Dataset. To enhance model interpretability and transparency, we incorporated explainable AI techniques, specifically SHapley Additive exPlanations (SHAP), to identify the most influential features driving model predictions. Key predictors included work interference, family history, age, available care options, and help-seeking behavior. The top 10 features identified by the CB and GB models were merged to form the final feature set for model development. Our results demonstrate that ML algorithms can effectively predict mental health outcomes in workplace settings, with the SHAP-enhanced CB and GB models showing the highest clinical relevance and potential for supporting early intervention strategies. The CB and GB models, optimized through feature selection using SHAP, both demonstrated superior performance on the testing data. The CB model achieved an accuracy of 0.8452, precision of 0.8278, recall of 0.9058, and F1 score of 0.8651, while the GB model achieved an accuracy of 0.8254, precision of 0.8357, recall of 0.8478, and F1 score of 0.8417. Both models also yielded the highest AUC scores (0.9101 for CB and 0.9070 for GB) indicating excellent discrimination ability. SHAP analysis revealed that work interference and family history were the most influential features positively impacting the prediction of mental health treatment (mean SHAP values: CB = +0.1724 and + 0.0354; GB = +0.1747 and + 0.0184, respectively), whereas coworkers and seeking help negatively impacted prediction (mean SHAP values: CB = -0.0329 and - 0.0120; GB = -0.0332 and - 0.0111, respectively). These findings highlight the potential of interpretable machine learning models to support targeted workplace mental health interventions. However, the results should be interpreted considering the pre-pandemic 2014 survey context, reliance on self-reported data, and the absence of external validation.</t>
  </si>
  <si>
    <t>Candanedo, Daniela; Agyemang, Edmund; Chaudhry, Farhana; Franks, Taylor; Taylor, Bailey; Siliezar, Kevin; Kakraba, Samuel</t>
  </si>
  <si>
    <t>Kakraba, S (corresponding author), Tulane Univ, Celia Scott Weatherhead Sch Publ Hlth &amp; Trop Med, Dept Biostat &amp; Data Sci, 1440 Canal St, New Orleans, LA 70112 USA.</t>
  </si>
  <si>
    <t>skakraba@tulane.edu</t>
  </si>
  <si>
    <t>Celia Scott Weatherhead School of Public Health and Tropical Medicine at Tulane University; Dean's Research Council Award (DRC)</t>
  </si>
  <si>
    <t>Edmund Fosu Agyemang (E.F.A) received summer 2025 support through a graduate assistantship funded by start-up funds awarded to S. K. by Celia Scott Weatherhead School of Public Health and Tropical Medicine at Tulane University. Additionally, E.F.A. acknowledges support from the Dean's Research Council Award (DRC), which has provided a full graduate assistantship from Fall 2025 to the present. The authors are thankful for this generous support.</t>
  </si>
  <si>
    <t>[Candanedo, Daniela; Siliezar, Kevin] Tulane Univ, Celia Scott Weatherhead Sch Publ Hlth &amp; Trop Med, Dept Epidemiol, New Orleans, LA USA; [Agyemang, Edmund; Chaudhry, Farhana; Franks, Taylor; Taylor, Bailey; Kakraba, Samuel] Tulane Univ, Celia Scott Weatherhead Sch Publ Hlth &amp; Trop Med, Dept Biostat &amp; Data Sci, 1440 Canal St, New Orleans, LA 70112 USA; [Kakraba, Samuel] Tulane Univ, Ctr Aging, Sch Med, New Orleans, LA 70112 USA; [Kakraba, Samuel] Tulane Univ, Conolly Alexander Inst Data Sci CAIDS, New Orleans, LA 70112 USA</t>
  </si>
  <si>
    <t>Tulane University; Tulane University; Tulane University; Tulane University</t>
  </si>
  <si>
    <t>Leveraging machine learning algorithms and explainable AI for predicting mental health disorder treatment at the workplace</t>
  </si>
  <si>
    <t>Mental health disorder; Work interference; Seek help; Categorical boosting; Gradient boosting; Machine learning (ML); Predictive modeling and analytics; SHapley Additive exPlanations (SHAP)</t>
  </si>
  <si>
    <t>AGYEMANG, EDMUND/HMV-5591-2023; Kakraba, Samuel/KFQ-7556-2024</t>
  </si>
  <si>
    <t>267</t>
  </si>
  <si>
    <t>107081</t>
  </si>
  <si>
    <t>10.1016/j.actpsy.2026.107081</t>
  </si>
  <si>
    <t>http://dx.doi.org/10.1016/j.actpsy.2026.107081</t>
  </si>
  <si>
    <t>JK5UK</t>
  </si>
  <si>
    <t>42176445</t>
  </si>
  <si>
    <t>WOS:001791537100001</t>
  </si>
  <si>
    <t>Armeanu, T; Popescu, D; Maftei, R; Diaconu, R; Tomita, DI; Novac, B; Novac, O; Doroftei, B</t>
  </si>
  <si>
    <t>Background: Predicting the number of euploid embryos is critical for optimising IVF outcomes and managing patient expectations. While maternal age and anti-M &amp; uuml;llerian hormone (AMH) are established markers of ovarian reserve, their combined predictive power regarding chromosomal normality remains a subject of clinical debate. Artificial intelligence is increasingly being explored in assisted reproduction as a non-invasive, data-driven approach to estimate embryo ploidy. By leveraging advanced models such as convolutional neural networks (CNNs) and machine learning algorithms to evaluate morphological and morphokinetic characteristics from time-lapse sequences, Al contributes to improving the accuracy and objectivity of embryo selection. Objective: This study evaluated the statistical association between maternal age. AMH levels, and fertilisation methods (IVF, ICSI, IMSI) and euploid embryo yield. A secondary objective was to translate these clinical findings into a visual decision-support system (DSS) grounded in an Explainable Al (XAI) framework. Methods: A retrospective observational study was conducted on 31 patients undergoing IVF with PGT-A. Statistical significance was assessed using one-way ANOVA and multiple linear regression. Building on these data, a specialised decision-support system was developed using React 19 and TypeScript, employing a binomial probability model to translate clinical biomarkers into intuitive success simulations.&lt;br /&gt; Results: Patients younger than 35 years exhibited significantly higher AMH levels (p = 0.033) and a higher mean number of euploid embryos (p = 0.032) compared to those greater than 35. The fertilisation method did not significantly influence euploidy outcomes (p = 0.99) The regression model was statistically significant (p = 0.03) explaining 22.1% of the variance. However, none of the individual predictors reached statistical significance, suggesting that the observed effect may be driven by the combined contribution of the variables rather than by independent effects. The resulting DSS operationalises these findings in a preliminary manner through real-time attrition modelling and "Opportunity Cost" visualisations. Conclusion: Maternal age may represent an important factor in embryo euploidy, while AMH provides a quantitative baseline for embryo yield. By synergising retrospective data with explainable Al, the developed framework offers a transparent, data-driven approach to fertility counselling. This study indicates that integrating statistical analysis with a visual decision-support system effectively bridges the gap between raw clinical data and patient-centred practice, facilitating more objective decision-making in in vitro fertilisation. The development of a conceptual decision support system based on these findings derived a secondary objective of the paper by exploring it.</t>
  </si>
  <si>
    <t>Armeanu (Popescu), Theodora; Popescu, Dan; Maftei, Radu; Diaconu, Roxana; Tomita, Daniela-Ivona; Novac, Bogdan; Novac, Otilia; Doroftei, Bogdan</t>
  </si>
  <si>
    <t>Tomita, DI (corresponding author), Apollonia Univ, Clin Dept, Pacurari St 11, Iasi 700511, Romania.</t>
  </si>
  <si>
    <t>daniela.tomita@yahoo.com</t>
  </si>
  <si>
    <t>[Armeanu (Popescu), Theodora; Popescu, Dan; Maftei, Radu; Diaconu, Roxana; Doroftei, Bogdan] Univ Med &amp; Pharm Grigore T Popa, Univ St 16, Iasi 700115, Romania; [Armeanu (Popescu), Theodora; Doroftei, Bogdan] Clin Hosp Obstet &amp; Gynecol Cuza Uoda, Cuza Uoda St 34, Iasi 700038, Romania; [Armeanu (Popescu), Theodora; Doroftei, Bogdan] Origyn Fertil Ctr, Palace St 3C, Iasi 700032, Romania; [Tomita, Daniela-Ivona] Apollonia Univ, Clin Dept, Pacurari St 11, Iasi 700511, Romania; [Novac, Bogdan; Novac, Otilia] Univ Med &amp; Pharm Grigore T Popa, Fac Med, Iasi 700115, Romania</t>
  </si>
  <si>
    <t>Grigore T Popa University of Medicine &amp; Pharmacy; Apollonia University</t>
  </si>
  <si>
    <t>From Statistical Regression to Explainable AI: A Synergistic Approach for Predicting Euploid Embryo Yield Based on Maternal Age, AMH, and a Visual Decision-Support System</t>
  </si>
  <si>
    <t>BRAIN-BROAD RESEARCH IN ARTIFICIAL INTELLIGENCE AND NEUROSCIENCE</t>
  </si>
  <si>
    <t>IVF; AMH; maternal age; euploid embryos; fertilisation method; ICSI; IMSI; XAI; decision-support system</t>
  </si>
  <si>
    <t>ANTI-MULLERIAN HORMONE; MECHANISMS; ANEUPLOIDY</t>
  </si>
  <si>
    <t>Novac, Bogdan/MEQ-1392-2025; Otilia, Novac/MZR-6502-2025; Doroftei, Bogdan/AAX-2358-2020</t>
  </si>
  <si>
    <t>EDUSOFT PUBLISHING</t>
  </si>
  <si>
    <t>BACAU</t>
  </si>
  <si>
    <t>9 MAI STR 82, BACAU, 600065, ROMANIA</t>
  </si>
  <si>
    <t>2068-0473</t>
  </si>
  <si>
    <t>2067-3957</t>
  </si>
  <si>
    <t>BRAIN-BROAD RES ARTI</t>
  </si>
  <si>
    <t>BRAIN-Broad Res. Artif. Intellect. Neurosci.</t>
  </si>
  <si>
    <t>377</t>
  </si>
  <si>
    <t>10.70594/brain/17.1/26</t>
  </si>
  <si>
    <t>http://dx.doi.org/10.70594/brain/17.1/26</t>
  </si>
  <si>
    <t>GI6FT</t>
  </si>
  <si>
    <t>WOS:001737280100025</t>
  </si>
  <si>
    <t>Abdollahi, Z; Huo, L; Fraser, D; Zhou, SM</t>
  </si>
  <si>
    <t>Objectives: The chronic kidney disease (CKD) patients were at high risk for severe clinical complications during the COVID-19 pandemic. Our objectives were to evaluate comorbidity prevalence; predict mortality risks for CKD patients during the pandemic; assess how various health factors interact to influence mortality; and provide insights for targeted prevention strategies. Method: We analysed data from 186,396 CKD patients in Mexico during the entire pandemic (Jan 2020- May 2023). Explainable artificial intelligence (XAI) methods with extreme gradient boosting (XGBoost) models and Shapley Additive Explanations (SHAP) were developed to predict mortality for CKD patients with model interpretations. Different metrics were used to comprehensively evaluate model's generalisation performances. Results: The most prevalent comorbidities were hypertension (64.39 %), diabetes (49.79 %), and obesity (16.46 %). Male patients and older individuals showed higher risk for adverse outcomes. The overall mortality rate was 19.33 %, with significantly higher mortality in COVID-19 positive patients (33.9 %) compared to COVID-19 negative patients (10.1 %). Comorbidities with the most significant impact on the mortality included diabetes, hypertension, and obesity, which were more frequent in the COVID-19 positive group and associated with higher rates of intubation, and ICU admission. Pneumonia was identified as a major predictor of negative outcomes in CKD patients with COVID-19. CVD was more common in the COVID-19 negative group. Our machine learning models achieved performances of AUC= 0.76 and F1-score= 0.75 for predicting mortality during the pandemic. Conclusion: Targeted management of comorbid conditions, especially respiratory infections, is crucial in CKD patients during pandemics.</t>
  </si>
  <si>
    <t>Abdollahi, Zeinab; Huo, Lin; Fraser, Donald; Zhou, Shang-Ming</t>
  </si>
  <si>
    <t>Huo, L (corresponding author), Guangxi Univ, China ASEAN Sch Econ, Nanning 530000, Peoples R China.; Zhou, SM (corresponding author), Univ Plymouth, Fac Hlth, Ctr Hlth Technol, Plymouth PL4 8AA, England.</t>
  </si>
  <si>
    <t>smzhou@ieee.org; lhuo@gxu.edu.cn</t>
  </si>
  <si>
    <t>UK CDT in Artificial Intelligence, Machine Learning and Advanced Computing [EP/S023992/1]; Guangxi University "Digital ASEAN Cloud Big Data Security and Mining Technology" Innovation Team; Major Project of National Social Science Foundation of China [16ZDA0092]; Guangxi University "Digital ASEAN Cloud Big Data Security and Mining Technology" Innovation</t>
  </si>
  <si>
    <t>UK CDT in Artificial Intelligence, Machine Learning and Advanced Computing; Guangxi University "Digital ASEAN Cloud Big Data Security and Mining Technology" Innovation Team; Major Project of National Social Science Foundation of China (National Office of Philosophy and Social Sciences); Guangxi University "Digital ASEAN Cloud Big Data Security and Mining Technology" Innovation</t>
  </si>
  <si>
    <t>SMZ was supported in part by the UK CDT in Artificial Intelligence, Machine Learning and Advanced Computing (EP/S023992/1) and the international collaboration with Guangxi University "Digital ASEAN Cloud Big Data Security and Mining Technology" Innovation Team. LH was supported in part by the Major Project of National Social Science Foundation of China (16ZDA0092), and in part by Guangxi University "Digital ASEAN Cloud Big Data Security and Mining Technology" Innovation. The funders had no involvement in the study design, collection, analysis and interpretation of data, writing of the report and decision to submit the article for publication.</t>
  </si>
  <si>
    <t>[Abdollahi, Zeinab] Univ Plymouth, Sch Engn Comp &amp; Math, Plymouth PL4 8AA, England; [Huo, Lin] Guangxi Univ, China ASEAN Sch Econ, Nanning 530000, Peoples R China; [Fraser, Donald] Cardiff Univ, Sch Med, Wales Kidney Res Unit, Cardiff CF14 4XN, Wales; [Zhou, Shang-Ming] Univ Plymouth, Fac Hlth, Ctr Hlth Technol, Plymouth PL4 8AA, England</t>
  </si>
  <si>
    <t>University of Plymouth; Guangxi University; Cardiff University; University of Plymouth</t>
  </si>
  <si>
    <t>Unravelling impact of comorbidities on mortality risks in CKD patients during the COVID-19 pandemic: An explainable AI-driven study</t>
  </si>
  <si>
    <t>ANNALS OF EPIDEMIOLOGY</t>
  </si>
  <si>
    <t>COVID-19; Chronic kidney disease; Comorbidities; Mortality; Machine learning; Interpretability; Risk factors</t>
  </si>
  <si>
    <t>CHRONIC KIDNEY-DISEASE; CARE</t>
  </si>
  <si>
    <t>Zhou, Shang-Ming/NTQ-7501-2025</t>
  </si>
  <si>
    <t>Zhou, Shang-Ming/0000-0002-0719-9353; Fraser, Donald/0000-0003-0102-9342; abdollahi, zeinab/0000-0001-8884-5339</t>
  </si>
  <si>
    <t>1047-2797</t>
  </si>
  <si>
    <t>1873-2585</t>
  </si>
  <si>
    <t>ANN EPIDEMIOL</t>
  </si>
  <si>
    <t>Ann. Epidemiol.</t>
  </si>
  <si>
    <t>10.1016/j.annepidem.2025.11.005</t>
  </si>
  <si>
    <t>http://dx.doi.org/10.1016/j.annepidem.2025.11.005</t>
  </si>
  <si>
    <t>N9352</t>
  </si>
  <si>
    <t>41309008</t>
  </si>
  <si>
    <t>WOS:001632071100001</t>
  </si>
  <si>
    <t>Thio, S; Lewis, M; Denaxas, S; Dobson, RJB</t>
  </si>
  <si>
    <t>Introduction Electronic health record (EHR) systems present clinicians with vast repositories of clinical information, creating a significant cognitive burden where critical details are easily overlooked. While Large Language Models (LLMs) offer transformative potential for data processing, they face significant limitations in clinical settings, particularly regarding context grounding and hallucinations. Current solutions typically isolate retrieval methods, focusing either on structured data (SQL/Cypher) or unstructured semantic search, but fail to integrate both simultaneously.Methods This work presents MediGRAF (Medical Graph Retrieval Augmented Framework), a novel hybrid Graph RAG system that bridges this gap. By uniquely combining Neo4j Text2Cypher capabilities for structured relationship traversal with vector embeddings for unstructured narrative retrieval, MediGRAF enables natural language querying of the complete patient journey. The system was evaluated using data from 10 patients from the MIMIC-IV dataset, generating 5,973 nodes and 5,963 relationships, across varying query complexities using both deterministic retrieval metrics and a structured clinical expert evaluation protocol.Results The system demonstrated 100% recall for factual queries, meaning all relevant information was retrieved and included in the output. Complex inference tasks achieved a mean expert quality score of 4.25/5 with zero safety violations across all evaluated cases.Discussion These results demonstrate that hybrid graph-grounding significantly advances clinical information retrieval, offering a safer and more comprehensive alternative to standard LLM deployments. By combining structured graph traversal with semantic vector search, MediGRAF addresses the critical limitations of isolated retrieval approaches, establishing a foundation for responsible AI deployment in clinical settings.</t>
  </si>
  <si>
    <t>Thio, Samuel; Lewis, Matthew; Denaxas, Spiros; Dobson, Richard J. B.</t>
  </si>
  <si>
    <t>Thio, S (corresponding author), UCL, Inst Hlth Informat, London, England.; Thio, S (corresponding author), Kings Coll London, Dept Biostat &amp; Hlth Informat, London, England.; Thio, S (corresponding author), UKRI Engn &amp; Phys Sci Res Council, DRIVE Hlth CDT, London, England.; Thio, S (corresponding author), Interdisciplinary Transformat Univ IT U, Computat Med Res Lab, Linz, Austria.</t>
  </si>
  <si>
    <t>samuel.j.thio@kcl.ac.uk</t>
  </si>
  <si>
    <t>UK Research and Innnovation (UKRI) Engineering and Physical Sciences Research Council (EPSRC) Centre for Doctoral Training in Data-Driven Health (DRIVE-Health) [EP/Y035216/1]; National Institute for Health and Care Research (NIHR) Maudsley Biomedical Research Centre; NIHR Biomedical Research Centre at the University College London Hospitals and Maudsley NHS Foundation Trusts</t>
  </si>
  <si>
    <t>UK Research and Innnovation (UKRI) Engineering and Physical Sciences Research Council (EPSRC) Centre for Doctoral Training in Data-Driven Health (DRIVE-Health); National Institute for Health and Care Research (NIHR) Maudsley Biomedical Research Centre; NIHR Biomedical Research Centre at the University College London Hospitals and Maudsley NHS Foundation Trusts</t>
  </si>
  <si>
    <t>The author(s) declared that financial support was received for this work and/or its publication. ST is supported by the UK Research and Innnovation (UKRI) Engineering and Physical Sciences Research Council (EPSRC) Centre for Doctoral Training in Data-Driven Health (DRIVE-Health) [Grant Ref: EP/Y035216/1], which is co-funded by the National Institute for Health and Care Research (NIHR) Maudsley Biomedical Research Centre. RD is supported by the NIHR Biomedical Research Centre at the University College London Hospitals and Maudsley NHS Foundation Trusts.</t>
  </si>
  <si>
    <t>[Thio, Samuel; Lewis, Matthew; Denaxas, Spiros; Dobson, Richard J. B.] UCL, Inst Hlth Informat, London, England; [Thio, Samuel; Dobson, Richard J. B.] Kings Coll London, Dept Biostat &amp; Hlth Informat, London, England; [Thio, Samuel] UKRI Engn &amp; Phys Sci Res Council, DRIVE Hlth CDT, London, England; [Thio, Samuel; Dobson, Richard J. B.] Interdisciplinary Transformat Univ IT U, Computat Med Res Lab, Linz, Austria; [Denaxas, Spiros] Interdisciplinary Transformat Univ ITU, Linz, Austria; [Denaxas, Spiros] British Heart Fdn Data Sci Ctr, London, England; [Denaxas, Spiros] Natl &amp; Kapodistrian Univ Athens, Athens, Greece; [Dobson, Richard J. B.] Kings Coll London, South London &amp; Maudsley NHS Fdn Trust, NIHR Biomed Res Ctr, London, England; [Dobson, Richard J. B.] Univ Coll London Hosp NHS Fdn Trust, NIHR Biomed Res Ctr, London, England; [Dobson, Richard J. B.] UCL, Hlth Data Res UK London, London, England</t>
  </si>
  <si>
    <t>University of London; University College London; University of London; King's College London; National &amp; Kapodistrian University of Athens; University of London; South London &amp; Maudsley NHS Trust; King's College London; University College London Hospitals NHS Foundation Trust; University of London; University College London; University of London; University College London</t>
  </si>
  <si>
    <t>Unlocking electronic health records: a hybrid graph RAG approach to safe clinical AI for patient QA</t>
  </si>
  <si>
    <t>electronic health records; knowledge graphs; large language models; natural language processing; Neo4j; retrieval-augmented generation; Text2Cypher; vector embeddings</t>
  </si>
  <si>
    <t>dobson, richard/C-9269-2011</t>
  </si>
  <si>
    <t>dobson, richard/0000-0003-4224-9245</t>
  </si>
  <si>
    <t>1780700</t>
  </si>
  <si>
    <t>10.3389/fdgth.2026.1780700</t>
  </si>
  <si>
    <t>http://dx.doi.org/10.3389/fdgth.2026.1780700</t>
  </si>
  <si>
    <t>FN4HQ</t>
  </si>
  <si>
    <t>41890309</t>
  </si>
  <si>
    <t>WOS:001722902500001</t>
  </si>
  <si>
    <t>Peters, TM; Scharlau, I</t>
  </si>
  <si>
    <t>Due to the application of artificial intelligence (AI) in high-risk domains such as law and medicine, trustworthy AI and trust in AI are increasingly relevant to science and the public. A typical conception, for example, in the context of medical diagnosis, is that a knowledgeable user receives AI-generated classifications as advice. Research to improve such interactions often aims to foster users' trust, which, in turn, should improve combined human-AI performance. Given that AI models can err, we argue that the possibility of critically reviewing and thus distrusting an AI decision is an equally interesting target for research. We created two image classification scenarios in which participants received mock-up AI advice. The quality of the advice decreases during a phase of the experiment. We studied task performance, as well as participants' trust and distrust, and tested whether an instruction to remain skeptical and to review each piece of advice led to better performance compared to a neutral condition. Our results indicate that this instruction does not improve but rather worsens the participants' performance. Repeated single-item self-reports of trust and distrust indicate an increase in trust and a decrease in distrust following the decline in AI's classification quality, with no difference between the two instructions. Furthermore, through a Bayesian Signal Detection Theory analysis, we provide a procedure to assess appropriate reliance in detail by quantifying whether the issues of under- and over-reliance have been mitigated. We discuss the implications of our results for the usage of disclaimers before interacting with AI, as prominently used in current LLM-based chatbots, and for trust and distrust research.</t>
  </si>
  <si>
    <t>Peters, Tobias M.; Scharlau, Ingrid</t>
  </si>
  <si>
    <t>Peters, TM (corresponding author), Paderborn Univ, Fac Arts &amp; Humanities, Dept Psychol, Paderborn, Germany.</t>
  </si>
  <si>
    <t>tobias.peters@upb.de</t>
  </si>
  <si>
    <t>Deutsche Forschungsgemeinschaft (DFG, German Research Foundation) [TRR 318/1 2021-438445824]</t>
  </si>
  <si>
    <t>The author(s) declare that financial support was received for the research and/or publication of this article. We gratefully acknowledge funding from the Deutsche Forschungsgemeinschaft (DFG, German Research Foundation) for grant TRR 318/1 2021-438445824.</t>
  </si>
  <si>
    <t>[Peters, Tobias M.; Scharlau, Ingrid] Paderborn Univ, Fac Arts &amp; Humanities, Dept Psychol, Paderborn, Germany</t>
  </si>
  <si>
    <t>University of Paderborn</t>
  </si>
  <si>
    <t>Interacting with fallible AI: is distrust helpful when receiving AI misclassifications?</t>
  </si>
  <si>
    <t>trust in AI; trust; distrust; human-AI interaction; Signal Detection Theory; Bayesian parameter estimation; image classification</t>
  </si>
  <si>
    <t>DEEP NEURAL-NETWORKS; TRUST; AUTOMATION</t>
  </si>
  <si>
    <t>Scharlau, Ingrid/AAF-7777-2021</t>
  </si>
  <si>
    <t>MAY 27 2025</t>
  </si>
  <si>
    <t>1574809</t>
  </si>
  <si>
    <t>10.3389/fpsyg.2025.1574809</t>
  </si>
  <si>
    <t>http://dx.doi.org/10.3389/fpsyg.2025.1574809</t>
  </si>
  <si>
    <t>3NU3Q</t>
  </si>
  <si>
    <t>40497113</t>
  </si>
  <si>
    <t>WOS:001504755900001</t>
  </si>
  <si>
    <t>Moore, J; Frangieh, J; Capello, A; Montejo, L; Lukkahatai, N; Aryal, S; Zhang, JRY; Mudd, S</t>
  </si>
  <si>
    <t>Background: Artificial intelligence (AI) is transforming higher education and healthcare, yet nursing faculty lack practical guidance for determining appropriate AI use in specific academic tasks. Institutional AI policies establish boundaries but rarely address learning outcomes, task purposes, or nursing-specific responsibilities such as patient privacy, clinical judgment development, and professional accountability. Purpose: To present the AI Use Framework for Nursing Education, a six-category pedagogical framework that operationalizes responsible AI integration at the task level. Methods: A 10-member taskforce adapted the Artificial Intelligence Assessment Scale through targeted review of existing frameworks, iterative refinement guided by four principles (transparency over detection, learning outcome alignment, nursing-specific contextualization, and developmental scaffolding), and consultation with faculty across pre-licensure through doctoral programs. Results: The framework provides six categories: (a) No AI, (b) AI-Assisted Editing and Formatting, (c) AIAssisted Planning and Ideation, (d) AI-Assisted Content Creation with limited and extensive subcategories, (e) AI System Evaluation and Research, and (f) AI Application Design and Development. Three distinguishing features include embedded protected health information/personally identifiable information safeguards, differentiated process evidence recommendations enabling faculty to tailor documentation requirements to learning outcomes and task complexity, and Bloom's-aligned separation of AI evaluation from AI creation activities. Conclusion: The framework bridges institutional policy and pedagogical practice through healthcare-specific adaptations. Implementation requires comprehensive infrastructure including AI literacy education, institutional guidelines, and faculty support. This structured, task-level guidance positions nursing education to lead intentional AI integration while preparing students for AI-enabled practice environments. (c) 2026 Elsevier Inc. All rights are reserved, including those for text and data mining, AI training, and similar technologies.</t>
  </si>
  <si>
    <t>Moore, Jeanne; Frangieh, Jihane; Capello, Angela; Montejo, Leigh; Lukkahatai, Nada; Aryal, Subhash; Zhang, Jeremy; Mudd, Shawna</t>
  </si>
  <si>
    <t>Moore, J (corresponding author), Johns Hopkins Univ, Sch Nursing, 525 N Wolfe St, Baltimore, MD 21205 USA.</t>
  </si>
  <si>
    <t>jmoor205@jh.edu</t>
  </si>
  <si>
    <t>[Moore, Jeanne; Frangieh, Jihane; Capello, Angela; Montejo, Leigh; Lukkahatai, Nada; Aryal, Subhash; Zhang, Jeremy; Mudd, Shawna] Johns Hopkins Univ, Sch Nursing, 525 N Wolfe St, Baltimore, MD 21205 USA</t>
  </si>
  <si>
    <t>Johns Hopkins University</t>
  </si>
  <si>
    <t>An artificial intelligence use framework for nursing education: Bridging policy and pedagogical implementation</t>
  </si>
  <si>
    <t>Available online xxxx; Artificial intelligence; Nursing education; Curriculum development; Academic integrity; Educational assessment; Pedagogy; Framework</t>
  </si>
  <si>
    <t>102856</t>
  </si>
  <si>
    <t>10.1016/j.outlook.2026.102856</t>
  </si>
  <si>
    <t>http://dx.doi.org/10.1016/j.outlook.2026.102856</t>
  </si>
  <si>
    <t>MC5FZ</t>
  </si>
  <si>
    <t>42531800</t>
  </si>
  <si>
    <t>WOS:001838980800001</t>
  </si>
  <si>
    <t>Purohit, R; Saineni, S; Chalise, S; Mathai, R; Sambandam, R; Medina-Perez, R; Bhanusali, N</t>
  </si>
  <si>
    <t>Artificial Intelligence (AI) is poised to revolutionize healthcare by enhancing clinical practice, diagnostics, and patient care. Although AI offers potential benefits through data-driven insights and personalized treatments, challenges related to implementation, barriers, and ethical considerations necessitate further investigation. We conducted a cross-sectional survey using Qualtrics from October to December 2023 to evaluate U.S. rheumatology fellows' perspectives on AI in healthcare. The survey was disseminated via email to program directors, who forwarded it to their fellows. It included multiple-choice, Likert scale, and open-ended questions covering demographics, AI awareness, usage, and perceptions. Statistical analyses were performed using Spearman correlation and Chi-Square tests. The study received IRB approval and adhered to STROBE guidelines. The survey aimed to reach 528 U.S. rheumatology fellows. 95 fellows accessed the survey with response rate to each question varying between 85 and 95 participants. 57.6% were females, 66.3% aged 30-35, and 60.2% in their first fellowship year. There was a positive correlation between AI familiarity and confidence (Spearman's rho = 0.216, p = 0.044). Furthermore, 67.9% supported incorporating AI education into fellowship programs, with a significant relationship (p &lt; 0.005) between AI confidence and support for AI education. Fellows recognized AI's benefits in reducing chart time (86.05%) and automating tasks (73.26%), but expressed concerns about charting errors (67.86%) and over-reliance (61.90%). Most (84.52%) disagreed with the notion of AI replacing them. Rheumatology fellows exhibit enthusiasm for AI integration yet have reservations about its implementation and ethical implications. Addressing these challenges through collaborative efforts can ensure responsible AI integration, prioritizing patient safety and ethical standards in rheumatology and beyond.</t>
  </si>
  <si>
    <t>Purohit, Richa; Saineni, Sathvik; Chalise, Sweta; Mathai, Reanne; Sambandam, Rajan; Medina-Perez, Richard; Bhanusali, Neha</t>
  </si>
  <si>
    <t>Purohit, R (corresponding author), Concentra Urgent Care, 8119 S Orange Ave, Orlando, FL 32809 USA.</t>
  </si>
  <si>
    <t>sathvik.saineni@ucf.edu; doctorricha5107@gmail.com; reannemathai@gmail.com; soyota.chalise@gmail.com; neha.bhanusali@ucf.edu; sambandamra@gmail.com; Richard.MedinaPerez@ucf.edu</t>
  </si>
  <si>
    <t>[Purohit, Richa] Concentra Urgent Care, 8119 S Orange Ave, Orlando, FL 32809 USA; [Saineni, Sathvik] Univ Cent Florida, Coll Med, Dept Internal Med, Orlando, FL USA; [Chalise, Sweta] Univ South Carolina, Columbia, SC USA; [Mathai, Reanne] Univ Cent Florida HCA Healthcare GME, Orlando, FL USA; [Sambandam, Rajan] Lake Highland Preparatory Sch, Orlando, FL USA; [Medina-Perez, Richard] Univ Cent Florida, Coll Med, Dept Rheumatol, Orlando, FL USA; [Bhanusali, Neha] Univ Cent Florida, Coll Med, Orlando, FL USA</t>
  </si>
  <si>
    <t>State University System of Florida; University of Central Florida; University of South Carolina System; University of South Carolina Columbia; State University System of Florida; University of Central Florida; State University System of Florida; University of Central Florida</t>
  </si>
  <si>
    <t>Artificial intelligence in rheumatology: perspectives and insights from a nationwide survey of US rheumatology fellows</t>
  </si>
  <si>
    <t>RHEUMATOLOGY INTERNATIONAL</t>
  </si>
  <si>
    <t>Surveys and questionnaires; Artificial intelligence; Machine learning; Computer assisted decision making; Rheumatology</t>
  </si>
  <si>
    <t>Purohit, Richa/0009-0008-0604-0501; Bhanusali, Neha/0000-0003-1800-3747</t>
  </si>
  <si>
    <t>0172-8172</t>
  </si>
  <si>
    <t>1437-160X</t>
  </si>
  <si>
    <t>RHEUMATOL INT</t>
  </si>
  <si>
    <t>Rheumatol. Int.</t>
  </si>
  <si>
    <t>3053</t>
  </si>
  <si>
    <t>3061</t>
  </si>
  <si>
    <t>10.1007/s00296-024-05737-8</t>
  </si>
  <si>
    <t>http://dx.doi.org/10.1007/s00296-024-05737-8</t>
  </si>
  <si>
    <t>O7A2N</t>
  </si>
  <si>
    <t>39453506</t>
  </si>
  <si>
    <t>WOS:001342170400001</t>
  </si>
  <si>
    <t>Rantung, G; Wulandari, I; Sihotang, J; Silalahi, H; Zhong, YP</t>
  </si>
  <si>
    <t>Aim: To explore how nursing students described and interpreted their use of generative artificial intelligence in relation to workplace violence during clinical placement. Background: Workplace violence during clinical placement can affect students' learning, confidence and sense of safety. Although generative artificial intelligence is increasingly accessible in nursing education, little is known about how students use it when responding to distressing or uncertain clinical encounters. Design: A qualitative exploratory study. Methods: The study was underpinned by an interpretivist paradigm and a constructivist epistemological orientation. Participants were 24 final-year undergraduate nursing students in Indonesia who had experienced or witnessed workplace violence and used generative artificial intelligence in relation to those experiences. Data were collected through semi-structured interviews conducted in Bahasa Indonesia and analysed using reflexive thematic analysis. Findings: Three themes were developed: generative artificial intelligence as a discreet coping resource in constrained clinical environments; as a practical guide for navigating difficult clinical encounters; and as an interpretive resource for rights, reporting and future planning. Participants used artificial intelligence to disclose distress privately, rehearse respectful but protective communication, interpret volatile situations and consider reporting and future options. Conclusion: Nursing students' use of generative artificial intelligence in relation to workplace violence should not be interpreted as a substitute for human or organisational support. These findings highlight the need for responsible artificial intelligence literacy, including guidance on privacy, verification and appropriate escalation, alongside stronger clinical placement preparation, post-incident debriefing and reporting support.</t>
  </si>
  <si>
    <t>Rantung, Gilny; Wulandari, Imanuel; Sihotang, Jay; Silalahi, Harlena; Zhong, Yaping</t>
  </si>
  <si>
    <t>Rantung, G (corresponding author), Univ Advent Indonesia, Fac Nursing, Jl Kolonel Masturi 288, Bandung Barat 40559, West Java, Indonesia.</t>
  </si>
  <si>
    <t>gilnyaileen@unai.edu</t>
  </si>
  <si>
    <t>Directorate of Research and Community Service, Ministry of Higher Education, Science and Technology, Indonesia</t>
  </si>
  <si>
    <t>This study was supported by funding administered by the Directorate of Research and Community Service, Ministry of Higher Education, Science and Technology, Indonesia. The funder had no role in the study design, data collection, data analysis, interpretation of findings, manuscript preparation or decision to submit the article for publication.</t>
  </si>
  <si>
    <t>[Rantung, Gilny; Wulandari, Imanuel] Univ Advent Indonesia, Fac Nursing, Bandung 40559, West Java, Indonesia; [Sihotang, Jay] Univ Advent Indonesia, Fac Informat Technol, Bandung 40559, West Java, Indonesia; [Silalahi, Harlena] Jurupa Hills Post Acute, Nursing, Jurupa Valley, CA 92509 USA; [Zhong, Yaping] Monash Univ, Nursing &amp; Midwifery Dept, Clayton, Vic 3800, Australia</t>
  </si>
  <si>
    <t>Nursing students' informal use of generative artificial intelligence in relation to workplace violence during clinical placement: A qualitative exploratory study</t>
  </si>
  <si>
    <t>Artificial intelligence; Clinical placement; Generative artificial intelligence; Nursing students; Psychological safety; Qualitative research; Workplace violence</t>
  </si>
  <si>
    <t>SIZE</t>
  </si>
  <si>
    <t>104936</t>
  </si>
  <si>
    <t>10.1016/j.nepr.2026.104936</t>
  </si>
  <si>
    <t>http://dx.doi.org/10.1016/j.nepr.2026.104936</t>
  </si>
  <si>
    <t>MB3US</t>
  </si>
  <si>
    <t>42526309</t>
  </si>
  <si>
    <t>WOS:001838202800001</t>
  </si>
  <si>
    <t>Alalawi, K</t>
  </si>
  <si>
    <t>Breast cancer remains one of the most frequently diagnosed cancers worldwide, and improving the accuracy and transparency of automated diagnostic tools is an ongoing clinical priority. This study examines whether three established machine-learning classifiers achieve comparable performance on a standard breast cancer benchmark and whether their SHAP-based feature explanations converge on the same predictive signals across model architectures. Logistic Regression (LR), Support Vector Machines (SVM), and XGBoost were trained and tested on the Wisconsin Diagnostic Breast Cancer (WDBC) dataset using a shared preprocessing pipeline to ensure fair comparison. Hyperparameters were selected through grid search with 5-fold stratified cross-validation, and model performance was estimated using 10-fold stratified cross-validation. Paired t-tests and Wilcoxon signed-rank tests were used to determine whether performance differences between models were statistically meaningful. Shapley Additive explanations (SHAP) values were computed separately for XGBoost using TreeExplainer and for Logistic Regression using LinearExplainer, and Spearman's rank correlation was used to quantify the agreement between the two models' feature importance rankings. All three classifiers achieved Receiver Operating Characteristic-Area Under the Curve (ROC-AUCs) above 0.994, with SVM achieving the highest accuracy (0.9737) and F1-score (0.9630). No statistically significant difference was found between any model pair (p &gt; 0.05). The cross-model SHAP analysis yielded a Spearman correlation of r = 0.578 (p = 0.0008), with seven of the ten most important features ranked consistently across both architectures. The agreement between two structurally different models on which features matter most provides evidence that these features carry a consistent predictive signal that goes beyond what any single model's architecture alone would produce. Cross-model explainability analysis of this kind offers a stronger basis for feature interpretation than the output of any single model.</t>
  </si>
  <si>
    <t>Alalawi, Khalid</t>
  </si>
  <si>
    <t>Alalawi, K (corresponding author), Taibah Univ, Coll Comp Sci &amp; Engn CCSE, Medina 42353, Saudi Arabia.</t>
  </si>
  <si>
    <t>kalwai@taibahu.edu.sa</t>
  </si>
  <si>
    <t>[Alalawi, Khalid] Taibah Univ, Coll Comp Sci &amp; Engn CCSE, Medina 42353, Saudi Arabia</t>
  </si>
  <si>
    <t>Taibah University</t>
  </si>
  <si>
    <t>Comparative Explainable AI for Breast Cancer Classification: Cross-Model SHAP Agreement Analysis Using XGBoost and Logistic Regression</t>
  </si>
  <si>
    <t>breast cancer; machine learning; explainable AI; SHAP; XGBoost; logistic regression; feature importance</t>
  </si>
  <si>
    <t>INTELLIGENCE; TESTS</t>
  </si>
  <si>
    <t>Alalawi, Khalid/PAU-3200-2025</t>
  </si>
  <si>
    <t>5684</t>
  </si>
  <si>
    <t>10.3390/app16115684</t>
  </si>
  <si>
    <t>http://dx.doi.org/10.3390/app16115684</t>
  </si>
  <si>
    <t>JI2ZX</t>
  </si>
  <si>
    <t>WOS:001789992700001</t>
  </si>
  <si>
    <t>Kim, S; Choi, BK; Cho, JS; Huh, U; Shin, MJ; Obradovic, Z; Rubin, DJ; Lee, JI; Park, JH</t>
  </si>
  <si>
    <t>Background Frailty is a public health concern linked to falls, disability, and mortality. Early screening and tailored interventions can mitigate adverse outcomes, but community settings require tools that are accurate and explainable. Korea is entering a super-aged phase, yet few approaches have used nationally representative survey data.Objective This study aimed to identify key predictors of frailty risk using the K-FRAIL scale using explainable machine learning (ML), based on data from the 2023 National Survey of Older Koreans (NSOK). It also sought to develop and internally validate prediction models. To demonstrate the potential applicability of these models in community public health and clinical practice, a web-based application was implemented.Methods Data from 10,078 older adults were analyzed, with frailty defined by the K-FRAIL scale (robust = 0, pre-frail = 1-2, and frail = 3-5). A total of 132 candidate variables were constructed through selection and derivation. Using CatBoost with out-of-fold (OOF) SHapley Additive exPlanations (SHAP, a game-theoretic approach to quantify feature contributions), 15 key predictors were identified and applied across 10 algorithms under nested cross-validation (CV). Model performance was evaluated using receiver operating characteristic-area under the curve (ROC-AUC), precision-recall area under the curve (PR-AUC), F1-score, balanced accuracy, and the Brier score. To assess feasibility, a single-page bilingual web application was developed, integrating the CatBoost inference pipeline for offline use.Results SHAP analysis identified depression score, age, instrumental activities of daily living (IADL) count, sleep quality, and cognition as the leading predictors, followed by smartphone use, number of medications, province, driving status, hospital use, physical activity, osteoporosis, eating alone, digital adaptation difficulty, and sex, yielding 15 key predictors across the mental, functional, lifestyle, social, and digital domains. Using these predictors, boosting models outperformed other algorithms, with CatBoost achieving the best performance (ROC-AUC = 0.813 +/- 0.014; PR-AUC = 0.748 +/- 0.019).Conclusion An explainable machine learning model with strong discrimination performance and adequate calibration was developed, accompanied by a lightweight web application for potential use in community and clinical settings. However, external validation, recalibration, and subgroup fairness assessments are needed to ensure generalizability and clinical adoption.</t>
  </si>
  <si>
    <t>Kim, Seungmi; Choi, Byung Kwan; Cho, Jeong Su; Huh, Up; Shin, Myung-Jun; Obradovic, Zoran; Rubin, Daniel J.; Lee, Jae Il; Park, Jong-Hwan</t>
  </si>
  <si>
    <t>Lee, JI (corresponding author), Pusan Natl Univ Hosp, Biomed Res Inst, Busan, South Korea.; Lee, JI (corresponding author), Pusan Natl Univ, Sch Med, Dept Neurosurg, Yangsan, South Korea.; Lee, JI (corresponding author), Pusan Natl Univ Hosp, Dept Neurosurg, Busan, South Korea.; Park, JH (corresponding author), Pusan Natl Univ, Dept Convergence Med, Sch Med, Yangsan, South Korea.; Park, JH (corresponding author), Pusan Natl Univ Hosp, Convergence Med Inst Technol, Busan, South Korea.</t>
  </si>
  <si>
    <t>parkj@pusan.ac.kr; medifirst@pusan.ac.kr</t>
  </si>
  <si>
    <t>Biomedical Research Institute Grant [20240042]; Pusan National University Hospital</t>
  </si>
  <si>
    <t>Biomedical Research Institute Grant; Pusan National University Hospital (Pusan National University)</t>
  </si>
  <si>
    <t>The author(s) declare that financial support was received for the research and/or publication of this article. This study was supported by the Biomedical Research Institute Grant (20240042), Pusan National University Hospital.</t>
  </si>
  <si>
    <t>[Kim, Seungmi] Pusan Natl Univ, Sch Med, Dept Convergence Med Sci, Yangsan, South Korea; [Choi, Byung Kwan; Cho, Jeong Su; Huh, Up; Shin, Myung-Jun; Lee, Jae Il] Pusan Natl Univ Hosp, Biomed Res Inst, Busan, South Korea; [Choi, Byung Kwan; Lee, Jae Il] Pusan Natl Univ, Sch Med, Dept Neurosurg, Yangsan, South Korea; [Choi, Byung Kwan; Lee, Jae Il] Pusan Natl Univ Hosp, Dept Neurosurg, Busan, South Korea; [Cho, Jeong Su; Huh, Up] Pusan Natl Univ, Sch Med, Dept Thorac &amp; Cardiovasc Surg, Yangsan, South Korea; [Cho, Jeong Su; Huh, Up] Pusan Natl Univ Hosp, Dept Thorac &amp; Cardiovasc Surg, Busan, South Korea; [Shin, Myung-Jun] Pusan Natl Univ, Sch Med, Dept Rehabil Med, Yangsan, South Korea; [Shin, Myung-Jun] Pusan Natl Univ Hosp, Dept Rehabil Med, Busan, South Korea; [Obradovic, Zoran] Temple Univ, Ctr Data Analyt &amp; Biomed Informat, Philadelphia, PA USA; [Obradovic, Zoran] Temple Univ, Dept Comp &amp; Informat Sci, Temple, TX USA; [Rubin, Daniel J.] Temple Univ, Lewis Katz Sch Med, Temple, TX 19122 USA; [Park, Jong-Hwan] Pusan Natl Univ, Dept Convergence Med, Sch Med, Yangsan, South Korea; [Park, Jong-Hwan] Pusan Natl Univ Hosp, Convergence Med Inst Technol, Busan, South Korea</t>
  </si>
  <si>
    <t>Pusan National University; Pusan National University Hospital; Pusan National University; Pusan National University Hospital; Pusan National University; Pusan National University Hospital; Pusan National University; Pusan National University Hospital; Pennsylvania Commonwealth System of Higher Education (PCSHE); Temple University; Pennsylvania Commonwealth System of Higher Education (PCSHE); Temple University; Pennsylvania Commonwealth System of Higher Education (PCSHE); Temple University; Pusan National University; Pusan National University Hospital</t>
  </si>
  <si>
    <t>Development of machine learning models with explainable AI for frailty risk prediction and their web-based application in community public health</t>
  </si>
  <si>
    <t>frailty; explainable AI; machine learning; SHAP; prediction model; digital health</t>
  </si>
  <si>
    <t>OLDER-PEOPLE; ADULTS; INDEX; SMOTE; BIAS</t>
  </si>
  <si>
    <t>Shin, Myung Jun/D-7165-2015; Rubin, Daniel/AAW-2601-2021</t>
  </si>
  <si>
    <t>Choi, Byung Kwan/0000-0001-5244-4592</t>
  </si>
  <si>
    <t>NOV 6 2025</t>
  </si>
  <si>
    <t>1698062</t>
  </si>
  <si>
    <t>10.3389/fpubh.2025.1698062</t>
  </si>
  <si>
    <t>http://dx.doi.org/10.3389/fpubh.2025.1698062</t>
  </si>
  <si>
    <t>9YN3Q</t>
  </si>
  <si>
    <t>41283058</t>
  </si>
  <si>
    <t>WOS:001618071100001</t>
  </si>
  <si>
    <t>Alzahrani, A; Raza, MA; Asghar, MZ</t>
  </si>
  <si>
    <t>As per a WHO survey conducted in 2023, more than 2.3 million breast cancer (BC) cases are reported every year. In nearly 95% of countries, the second leading cause of death for females is BC. Breast and cervical cancers cause 80% of reported deaths in middle-income countries. Early detection of breast cancer can help patients better manage their condition and increase their chances of survival. However, traditional AI models frequently conceal their decision-making processes and are mainly tailored for classification tasks. Our approach combines composite deep learning techniques with explainable artificial intelligence (XAI) to enhance interpretability and predictive accuracy. By utilizing XAI to examine features and provide insights into its classifications, the model clarifies the rationale behind its decisions, resulting in an understanding of concealed patterns linked to breast cancer detection. The XAI strengthens practitioners' and health researchers' confidence and understanding of artificial intelligence (AI)-based models. In this work, we introduce a hybrid deep learning bi-directional long short-term memory-convolutional neural network (BiLSTM-CNN) model to identify breast cancer using patient data effectively. We first balanced the dataset before using the BiLSTM-CNN model. The hybrid deep learning (DL) model presented here performed well in comparison to other studies, with 0.993 accuracy, precision 0.99, recall 0.99, and F1-score 0.99.</t>
  </si>
  <si>
    <t>Alzahrani, Ahmed; Raza, Muhammad Ali; Asghar, Muhammad Zubair</t>
  </si>
  <si>
    <t>Asghar, MZ (corresponding author), Gomal Univ, Gomal Res Inst Comp, Fac Comp, Dera Ismail Khan, Pakistan.</t>
  </si>
  <si>
    <t>mzubairgu@gmail.com</t>
  </si>
  <si>
    <t>Deanship of Scientific Research (DSR) at King Abdulaziz University, Jeddah</t>
  </si>
  <si>
    <t>Deanship of Scientific Research (DSR) at King Abdulaziz University, Jeddah (King Abdulaziz University)</t>
  </si>
  <si>
    <t>During the preparation of this work, the author(s) used an AI tool, namely Gemini, to correct grammatical mistakes and professionally edit the language. After using this tool/service, the author(s) reviewed and edited the content as needed.</t>
  </si>
  <si>
    <t>[Alzahrani, Ahmed] King Abdulaziz Univ, Fac Comp &amp; Informat Technol, Dept Comp Sci, Jeddah, Saudi Arabia; [Raza, Muhammad Ali; Asghar, Muhammad Zubair] Gomal Univ, Gomal Res Inst Comp, Fac Comp, Dera Ismail Khan, Pakistan</t>
  </si>
  <si>
    <t>King Abdulaziz University; Gomal University</t>
  </si>
  <si>
    <t>Demystifying diagnosis: an efficient deep learning technique with explainable AI to improve breast cancer detection</t>
  </si>
  <si>
    <t>XAI; Disease prediction; Cross-fold-validation; Breast cancer diagnosis; BiLSTM+CNN; Hybrid deep learning</t>
  </si>
  <si>
    <t>Alzahrani, Ahmed/AAC-9957-2019; Raza, Muhammad Ali/OXB-1996-2025; Asghar, Muhammad Zubair/M-6411-2015</t>
  </si>
  <si>
    <t>Raza, Muhammad Ali/0009-0008-1308-4545</t>
  </si>
  <si>
    <t>APR 16 2025</t>
  </si>
  <si>
    <t>e2806</t>
  </si>
  <si>
    <t>10.7717/peerj-cs.2806</t>
  </si>
  <si>
    <t>http://dx.doi.org/10.7717/peerj-cs.2806</t>
  </si>
  <si>
    <t>2EF4O</t>
  </si>
  <si>
    <t>40567776</t>
  </si>
  <si>
    <t>WOS:001480548600001</t>
  </si>
  <si>
    <t>Fahad, M; Mobeen, NE; Imran, AS; Daudpota, SM; Kastrati, Z; Cheikh, FA; Ullah, M</t>
  </si>
  <si>
    <t>The gastrointestinal (GI) tract is critical indigestion and nutrient absorption, thus vital for human health. However, it is prone to diseases like cancer. Manual assessments introduce accuracy variations, consistency issues, and delays. Resources like the GastroVision dataset were introduced to advance AI in this field. Yet, it faces class imbalance issues, and baseline evaluation lacks novel methodologies, impacting accuracy. We propose a novel deep-learning model to enhance accuracy and robustness. Our approach involves averaging weights of multiple models fine-tuned with diverse hyper-parameters. In contrast to classical ensembles, our approach uses DenseNet-121 as a baseline and enables the averaging of numerous models without incurring extra inference or memory costs. Data augmentation techniques are incorporated to address class imbalance. We achieve promising results on standard performance metrics, substantially improving over baseline, notably 2.4% points in Macro Precision. Additionally, we integrate explainable AI (XAI) techniques to enhance reliability and interpretability, shedding light on the model's decision-making processes. Our study contributes to robust methodologies for imbalanced datasets, promoting model transparency and trust in predictive outcomes for clinical decision support systems.</t>
  </si>
  <si>
    <t>Fahad, Muhammad; Mobeen, Noor E.; Imran, Ali Shariq; Daudpota, Sher Muhammad; Kastrati, Zenun; Cheikh, Faouzi Alaya; Ullah, Mohib</t>
  </si>
  <si>
    <t>Imran, AS (corresponding author), Norwegian Univ Sci &amp; Technol NTNU, Dept Comp Sci, N-2815 Gjovik, Norway.</t>
  </si>
  <si>
    <t>faouzi.cheikh@ntnu.no; noore@ntnu.no; zenun.kastrati@lnu.se; mohib.ullah@ntnu.no; muhamfah@ntnu.no; sher@iba-suk.edu.pk; ali.imran@ntnu.no</t>
  </si>
  <si>
    <t>Curricula Development and Capacity Building in Applied Computer Science for Pakistani Higher Education Institutions (CONNECT) Project [NORPART-2021/10502]; DIKU, Norway</t>
  </si>
  <si>
    <t>Curricula Development and Capacity Building in Applied Computer Science for Pakistani Higher Education Institutions (CONNECT) Project; DIKU, Norway</t>
  </si>
  <si>
    <t>This work is supported by the Curricula Development and Capacity Building in Applied Computer Science for Pakistani Higher Education Institutions (CONNECT) Project [NORPART-2021/10502] , funded by DIKU, Norway.</t>
  </si>
  <si>
    <t>[Fahad, Muhammad; Mobeen, Noor E.; Imran, Ali Shariq; Cheikh, Faouzi Alaya; Ullah, Mohib] Norwegian Univ Sci &amp; Technol NTNU, Dept Comp Sci, N-2815 Gjovik, Norway; [Daudpota, Sher Muhammad] Sukkur IBA Univ, Dept Comp Sci, Sukkur 65200, Sindh, Pakistan; [Kastrati, Zenun] Linnaeus Univ, Dept Informat, S-35252 Vaxjo, Sweden</t>
  </si>
  <si>
    <t>Norwegian University of Science &amp; Technology (NTNU); Sukkur IBA University; Linnaeus University</t>
  </si>
  <si>
    <t>Deep insights into gastrointestinal health: A comprehensive analysis of GastroVision dataset using convolutional neural networks and explainable AI</t>
  </si>
  <si>
    <t>GastroVision; Deep learning; Model soups; Model explainability; Generative AI; Explainable AI (XAI); Generative adversarial network (GAN); Convolutional neural network (CNN)</t>
  </si>
  <si>
    <t>Imran, Ali Shariq/AAB-4813-2019; Daudpota, Sher Muhammad/AAN-2438-2020; Kastrati, Zenun/R-2036-2019</t>
  </si>
  <si>
    <t>Imran, Ali Shariq/0000-0002-2416-2878; Daudpota, Sher Muhammad/0000-0001-6684-751X</t>
  </si>
  <si>
    <t>107260</t>
  </si>
  <si>
    <t>10.1016/j.bspc.2024.107260</t>
  </si>
  <si>
    <t>http://dx.doi.org/10.1016/j.bspc.2024.107260</t>
  </si>
  <si>
    <t>O8N3U</t>
  </si>
  <si>
    <t>WOS:001373625000001</t>
  </si>
  <si>
    <t>Wakunuma, K; Eke, D</t>
  </si>
  <si>
    <t>This paper examines the impact and implications of ChatGPT and other generative AI technologies within the African context while looking at the ethical benefits and concerns that are particularly pertinent to the continent. Through a robust analysis of ChatGPT and other generative AI systems using established approaches for analysing the ethics of emerging technologies, this paper provides unique ethical benefits and concerns for these systems in the African context. This analysis combined approaches such as anticipatory technology ethics (ATE), ethical impact assessment (EIA), and ethical issues of emerging ICT applications with AI (ETICA) with specific issues from the literature. The findings show that ChatGPT and other generative AI systems raise unique ethical concerns such as bias, intergenerational justice, exploitation of labour and cultural diversity in Africa but also have significant ethical benefits. These ethical concerns and benefits are considered crucial in shaping the design and deployment of ChatGPT and similar technologies responsibly. It further explores the potential applications of ChatGPT in critical domain areas such as education, agriculture, and healthcare, thereby demonstrating the transformative possibilities that these technologies can have on Africa. This paper underscores the critical role of AI governance as Africa increasingly adopts ChatGPT and similar AI systems. It argues that a comprehensive understanding of AI governance is essential not only for maximising the benefits of generative AI systems but also for facilitating a global dialogue. This dialogue aims to foster shared knowledge and insights between the Global North and the Global South, which is important for the development and creation of inclusive and equitable AI policies and practices that can be beneficial for all regions.</t>
  </si>
  <si>
    <t>Wakunuma, Kutoma; Eke, Damian</t>
  </si>
  <si>
    <t>Wakunuma, K (corresponding author), Montfort Univ, Ctr Comp &amp; Social Responsibil, Leicester LE1 9BH, England.</t>
  </si>
  <si>
    <t>damian.eke@nottingham.ac.uk; kutoma@dmu.ac.uk</t>
  </si>
  <si>
    <t>UKRI Technology Mission Fund under the EPSRC grant [EP/Y009800/1]</t>
  </si>
  <si>
    <t>UKRI Technology Mission Fund under the EPSRC grant</t>
  </si>
  <si>
    <t>Damian Eke's work was supported by the UKRI Technology Mission Fund under the EPSRC grant ref EP/Y009800/1.</t>
  </si>
  <si>
    <t>[Wakunuma, Kutoma] Montfort Univ, Ctr Comp &amp; Social Responsibil, Leicester LE1 9BH, England; [Eke, Damian] Univ Nottingham, Sch Comp Sci, Nottingham NG7 2RD, England</t>
  </si>
  <si>
    <t>De Montfort University; University of Nottingham</t>
  </si>
  <si>
    <t>Africa, ChatGPT, and Generative AI Systems: Ethical Benefits, Concerns, and the Need for Governance</t>
  </si>
  <si>
    <t>PHILOSOPHIES</t>
  </si>
  <si>
    <t>Africa; ChatGPT; Generative AI; Ethics; Governance</t>
  </si>
  <si>
    <t>ECONOMIC-GROWTH; PROGRAM</t>
  </si>
  <si>
    <t>Eke, Damian/ADZ-9943-2022; Wakunuma, Kutoma/OQJ-7119-2025</t>
  </si>
  <si>
    <t>Eke, Damian/0000-0002-6210-1283; Wakunuma, Kutoma/0000-0002-8236-3221</t>
  </si>
  <si>
    <t>2409-9287</t>
  </si>
  <si>
    <t>Philosophies</t>
  </si>
  <si>
    <t>10.3390/philosophies9030080</t>
  </si>
  <si>
    <t>http://dx.doi.org/10.3390/philosophies9030080</t>
  </si>
  <si>
    <t>History &amp; Philosophy Of Science; Philosophy</t>
  </si>
  <si>
    <t>History &amp; Philosophy of Science; Philosophy</t>
  </si>
  <si>
    <t>WR9M6</t>
  </si>
  <si>
    <t>WOS:001256718900001</t>
  </si>
  <si>
    <t>Mohammed, KK; Dahmani, N; Ahmed, R; Darwish, A; Hassanien, AE</t>
  </si>
  <si>
    <t>This paper proposes a novel, non-invasive approach to diagnosing eye anemia using deep learning techniques. Traditional methods, reliant on invasive procedures like venipuncture, are costly and can cause patient discomfort. Our model leverages a multi-branch convolutional neural network (CNN) architecture, incorporating the Hippopotamus Optimization (HO) algorithm and multiclass support vector machines (SVMs) for enhanced accuracy. To address data imbalance, we employ the Synthetic Minority Oversampling Technique (SMOTE) and data augmentation. The model is trained and evaluated on a dataset of 211 eye images. The model achieves a remarkable 97.06% accuracy, with a Receiver Operating Characteristic (ROC) curve demonstrating an Area Under the Curve (AUC) of 0.973, indicating strong discriminative power. The parallel branch CNN architecture significantly improves training speed and reduces inference time. Furthermore, t-Distributed Stochastic Neighbor Embedding (t-SNE) visualization effectively clusters data points, showcasing the model's ability to distinguish between anemic and non-anemic cases. To ensure model transparency and reliability, we utilize the SHapley Additive exPlanations (SHAP) method to understand feature importance. This non-invasive approach holds significant promise for early and efficient anemia detection, particularly in resource-constrained settings.</t>
  </si>
  <si>
    <t>Mohammed, Kamel K.; Dahmani, Nadia; Ahmed, Rania; Darwish, Ashraf; Hassanien, Aboul Ella</t>
  </si>
  <si>
    <t>Dahmani, N (corresponding author), Zayed Univ, Coll Technol Innovat, Dubai, U Arab Emirates.; Dahmani, N (corresponding author), Univ Tunis, LARODEC, Tunis 2074, Tunisia.</t>
  </si>
  <si>
    <t>Nadia.dahmani@zu.ac.ae</t>
  </si>
  <si>
    <t>[Mohammed, Kamel K.] Al Azhar Univ, Ctr Virus Res &amp; Studies, Cairo 11754, Egypt; [Mohammed, Kamel K.; Ahmed, Rania; Darwish, Ashraf; Hassanien, Aboul Ella] Sci Res Sch Egypt SRSEG, Giza 12613, Egypt; [Dahmani, Nadia] Zayed Univ, Coll Technol Innovat, Dubai, U Arab Emirates; [Dahmani, Nadia] Univ Tunis, LARODEC, Tunis 2074, Tunisia; [Ahmed, Rania] Modern Univ Technol &amp; Informat, Fac Comp &amp; Artificial Intelligence, Cairo 4411601, Egypt; [Darwish, Ashraf] Helwan Univ, Fac Sci, Helwan 11795, Egypt; [Hassanien, Aboul Ella] Cairo Univ, Fac Comp &amp; Artificial Intelligence, Giza 12613, Egypt</t>
  </si>
  <si>
    <t>Egyptian Knowledge Bank (EKB); Al Azhar University; Zayed University; Egyptian Knowledge Bank (EKB); Capital University - Egypt; Egyptian Knowledge Bank (EKB); Cairo University</t>
  </si>
  <si>
    <t>An Explainable AI and Optimized Multi-Branch Convolutional Neural Network Model for Eye Anemia Diagnosis</t>
  </si>
  <si>
    <t>Anemia; Accuracy; Convolutional neural networks; Feature extraction; Support vector machines; Image segmentation; Translation; Sensitivity; Data models; Data augmentation; eye anemia; imbalance data; data augmentation; convolutional neural network; hippopotamus optimization; support vector machine; SHAP</t>
  </si>
  <si>
    <t>Tawfic, Kamel/AAS-5347-2020; Hassanien, Aboul ella/O-5672-2014; Darwish, Ashraf/J-9806-2019</t>
  </si>
  <si>
    <t>Dahmani, Nadia/0000-0002-7080-4114; , Rania/0009-0007-4839-8037</t>
  </si>
  <si>
    <t>71840</t>
  </si>
  <si>
    <t>71857</t>
  </si>
  <si>
    <t>10.1109/ACCESS.2025.3560689</t>
  </si>
  <si>
    <t>http://dx.doi.org/10.1109/ACCESS.2025.3560689</t>
  </si>
  <si>
    <t>2CQ4X</t>
  </si>
  <si>
    <t>WOS:001479479400038</t>
  </si>
  <si>
    <t>Zhang, XZ; Xue, YF; Su, XY; Chen, SY; Liu, K; Chen, WQ; Liu, M; Hu, Y</t>
  </si>
  <si>
    <t>Background: Clinical prediction models suffer from performance drift as the patient population shifts over time. There is a great need for model updating approaches or modeling frameworks that can effectively use the old and new data.Objective: Based on the paradigm of transfer learning, we aimed to develop a novel modeling framework that transfers old knowledge to the new environment for prediction tasks, and contributes to performance drift correction.Methods: The proposed predictive modeling framework maintains a logistic regression-based stacking ensemble of 2 gradient boosting machine (GBM) models representing old and new knowledge learned from old and new data, respectively (referred to as transfer learning gradient boosting machine [TransferGBM]). The ensemble learning procedure can dynamically balance the old and new knowledge. Using 2010-2017 electronic health record data on a retrospective cohort of 141,696 patients, we validated TransferGBM for hospital-acquired acute kidney injury prediction.Results: The baseline models (ie, transported models) that were trained on 2010 and 2011 data showed significant performance drift in the temporal validation with 2012-2017 data. Refitting these models using updated samples resulted in performance gains in nearly all cases. The proposed TransferGBM model succeeded in achieving uniformly better performance than the refitted models.Conclusions: Under the scenario of population shift, incorporating new knowledge while preserving old knowledge is essential for maintaining stable performance. Transfer learning combined with stacking ensemble learning can help achieve a balance of old and new knowledge in a flexible and adaptive way, even in the case of insufficient new data.</t>
  </si>
  <si>
    <t>Zhang, Xiangzhou; Xue, Yunfei; Su, Xinyu; Chen, Shaoyong; Liu, Kang; Chen, Weiqi; Liu, Mei; Hu, Yong</t>
  </si>
  <si>
    <t>Hu, Y (corresponding author), Jinan Univ, Big Data Decis Inst, 601 Huangpu Rd West, Guangzhou 510632, Peoples R China.</t>
  </si>
  <si>
    <t>henryhu200211@163.com</t>
  </si>
  <si>
    <t>Major Research Plan of the National Natural Science Foundation of China [91746204]; Science and Technology Development in Guangdong Province (Major Projects of Advanced and Key Techniques Innovation) [2017B030308008]; Guangdong Engineering Technology Research Center for Big Data Precision Healthcare [603141789047]; National Institutes of Health (NIH) /National Institute of Diabetes and Digestive and Kidney Diseases [R01DK116986]; National Science Foundation Smart and Connected Health [2014554]; NIH/National Center for Advancing Translational Sciences (NCATS) Clinical Translational Science Award (CTSA) [UL1TR002366]; NIH/NCATS CTSA; Div Of Information &amp; Intelligent Systems; Direct For Computer &amp; Info Scie &amp; Enginr [2014554] Funding Source: National Science Foundation</t>
  </si>
  <si>
    <t>Major Research Plan of the National Natural Science Foundation of China (National Natural Science Foundation of China (NSFC)); Science and Technology Development in Guangdong Province (Major Projects of Advanced and Key Techniques Innovation); Guangdong Engineering Technology Research Center for Big Data Precision Healthcare; National Institutes of Health (NIH) /National Institute of Diabetes and Digestive and Kidney Diseases (United States Department of Health &amp; Human Services, National Institutes of Health (NIH) - USA, NIH National Institute of Diabetes &amp; Digestive &amp; Kidney Diseases (NIDDK)); National Science Foundation Smart and Connected Health; NIH/National Center for Advancing Translational Sciences (NCATS) Clinical Translational Science Award (CTSA); NIH/NCATS CTSA (United States Department of Health &amp; Human Services, National Institutes of Health (NIH) - USA, NIH National Center for Advancing Translational Sciences (NCATS)); Div Of Information &amp; Intelligent Systems; Direct For Computer &amp; Info Scie &amp; Enginr (National Science Foundation (NSF), NSF - Directorate for Computer &amp; Information Science &amp; Engineering (CISE), NSF - Division of Information &amp; Intelligent Systems (IIS))</t>
  </si>
  <si>
    <t>This research was supported by the Major Research Plan of the National Natural Science Foundation of China (Key Program, grant number 91746204) , the Science and Technology Development in Guangdong Province (Major Projects of Advanced and Key Techniques Innovation, grant number 2017B030308008) , and Guangdong Engineering Technology Research Center for Big Data Precision Healthcare (grant number 603141789047) . ML is supported by the National Institutes of Health (NIH) /National Institute of Diabetes and Digestive and Kidney Diseases (award R01DK116986) , National Science Foundation Smart and Connected Health (award 2014554) , and NIH/National Center for Advancing Translational Sciences (NCATS) Clinical Translational Science Award (CTSA; grant number UL1TR002366) . The clinical data set used in this study was obtained from the University of Kansas Medical Centers HERON clinical data repository, which is supported by institutional funding and by the NIH/NCATS CTSA (grant number UL1TR002366) .</t>
  </si>
  <si>
    <t>[Zhang, Xiangzhou; Xue, Yunfei; Su, Xinyu; Chen, Shaoyong; Liu, Kang; Chen, Weiqi; Hu, Yong] Jinan Univ, Big Data Decis Inst, Guangzhou, Peoples R China; [Xue, Yunfei; Su, Xinyu; Chen, Shaoyong] Jinan Univ, Coll Informat Sci &amp; Technol, Guangzhou, Peoples R China; [Liu, Kang] Jinan Univ, Sch Management, Guangzhou, Peoples R China; [Liu, Mei] Univ Kansas, Med Ctr, Dept Internal Med, Div Med Informat, Kansas City, KS USA; [Hu, Yong] Jinan Univ, Big Data Decis Inst, 601 Huangpu Rd West, Guangzhou 510632, Peoples R China</t>
  </si>
  <si>
    <t>Jinan University; Jinan University; Jinan University; University of Kansas; University of Kansas Medical Center; Jinan University</t>
  </si>
  <si>
    <t>A Transfer Learning Approach to Correct the Temporal Performance Drift of Clinical Prediction Models: Retrospective Cohort Study</t>
  </si>
  <si>
    <t>transfer learning; clinical prediction model; performance drift; concept drift; acute kidney injury</t>
  </si>
  <si>
    <t>ACUTE KIDNEY INJURY; IMPACT; AKI</t>
  </si>
  <si>
    <t>Zhang, Xiangzhou/N-3699-2013</t>
  </si>
  <si>
    <t>Liu, Kang/0000-0001-9270-1362; Chen, Weiqi/0000-0001-6550-5024; Liu, Mei/0000-0002-8036-2110; Zhang, Xiangzhou/0000-0003-3752-0045</t>
  </si>
  <si>
    <t>e38053</t>
  </si>
  <si>
    <t>10.2196/38053</t>
  </si>
  <si>
    <t>http://dx.doi.org/10.2196/38053</t>
  </si>
  <si>
    <t>6R8ND</t>
  </si>
  <si>
    <t>36350705</t>
  </si>
  <si>
    <t>WOS:000892552700007</t>
  </si>
  <si>
    <t>Nashwan, A; Kunjavara, J</t>
  </si>
  <si>
    <t>The exponential growth of artificial intelligence (AI) in healthcare has sparked both enthusiasm and apprehension within the nursing discipline. While AI promises to enhance clinical efficiency, accuracy, and decision-making, it simultaneously challenges nursing's humanistic foundations, its ethical commitments, relational presence, and caring philosophy. This paper critically examines how classical nursing theories, including those of Nightingale, Peplau, Orem, Roy, and Watson, can be reinterpreted in light of AI's expanding role in clinical practice, education, and research. Building on the epistemological traditions of caring science and adaptation theory, it introduces the AI-Enhanced Caring Adaptation Theory (AI-CAT) as a conceptual framework that situates AI as a collaborative partner in care delivery. AI-CAT conceptualizes the dynamic interaction among the Human Domain (empathy, ethics, and judgment), the AI Domain (data analytics, predictive modeling), and the Adaptive Interface (trust calibration, techno-empathy, and ethical co-agency), yielding augmented caring. The framework asserts that AI can amplify human compassion and moral reasoning when guided by nursing theory and ethical reflection. It also delineates implications for education, practice, and policy, advocating for digital literacy, critical reflection, and equitable AI governance. Ultimately, this discursive theoretical paper argues that the essence of nursing must evolve not by surrendering its humanity to algorithms, but by redefining what it means to care in an intelligent, interconnected world. AI may transform how nurses think, but it must never alter why they care.</t>
  </si>
  <si>
    <t>Nashwan, Abdulqadir; Kunjavara, Jibin</t>
  </si>
  <si>
    <t>Nashwan, A (corresponding author), Hamad Med Corp, Nursing &amp; Midwifery Res Dept, Doha, Qatar.</t>
  </si>
  <si>
    <t>ANashwan@hamad.qa</t>
  </si>
  <si>
    <t>[Nashwan, Abdulqadir; Kunjavara, Jibin] Hamad Med Corp, Nursing &amp; Midwifery Res Dept, Doha, Qatar</t>
  </si>
  <si>
    <t>Hamad Medical Corporation</t>
  </si>
  <si>
    <t>Reimagining Nursing Theories in the Age of Artificial Intelligence: Preserving the Human Essence Amid Digital Transformation</t>
  </si>
  <si>
    <t>NURSING INQUIRY</t>
  </si>
  <si>
    <t>artificial intelligence; nursing education; nursing ethics; nursing technology; nursing theory</t>
  </si>
  <si>
    <t>KUNJAVARA, JIBIN/LCD-4517-2024; Nashwan, Abdulqadir/J-6241-2019</t>
  </si>
  <si>
    <t>1320-7881</t>
  </si>
  <si>
    <t>1440-1800</t>
  </si>
  <si>
    <t>NURS INQ</t>
  </si>
  <si>
    <t>Nurs. Inq.</t>
  </si>
  <si>
    <t>e70099</t>
  </si>
  <si>
    <t>10.1111/nin.70099</t>
  </si>
  <si>
    <t>http://dx.doi.org/10.1111/nin.70099</t>
  </si>
  <si>
    <t>HG3WY</t>
  </si>
  <si>
    <t>41911479</t>
  </si>
  <si>
    <t>WOS:001753414800017</t>
  </si>
  <si>
    <t>Amangeldy, B; Boltaboyeva, A; Baigarayeva, Z; Imanbek, B; Tasmurzayev, N; Kurmanbek, S; Tuleukhanov, S; Lokshin, V</t>
  </si>
  <si>
    <t>Background. Sleep fragmentation and frailty are interrelated yet underexplored determinants of adverse outcomes in critically ill patients, and no published model has combined objective nocturnal fragmentation metrics with administrative frailty indices to predict adverse outcomes at ICU admission. Methods. Using 31,139 first ICU admissions from the MIMIC-IV (v3.1) database, we developed and compared five supervised machine learning models to predict a composite outcome of 30-day mortality, prolonged mechanical ventilation (&gt;7 days), or discharge to a skilled nursing or rehabilitation facility (outcome prevalence 56.1%). Predictors were drawn exclusively from routinely available admission-time data, including nocturnal chartevent frequency, nighttime RASS scores, the Hospital Frailty Risk Score (HFRS), comorbidity and severity indices, and standard demographic variables. Results. The three gradient boosting models achieved statistically equivalent discrimination (ROC AUC approximate to 0.82-0.83) with strong calibration. SHAP analysis of the best-performing model (CatBoost) identified age, HFRS, nocturnal chartevent count, and nighttime RASS as the most influential predictors, confirming that frailty and sleep fragmentation contribute independently to risk. Conclusions. These findings show that EHR-derived frailty signals and nocturnal monitoring intensity, available without additional assessment burden, provide clinically actionable risk stratification at ICU admission and a viable foundation for embedded decision-support tools.</t>
  </si>
  <si>
    <t>Amangeldy, Bibars; Boltaboyeva, Assiya; Baigarayeva, Zhanel; Imanbek, Baglan; Tasmurzayev, Nurdaulet; Kurmanbek, Shugyla; Tuleukhanov, Sultan; Lokshin, Vyacheslav</t>
  </si>
  <si>
    <t>Boltaboyeva, A; Imanbek, B (corresponding author), Farabi Univ, AlfaCtr Al Farabi AI Ctr, Alma Ata 050040, Kazakhstan.; Boltaboyeva, A (corresponding author), LLP Kazakhstan R&amp;D Solut, Alma Ata 050040, Kazakhstan.</t>
  </si>
  <si>
    <t>boltaboyeva_assiya3@live.kaznu.kz; imanbek.baglan@kaznu.kz</t>
  </si>
  <si>
    <t>Ministry of Science and Higher Education of the Republic of Kazakhstan [AP26103523]</t>
  </si>
  <si>
    <t>Ministry of Science and Higher Education of the Republic of Kazakhstan (Government of the Republic of Kazakhstan, Ministry of Science &amp; Higher Education of the Republic of Kazakhstan)</t>
  </si>
  <si>
    <t>[Amangeldy, Bibars; Boltaboyeva, Assiya; Baigarayeva, Zhanel; Imanbek, Baglan; Tasmurzayev, Nurdaulet; Kurmanbek, Shugyla] Farabi Univ, AlfaCtr Al Farabi AI Ctr, Alma Ata 050040, Kazakhstan; [Boltaboyeva, Assiya; Baigarayeva, Zhanel; Kurmanbek, Shugyla] LLP Kazakhstan R&amp;D Solut, Alma Ata 050040, Kazakhstan; [Tuleukhanov, Sultan] Farabi Univ, Fac Biol &amp; Biotechnol, Alma Ata 050040, Kazakhstan; [Lokshin, Vyacheslav] LLP PERSONA Int Clin Ctr Reproductol, Alma Ata 050060, Kazakhstan</t>
  </si>
  <si>
    <t>Predicting Adverse ICU Outcomes from Admission-Time Frailty and Nocturnal Sleep Fragmentation Using Explainable AI</t>
  </si>
  <si>
    <t>frailty; sleep deprivation; intensive care units; machine learning; explainable artificial intelligence; electronic health records; critical illness; delirium; hospital mortality; respiration; artificial; risk assessment; treatment outcome; nursing care; databases; factual; prognosis</t>
  </si>
  <si>
    <t>ADULTS; RISK</t>
  </si>
  <si>
    <t>Tasmurzayev, Nurdaulet/KHW-3566-2024; Lokshin, Vyacheslav/O-8783-2018; Amangeldy, Bibars/IWE-2434-2023; Imanbek, Baglan/JNT-6011-2023; Boltaboyeva, Assiya/KBB-4035-2024</t>
  </si>
  <si>
    <t>JUL 15 2026</t>
  </si>
  <si>
    <t>5538</t>
  </si>
  <si>
    <t>10.3390/jcm15145538</t>
  </si>
  <si>
    <t>http://dx.doi.org/10.3390/jcm15145538</t>
  </si>
  <si>
    <t>LS5CT</t>
  </si>
  <si>
    <t>42513451</t>
  </si>
  <si>
    <t>WOS:001832178500001</t>
  </si>
  <si>
    <t>Hasan, ME; Mostafa, F; Hossain, MS; Loftin, J</t>
  </si>
  <si>
    <t>Hepatocellular carcinoma (HCC) is the primary liver cancer that occurs the most frequently. The risk of developing HCC is highest in those with chronic liver diseases, such as cirrhosis brought on by hepatitis B or C infection and the most common type of liver cancer. Knowledge-based interpretations are essential for understanding the HCC microarray dataset due to its nature, which includes high dimensions and hidden biological information in genes. When analyzing gene expression data with many genes and few samples, the main problem is to separate disease-related information from a vast quantity of redundant gene expression data and their noise. Clinicians are interested in identifying the specific genes responsible for HCC in individual patients. These responsible genes may differ between patients, leading to variability in gene selection. Moreover, ML approaches, such as classification algorithms, are similar to black boxes, and it is important to interpret the ML model outcomes. In this paper, we use a reliable pipeline to determine important genes for discovering HCC from microarray analysis. We eliminate redundant and unnecessary genes through gene selection using principal component analysis (PCA). Moreover, we detect responsible genes with the random forest algorithm through variable importance ranking calculated from the Gini index. Classification algorithms, such as random forest (RF), na &amp; iuml;ve Bayes classifier (NBC), logistic regression, and k-nearest neighbor (kNN) are used to classify HCC from responsible genes. However, classification algorithms produce outcomes based on selected genes for a large group of patients rather than for specific patients. Thus, we apply the local interpretable model-agnostic explanations (LIME) method to uncover the AI-generated forecasts as well as recommendations for patient-specific responsible genes. Moreover, we show our pathway analysis and a dendrogram of the pathway through hierarchical clustering of the responsible genes. There are 16 responsible genes found using the Gini index, and CCT3 and KPNA2 show the highest mean decrease in Gini values. Among four classification algorithms, random forest showed 96.53% accuracy with a precision of 97.30%. Five-fold cross-validation was used in order to collect multiple estimates and assess the variability for the RF model with a mean ROC of 0.95 +/- 0.2. LIME outcomes were interpreted for two random patients with positive and negative effects. Therefore, we identified 16 responsible genes that can be used to improve HCC diagnosis or treatment. The proposed framework using machine-learning-classification algorithms with the LIME method can be applied to find responsible genes to diagnose and treat HCC patients.</t>
  </si>
  <si>
    <t>Hasan, Md Easin; Mostafa, Fahad; Hossain, Md S.; Loftin, Jonathon</t>
  </si>
  <si>
    <t>Hasan, ME (corresponding author), Univ Texas El Paso, Dept Math Sci, El Paso, TX 79968 USA.; Mostafa, F (corresponding author), Texas Tech Univ, Dept Math &amp; Stat, Lubbock, TX 79409 USA.</t>
  </si>
  <si>
    <t>fahadraj.du@gmail.com; mhasan8@miners.utep.edu</t>
  </si>
  <si>
    <t>The authors are grateful to the unknown reviewers who helped to improve the quality of the paper.</t>
  </si>
  <si>
    <t>[Hasan, Md Easin] Univ Texas El Paso, Dept Math Sci, El Paso, TX 79968 USA; [Mostafa, Fahad; Hossain, Md S.] Texas Tech Univ, Dept Math &amp; Stat, Lubbock, TX 79409 USA; [Loftin, Jonathon] Southern Arkansas Univ, Dept Math &amp; Comp Sci, Magnolia, AR 71730 USA</t>
  </si>
  <si>
    <t>University of Texas System; University of Texas El Paso; Texas Tech University System; Texas Tech University</t>
  </si>
  <si>
    <t>Machine-Learning Classification Models to Predict Liver Cancer with Explainable AI to Discover Associated Genes</t>
  </si>
  <si>
    <t>microarray data; machine learning; AI-based explanation; bioinformatics; hepato-cellular carcinoma; predictive analysis</t>
  </si>
  <si>
    <t>HEPATOCELLULAR-CARCINOMA; LAND-COVER; INFORMATION GAIN; GINI INDEX; PROGNOSIS; TREES</t>
  </si>
  <si>
    <t>Mostafa, G M Fahad Bin/0000-0003-0672-2955; Hossain, Sakhawat/0000-0003-3026-4480; Hasan, Easin/0000-0003-2446-7425</t>
  </si>
  <si>
    <t>417</t>
  </si>
  <si>
    <t>445</t>
  </si>
  <si>
    <t>10.3390/appliedmath3020022</t>
  </si>
  <si>
    <t>http://dx.doi.org/10.3390/appliedmath3020022</t>
  </si>
  <si>
    <t>YL1O3</t>
  </si>
  <si>
    <t>WOS:001268553600001</t>
  </si>
  <si>
    <t>El-Balka, RM; Sakr, N; Rabie, AH; Saleh, AI</t>
  </si>
  <si>
    <t>Poor surgical scheduling causes major problems in hospital operating rooms, such as long patient wait times, underutilized operating rooms, and high costs. Existing scheduling approaches, which are static or less adaptable, fail to handle real-time unpredictability. To overcome these constraints, this study presents Dynamic Operation Room Scheduling (DORS), a new intraday surgical scheduling system. DORS uses a two-layered architecture: (1) Explainable AI for feature selection that is based on critical scheduling criteria such as Round Robin, and (2) a dynamic scheduling system that includes a Receiving Module, a Checking Module for patient prioritization, and a Scheduling Module provided by a Fuzzy Interface Engine. This system allows for proactive schedule preparation and reactive modifications, making it possible to smoothly include unscheduled surgical operations. In comparison to traditional (FCFS, Round Robin) and optimization-based (genetic algorithm) methods. DORS dynamically modifies schedules to reduce average wait times (AWT), consistently outperforming other approaches by 120-560 min. DORS completes surgical operations more quickly (half of surgical operations in 255-725 min). In addition, DORS retains a modest runtime (45 ms) while increasing scheduling efficiency (98.6%). DORS also demonstrates strong stability, with low Relative Percentage Deviation (RPD) on high-demand days. Finally, DORS achieves the optimal blend of speed, efficiency, and responsiveness, making it the greatest choice for hospitals aiming to eliminate delays, optimize operating room usage, and effectively manage changing surgical needs.</t>
  </si>
  <si>
    <t>El-Balka, Rana Mohamed; Sakr, Noha; Rabie, Asmaa H.; Saleh, Ahmed I.</t>
  </si>
  <si>
    <t>El-Balka, RM (corresponding author), Mansoura Univ, Fac Engn, Comp &amp; Control Syst Engn Dept, Mansoura, Egypt.</t>
  </si>
  <si>
    <t>rana.m.elbalka@gmail.com</t>
  </si>
  <si>
    <t>Science, Technology &amp; Innovation Funding Authority (STDF); Egyptian Knowledge Bank (EKB)</t>
  </si>
  <si>
    <t>Science, Technology &amp; Innovation Funding Authority (STDF) (Science and Technology Development Fund (STDF)); Egyptian Knowledge Bank (EKB) (Egyptian Knowledge Bank (EKB))</t>
  </si>
  <si>
    <t>[El-Balka, Rana Mohamed; Sakr, Noha; Rabie, Asmaa H.; Saleh, Ahmed I.] Mansoura Univ, Fac Engn, Comp &amp; Control Syst Engn Dept, Mansoura, Egypt</t>
  </si>
  <si>
    <t>Egyptian Knowledge Bank (EKB); Mansoura University</t>
  </si>
  <si>
    <t>A dynamic operation room scheduling DORS strategy based on explainable AI and fuzzy interface engine</t>
  </si>
  <si>
    <t>Explainable AI; Fuzzy interface; Machine learning; Operating room; Patient scheduling; Surgery scheduling</t>
  </si>
  <si>
    <t>rabie, asmaa/N-5339-2018; Saleh, Ahmed/AIA-2322-2022</t>
  </si>
  <si>
    <t>El-Balka, Rana/0000-0002-8137-7752</t>
  </si>
  <si>
    <t>SEP 3 2025</t>
  </si>
  <si>
    <t>365</t>
  </si>
  <si>
    <t>10.1007/s10462-025-11366-9</t>
  </si>
  <si>
    <t>http://dx.doi.org/10.1007/s10462-025-11366-9</t>
  </si>
  <si>
    <t>6UW4Y</t>
  </si>
  <si>
    <t>WOS:001562582000001</t>
  </si>
  <si>
    <t>Cherukuri, S; Prasad, SDV</t>
  </si>
  <si>
    <t>Skin cancer remains to be one of the commonest and life-threatening cancers in the world, early diagnosis is vital for an effective treatment. Recent advances in deep learning, specifically Convolutional Neural Networks (CNNs), have led to remarkable progress in skin lesion classification by artificial intelligence. Although single CNN-based methods have been shown to provide high accuracies on their specific datasets and patient conditions, variations in lesion morphology, image quality, and acquisition settings can limit the generalization of these methods on a new unseen dataset. To overcome these difficulties, we present EnsembleSkinNet which is more explainable ensemble deep learning framework for skin image classification based on a softmax-weighted spectrum fusion of different pre-trained CNN architectures including Modified VGG16 (M-VGG16), ResNet50, Inception V3 and DenseNet201. Our framework improves the robustness and reliability by using transfer learning, fine-tuning, and Bayesian hyperparameter optimization for classification. For experimental evaluation using five-fold cross-validation in HAM10000 dataset, it achieves an accuracy of 98.32 +/- 0.41%, precision = 98.20 +/- 0.35%, recall = 98.10 +/- 0.38%, and F1-score = 98.15 +/- 0.37%. Cross-domain generalization was also demonstrated by obtaining an excellent external validation accuracy of 96.84 +/- 0.42% and AUC = 0.983 on the ISIC 2020 dataset. Additionally, the Grad-CAM-based explainability analysis reached a mean Explainability Accuracy of 93.6% (k = 0.87), indicating agreement with dermatologist annotations. Clinically, this means that false negatives for melanoma and basal cell carcinoma were measurable less, so more cases are caught early and diagnostically driven confidence improved. Hence, EnsembleSkinNet presents a simple, reproducible, interpretable, and clinically adopted framework for OA compliant robust AI-based skin cancer diagnosis.</t>
  </si>
  <si>
    <t>Cherukuri, Srilakshmi; Prasad, Srisailapu D. Vara</t>
  </si>
  <si>
    <t>Cherukuri, S (corresponding author), GITAM Deemed To Be Univ, Dept Comp Sci &amp; Engn, Hyderabad, India.</t>
  </si>
  <si>
    <t>cherukurisreeit@gmail.com</t>
  </si>
  <si>
    <t>[Cherukuri, Srilakshmi; Prasad, Srisailapu D. Vara] GITAM Deemed To Be Univ, Dept Comp Sci &amp; Engn, Hyderabad, India</t>
  </si>
  <si>
    <t>EnsembleSkinNet: a transfer learning-based framework for efficient skin cancer detection with explainable AI integration</t>
  </si>
  <si>
    <t>ensemble learning; skin cancer detection; deep learning; convolutional neural networks (CNNs); explainable AI; transfer learning</t>
  </si>
  <si>
    <t>cherukuri, srilakshmi/JQJ-6917-2023</t>
  </si>
  <si>
    <t>DEC 15 2025</t>
  </si>
  <si>
    <t>1699960</t>
  </si>
  <si>
    <t>10.3389/fonc.2025.1699960</t>
  </si>
  <si>
    <t>http://dx.doi.org/10.3389/fonc.2025.1699960</t>
  </si>
  <si>
    <t>ET6UA</t>
  </si>
  <si>
    <t>41473432</t>
  </si>
  <si>
    <t>WOS:001709477100001</t>
  </si>
  <si>
    <t>Oduoye, MO; Javed, B; Gupta, N; Sih, CMV</t>
  </si>
  <si>
    <t>Artificial intelligence technologies were developed to assist authors in bettering the organization and caliber of their published papers, which are both growing in quantity and sophistication. Even though the usage of artificial intelligence tools in particular ChatGPT's natural language processing systems has been shown to be beneficial in research, there are still concerns about accuracy, responsibility, and transparency when it comes to the norms regarding authorship credit and contributions. Genomic algorithms quickly examine large amounts of genetic data to identify potential disease-causing mutations. By analyzing millions of medications for potential therapeutic benefits, they can quickly and relatively economically find novel approaches to treatment. Researchers from several fields can collaborate on difficult tasks with the assistance of nonhuman writers, promoting interdisciplinary research. Sadly, there are a number of significant disadvantages associated with employing nonhuman authors, including the potential for algorithmic prejudice. Biased data may be reinforced by the algorithm since machine learning algorithms can only be as objective as the data they are trained on. It is overdue that scholars bring forth basic moral concerns in the fight against algorithmic prejudice. Overall, even if the use of nonhuman authors has the potential to significantly improve scientific research, it is crucial for scientists to be aware of these drawbacks and take precautions to avoid bias and limits. To provide accurate and objective results, algorithms must be carefully designed and implemented, and researchers need to be mindful of the larger ethical ramifications of their usage.</t>
  </si>
  <si>
    <t>Oduoye, Malik Olatunde; Javed, Binish; Gupta, Nikhil; Valentina Sih, Che Mbali</t>
  </si>
  <si>
    <t>Sih, CMV (corresponding author), Univ Bamenda, Dept Nursing Sci, POB 39, Bambili, Cameroon.</t>
  </si>
  <si>
    <t>nikhilbinita@gmail.com; vche678@gmail.com; binishjaved09@gmail.com; malikolatunde36@gmail.com</t>
  </si>
  <si>
    <t>The authors acknowledged the guidance and mentorship of Mr. Malik Olatunde Oduoye, the West-African Regional Director at Oli Health Magazine Organization, Kigali, Rwanda. E-mail: &lt;email&gt;malikolatunde36@gmail.com&lt;/email&gt; and Professor Nikhil Gupta, MBBS, MS; Kigali, Rwanda; New Delhi, India</t>
  </si>
  <si>
    <t>The authors acknowledged the guidance and mentorship of Mr. Malik Olatunde Oduoye, the West-African Regional Director at Oli Health Magazine Organization, Kigali, Rwanda. E-mail: malikolatunde36@gmail.com and Professor Nikhil Gupta, MBBS, MS, and MRCS at Atal Bihari Vajpayee Institute of Medical Sciences and Dr Ram Manohar Lohia Hospital, New Delhi, India. E-mail: nikhilbinita@gmail.com</t>
  </si>
  <si>
    <t>[Oduoye, Malik Olatunde] Ahmadu Bello Univ, Coll Med Sci, Teaching Hosp, Shika, Kaduna, Nigeria; [Oduoye, Malik Olatunde; Javed, Binish] Dept Med Res, Med Res Circle, Bukavu, DEM REP CONGO; [Javed, Binish; Gupta, Nikhil] Atal Bihari Vajpayee Inst Med Sci, New Delhi, India; [Javed, Binish; Gupta, Nikhil] Dr Ram Manohar Lohia Hosp, New Delhi, India; [Valentina Sih, Che Mbali] Univ Bamenda, Dept Nursing Sci, Bambili, Cameroon; [Valentina Sih, Che Mbali] Univ Bamenda, Dept Nursing Sci, POB 39, Bambili, Cameroon</t>
  </si>
  <si>
    <t>Ahmadu Bello University</t>
  </si>
  <si>
    <t>Algorithmic bias and research integrity; the role of nonhuman authors in shaping scientific knowledge with respect to artificial intelligence: a perspective</t>
  </si>
  <si>
    <t>INTERNATIONAL JOURNAL OF SURGERY</t>
  </si>
  <si>
    <t>artificial intelligence; limitations; medical role; nonhuman; research integrity</t>
  </si>
  <si>
    <t>Oduoye, Malik Olatunde/AIB-6044-2022; Gupta, Nikhil/H-6400-2019</t>
  </si>
  <si>
    <t>Javed, Binish/0000-0002-0847-7757; Gupta, Nikhil/0000-0001-7265-8168</t>
  </si>
  <si>
    <t>1743-9191</t>
  </si>
  <si>
    <t>1743-9159</t>
  </si>
  <si>
    <t>INT J SURG</t>
  </si>
  <si>
    <t>Int. J. Surg.</t>
  </si>
  <si>
    <t>2987</t>
  </si>
  <si>
    <t>2990</t>
  </si>
  <si>
    <t>10.1097/JS9.0000000000000552</t>
  </si>
  <si>
    <t>http://dx.doi.org/10.1097/JS9.0000000000000552</t>
  </si>
  <si>
    <t>W1GA2</t>
  </si>
  <si>
    <t>37318857</t>
  </si>
  <si>
    <t>WOS:001089168200011</t>
  </si>
  <si>
    <t>Wang, YK; Klanecek, Z; Wagner, T; Cockmartin, L; Marshall, N; Studen, A; Jeraj, R; Bosmans, H</t>
  </si>
  <si>
    <t>Purpose: To evaluate whether features extracted by Mirai can be aligned with mammographic observations and contribute meaningfully to the prediction of breast cancer risk. Materials and Methods: This retrospective study examined the correlation of 512 Mirai features with mammographic observations in terms of receptive field and anatomic location. A total of 29 374 screening examinations with mammograms (10 415 female patients; mean age at examination, 60 years +/- 11 [SD]) from the EMory BrEast imaging Dataset (EMBED) (2013-2020) were used to evaluate feature importance using a feature-centric explainable artificial intelligence pipeline. Risk prediction was evaluated using only calcification features (CalcMirai) or mass features (MassMirai) against Mirai. Performance was assessed in screening and screen-negative (time to cancer, &gt;6 months) populations using the area under the receiver operating characteristic curve (AUC). Results: Eighteen calcification features and 18 mass features were selected for CalcMirai and MassMirai, respectively. Both CalcMirai and MassMirai had lower performance than Mirai in lesion detection (screening population: Mirai 1-year AUC, 0.81 [95% CI: 0.78, 0.84]; CalcMirai 1-year AUC, 0.76 [95% CI: 0.73, 0.80]; MassMirai 1-year AUC, 0.74 [95% CI: 0.71, 0.78] [P &lt; .001]). In risk prediction, there was no evidence of a difference in performance between CalcMirai and Mirai (screen-negative population: Mirai 5-year AUC, 0.66 [95% CI: 0.63, 0.69]; CalcMirai 5-year AUC, 0.66 [95% CI: 0.64, 0.69] [P = .71]). However, MassMirai achieved lower performance than Mirai (5-year AUC, 0.57 [95% CI: 0.54, 0.60]; P &lt; .001). Radiologist review of calcification features confirmed Mirai's use of benign calcification in risk prediction. Conclusion: The explainable AI pipeline demonstrated that Mirai implicitly learned to identify mammographic lesion features, particularly calcifications, for lesion detection and risk prediction.</t>
  </si>
  <si>
    <t>Wang, Yao-Kuan; Klanecek, Zan; Wagner, Tobias; Cockmartin, Lesley; Marshall, Nicholas; Studen, Andrej; Jeraj, Robert; Bosmans, Hilde</t>
  </si>
  <si>
    <t>Bosmans, H (corresponding author), Katholieke Univ Leuven, Dept Imaging &amp; Pathol, Herestr 49,Box 7003, B-3000 Leuven, Belgium.; Bosmans, H (corresponding author), Univ Hosp Leuven, Dept Radiol, Leuven, Belgium.</t>
  </si>
  <si>
    <t>hilde.bosmans@uzleuven.be</t>
  </si>
  <si>
    <t>Research Foundation-Flanders [FWO G0A7121N]; Slovenian Research Agency [P1-0389]</t>
  </si>
  <si>
    <t>Research Foundation-Flanders (FWO); Slovenian Research Agency (Slovenian Research Agency - Slovenia)</t>
  </si>
  <si>
    <t>This work was supported by the Research Foundation-Flanders (research core funding FWO G0A7121N) and the Slovenian Research Agency (research core funding P1-0389) .</t>
  </si>
  <si>
    <t>[Wang, Yao-Kuan; Wagner, Tobias; Marshall, Nicholas; Bosmans, Hilde] Katholieke Univ Leuven, Dept Imaging &amp; Pathol, Herestr 49,Box 7003, B-3000 Leuven, Belgium; [Klanecek, Zan; Studen, Andrej; Jeraj, Robert] Univ Ljubljana, Fac Math &amp; Phys, Ljubljana, Slovenia; [Cockmartin, Lesley; Marshall, Nicholas; Bosmans, Hilde] Univ Hosp Leuven, Dept Radiol, Leuven, Belgium; [Studen, Andrej; Jeraj, Robert] Jozef Stefan Inst, Ljubljana, Slovenia; [Jeraj, Robert] Univ Wisconsin Madison, Dept Med Phys, Madison, WI USA</t>
  </si>
  <si>
    <t>KU Leuven; University of Ljubljana; KU Leuven; University Hospital Leuven; Slovenian Academy of Sciences &amp; Arts (SASA); Jozef Stefan Institute; University of Wisconsin System; University of Wisconsin Madison</t>
  </si>
  <si>
    <t>Using Explainable AI to Characterize Features in the Mirai Mammographic Breast Cancer Risk Prediction Model</t>
  </si>
  <si>
    <t>RADIOLOGY-ARTIFICIAL INTELLIGENCE</t>
  </si>
  <si>
    <t>Bosmans, Hilde/0000-0002-9694-510X</t>
  </si>
  <si>
    <t>2638-6100</t>
  </si>
  <si>
    <t>RADIOL-ARTIF INTELL</t>
  </si>
  <si>
    <t>Radiology-Artificial Intelligence</t>
  </si>
  <si>
    <t>e240417</t>
  </si>
  <si>
    <t>10.1148/ryai.240417</t>
  </si>
  <si>
    <t>http://dx.doi.org/10.1148/ryai.240417</t>
  </si>
  <si>
    <t>Computer Science, Artificial Intelligence; Radiology, Nuclear Medicine &amp; Medical Imaging</t>
  </si>
  <si>
    <t>Computer Science; Radiology, Nuclear Medicine &amp; Medical Imaging</t>
  </si>
  <si>
    <t>AN2ZQ</t>
  </si>
  <si>
    <t>40899990</t>
  </si>
  <si>
    <t>WOS:001652169200002</t>
  </si>
  <si>
    <t>Green Published; Green Accepted</t>
  </si>
  <si>
    <t>Bougrid, K; Ammar, M; Laidi, A; Alzubaidi, M; Agus, M; Househ, M; Daho, ME</t>
  </si>
  <si>
    <t>The use of high-performing deep learning models in clinical settings raises concerns about trust, especially because these models often lack interpretability. In this study, we fine-tuned four different architectures: DenseNet121, InceptionV3, InceptionResNetV2, and ViT-B/16. for the detection of atherosclerosis on coronary CT angiography (CCTA) and jointly evaluated their predictive performance and explainability. Using k-fold cross-validation and held-out test data, DenseNet121 and ViT-B/16 achieved higher accuracy, precision, and recall than the Inception models; ViT-B/16 reached a test accuracy of 96.17%, followed by DenseNet121 with 95.80%, and both significantly outperformed the Inception architectures in statistical comparisons. We applied multiple XAI techniques, including LIME, SHAP, and Integrated Gradients, to characterize how each model arrived at its predictions. DenseNet121 provided localized, vessel-specific saliency focused on clinically relevant coronary segments, whereas ViT-B/16 displayed more holistic, patch-level attention that captured broader vascular context while maintaining strong predictive performance. This combined performance-interpretability analysis advances trustworthy AI for coronary artery disease detection on CCTA by linking automated predictions to clinically meaningful image patterns and supporting future development of explainable decision-support tools in cardiology.</t>
  </si>
  <si>
    <t>Bougrid, Kenza; Ammar, Mohammed; Laidi, Amel; Alzubaidi, Mahmood; Agus, Marco; Househ, Mowafa; Daho, Mostafa El Habib</t>
  </si>
  <si>
    <t>Bougrid, K (corresponding author), MHamed Bougara Univ Boumerdes, Dept Elect Syst Engn, LIST Lab, Boumerdes 35000, Algeria.; Alzubaidi, M (corresponding author), Hamad Bin Khalifa Univ, Coll Sci &amp; Engn, Doha, Qatar.</t>
  </si>
  <si>
    <t>malzubaidi@hbku.edu.qa; k.bougrid@univ-boumerdes.dz</t>
  </si>
  <si>
    <t>Qatar National Library (Qatar National Research Fund (QNRF), Qatar National Library Doha Qatar)</t>
  </si>
  <si>
    <t>This work was supported by Qatar National Library for open access funding.</t>
  </si>
  <si>
    <t>[Bougrid, Kenza; Ammar, Mohammed; Laidi, Amel] MHamed Bougara Univ Boumerdes, Dept Elect Syst Engn, LIST Lab, Boumerdes 35000, Algeria; [Laidi, Amel] Mouloud Mammeri Univ Tizi Ouzou, Biomed Engn Dept, Tizi Ouzou 15000, Algeria; [Alzubaidi, Mahmood; Agus, Marco; Househ, Mowafa] Hamad Bin Khalifa Univ, Coll Sci &amp; Engn, Doha, Qatar; [Daho, Mostafa El Habib] Univ Western Brittany, F-29200 Brest, France; [Daho, Mostafa El Habib] INSERM, LaTIM, UMR1101, F-29200 Brest, France</t>
  </si>
  <si>
    <t>Universite de M'hammed Bougara Boumerdes; Universite Mouloud Mammeri de Tizi Ouzou; Hamad Bin Khalifa University-Qatar; Qatar Foundation (QF); Hamad Bin Khalifa University-Qatar; Universite de Bretagne Occidentale; Universite de Bretagne Occidentale; Institut National de la Sante et de la Recherche Medicale (Inserm)</t>
  </si>
  <si>
    <t>Beyond Accuracy: Assessing the Trustworthiness of Deep Learning Models for Coronary CT Angiography</t>
  </si>
  <si>
    <t>Filtering; Filters; Circuits and systems; Location awareness; Pixel; Protocols; Communication systems; Product lifecycle management; Computer networks; Communications technology; Artificial intelligence; atherosclerosis; computed tomography angiography; convolutional neural networks; coronary arteries; deep learning; explainable artificial intelligence; medical diagnostic imaging; model interpretability; vision transformers</t>
  </si>
  <si>
    <t>Alzubaidi, Mahmood/KLD-4023-2024</t>
  </si>
  <si>
    <t>59993</t>
  </si>
  <si>
    <t>60010</t>
  </si>
  <si>
    <t>10.1109/ACCESS.2026.3683577</t>
  </si>
  <si>
    <t>http://dx.doi.org/10.1109/ACCESS.2026.3683577</t>
  </si>
  <si>
    <t>GZ1SM</t>
  </si>
  <si>
    <t>WOS:001748521500005</t>
  </si>
  <si>
    <t>Branda, F; Ciccozzi, M</t>
  </si>
  <si>
    <t>The integration of artificial intelligence (AI) into the life sciences is radically transforming research, clinical diagnosis, and therapeutic development processes, redefining the relationship between knowledge, decisionmaking, and responsibility. Advanced tools, from generative models to clinical assistants such as ChatGPT Health, offer greater efficiency, predictive power, and access to data, but carry significant risks of automation bias, epistemic delegation, and loss of professional skills. This article analyzes how the extensive use of AI can threaten cognitive sovereignty, i.e., the ability of researchers and professionals to critically evaluate and contextualize information generated by algorithms. It examines the emerging regulatory landscape, with a focus on the EU Artificial Intelligence Act, Food and Drug Administration (FDA) guidelines, European Medicines Agency (EMA) Good Machine Learning Practice (GMLP) principles, and World Health Organization (WHO) recommendations, which aim to ensure human oversight, transparency, and accountability. Technological tools and training approaches are discussed to mitigate risks such as silent errors, algorithmic dependence, and skill deterioration, promoting AI integration that reinforces human judgment without replacing it. The analysis highlights that the future of life sciences will depend not only on the technical capabilities of models, but also on the critical awareness with which they are used, focusing on training, governance, and responsible AI design.</t>
  </si>
  <si>
    <t>Branda, Francesco; Ciccozzi, Massimo</t>
  </si>
  <si>
    <t>Branda, F (corresponding author), Univ Campus Biomed Roma, Unit Med Stat &amp; Mol Epidemiol, Rome, Italy.</t>
  </si>
  <si>
    <t>f.branda@unicampus.it</t>
  </si>
  <si>
    <t>[Branda, Francesco; Ciccozzi, Massimo] Univ Campus Biomed Roma, Unit Med Stat &amp; Mol Epidemiol, Rome, Italy</t>
  </si>
  <si>
    <t>University Campus Bio-Medico - Rome Italy</t>
  </si>
  <si>
    <t>The comfort of automation: why cognitive sovereignty matters in AI-driven life sciences</t>
  </si>
  <si>
    <t>ARTIFICIAL INTELLIGENCE IN THE LIFE SCIENCES</t>
  </si>
  <si>
    <t>Artificial intelligence; Cognitive sovereignty; Automation bias; Human oversight</t>
  </si>
  <si>
    <t>CANCER; TRUST</t>
  </si>
  <si>
    <t>Branda, Francesco/AAV-4142-2021</t>
  </si>
  <si>
    <t>2667-3185</t>
  </si>
  <si>
    <t>ARTIF INTEL LIFE SCI</t>
  </si>
  <si>
    <t>Artif. Intell. Life Sci.</t>
  </si>
  <si>
    <t>100158</t>
  </si>
  <si>
    <t>10.1016/j.ailsci.2026.100158</t>
  </si>
  <si>
    <t>http://dx.doi.org/10.1016/j.ailsci.2026.100158</t>
  </si>
  <si>
    <t>Biochemistry &amp; Molecular Biology; Chemistry, Multidisciplinary; Computer Science, Artificial Intelligence</t>
  </si>
  <si>
    <t>Biochemistry &amp; Molecular Biology; Chemistry; Computer Science</t>
  </si>
  <si>
    <t>DO4OM</t>
  </si>
  <si>
    <t>WOS:001688267300001</t>
  </si>
  <si>
    <t>Xue, LY; Rahman, AMM; Senteio, CR; Singh, VK</t>
  </si>
  <si>
    <t>Objective Stigmatizing language (SL) in Electronic Health Records (EHRs) can perpetuate biases and negatively impact patient care. This study introduces a novel method for automatically detecting such language to improve healthcare documentation practices. Materials and Methods We developed a multi-stage transfer learning framework integrating semantic, syntactic, and task adaptation using three datasets: hate speech, clinical phenotypes, and stigmatizing language. Experiments were conducted on stigmatizing language dataset which consists of 4,129 de-identified EHR notes (72.7% stigmatizing, 27.3% non-stigmatizing), split 80/20 for training and testing. Longformer, BERT, and ClinicalBERT models were evaluated, and model performance was assessed on 35 randomized subsets of the test set (each comprising 70% of test data). The Wilcoxon-Mann-Whitney test was used to evaluate statistical significance, with Bonferroni correction applied to control for multiple hypothesis testing. Baseline models included zero-shot and few-shot GPT-4o, Support Vector Machine, Random Forest, Logistic Regression, and Multinomial Naive Bayes. Results The proposed framework achieved the highest accuracy, with fully adapted Longformer reaching 89.83%. Performance improvements remained statistically significant after Bonferroni correction compared to all baselines (p &lt; .05). The framework demonstrated robust gains across different stigmatizing language types. Discussion This study underscores the value of domain-adaptive NLP for detecting stigmatizing language in EHRs. The multi-stage transfer learning framework effectively captures subtle biases often missed by conventional models, enabling more objective and respectful clinical documentation. Conclusion This framework offers a statistically validated, high-performing framework for detecting stigmatizing language in EHRs, supporting responsible AI and promoting equity in clinical care.</t>
  </si>
  <si>
    <t>Xue, Liyang; Rahman, A. M. Muntasir; Senteio, Charles R.; Singh, Vivek K.</t>
  </si>
  <si>
    <t>Xue, LY (corresponding author), Rutgers State Univ, Sch Commun &amp; Informat, Dept Lib &amp; Informat Sci, New Brunswick, NJ 08901 USA.</t>
  </si>
  <si>
    <t>liyang.xue@rutgers.edu</t>
  </si>
  <si>
    <t>[Xue, Liyang; Rahman, A. M. Muntasir; Senteio, Charles R.; Singh, Vivek K.] Rutgers State Univ, Sch Commun &amp; Informat, Dept Lib &amp; Informat Sci, New Brunswick, NJ 08901 USA</t>
  </si>
  <si>
    <t>Rutgers University System; Rutgers University New Brunswick</t>
  </si>
  <si>
    <t>Automated detection of stigmatizing language in Electronic Health Records (EHRs) using a multi-stage transfer learning approach</t>
  </si>
  <si>
    <t>electronic health records; natural language processing; stigmatizing language; transfer learning; large language models (LLMs)</t>
  </si>
  <si>
    <t>Singh, Vivek/AAD-2381-2019</t>
  </si>
  <si>
    <t>Senteio, Charles Roland/0000-0002-0254-3127; Xue, Liyang/0000-0003-2908-9072; Singh, Vivek Kumar/0000-0002-8194-2336</t>
  </si>
  <si>
    <t>10.1093/jamia/ocaf193</t>
  </si>
  <si>
    <t>http://dx.doi.org/10.1093/jamia/ocaf193</t>
  </si>
  <si>
    <t>DC6RL</t>
  </si>
  <si>
    <t>41206907</t>
  </si>
  <si>
    <t>WOS:001611260700001</t>
  </si>
  <si>
    <t>Setegn, GM; Dejene, BE</t>
  </si>
  <si>
    <t>BackgroundChild nutrition in Ethiopia is a significant concern, particularly for preschool-aged children. Children must have a varied diet to ensure they receive all the essential nutrients for good health. Unfortunately, many children in Ethiopia lack access to a range of foods, which can lead to malnutrition and other health issues. While machine learning (ML) has the potential to analyse extensive datasets, the lack of transparency in these models can impede their effectiveness in real-world applications, especially in public health. This research aims to enhance machine learning models by integrating Explainable AI (XAI) methods to more accurately predict the level of dietary diversity in Ethiopian preschool children.MethodsTo Improve the ML Model for Predicting the Level of Dietary Diversity among Ethiopian Preschool Children. We employed an ensemble ML approach with XAI. The Ethiopian demographic health survey collected a dataset consisting of dietary information and relevant socioeconomic variables. The data were preprocessed to obtain quality data that are suitable for the ensemble ML algorithms to develop a model. We applied filter (chi-square and mutual information) and wrapper (sequential backwards) feature selection methods to identify the most influential factors for dietary diversity (DD). Ethiopia demographic health survey (from 2011 to 2019). Datasets were used. We developed a predictive model using a decision tree, random forest, gradient boosting, light gradient boosting, CatBoost, and XGBClassifier. We evaluated it using accuracy, precision, recall, F1_score, and receiver operating characteristic (ROC)-based evaluation techniques.ResultsThe ensemble ML models exhibited robust predictive performance, and light gradient boosting outperformed the other ensemble ML algorithms by 95.3%. The explainability of the Light Gradient Boosting Ensemble Model was determined using Eli5 and LIME. The child's age, household wealth index, household region, source of drinking water, frequency of listening to the radio, and mother's education level were the most crucial variables for the prediction of Minimum Dietary Diversity (MDD) in Ethiopia.ConclusionsThe research effectively demonstrated that integrating Explainable AI with machine learning can accurately predict dietary diversity in preschoolers in Ethiopia. The results of this study have significant implications for stakeholders in child development and nutrition, as well as for policymakers and medical experts. Targeted interventions and policies to enhance the nutritional health of Ethiopian preschool children are made possible by the explainable AI model that has been constructed.Trial registrationRetrospectively registered.</t>
  </si>
  <si>
    <t>Setegn, Gizachew Mulu; Dejene, Belayneh Endalamaw</t>
  </si>
  <si>
    <t>Setegn, GM (corresponding author), Debark Univ, Dept Comp Sci, Debark 90, Ethiopia.</t>
  </si>
  <si>
    <t>Gizachew.Mulu@dku.edu.et</t>
  </si>
  <si>
    <t>[Setegn, Gizachew Mulu] Debark Univ, Dept Comp Sci, Debark 90, Ethiopia; [Dejene, Belayneh Endalamaw] Univ Gondar, Gondar 196, Ethiopia</t>
  </si>
  <si>
    <t>University of Gondar</t>
  </si>
  <si>
    <t>Improving machine learning models through explainable AI for predicting the level of dietary diversity among Ethiopian preschool children</t>
  </si>
  <si>
    <t>ITALIAN JOURNAL OF PEDIATRICS</t>
  </si>
  <si>
    <t>Dietary diversity; Ethiopia; Explanatory AI; Food group Predicting level; Preschool children; Machine learning algorithm</t>
  </si>
  <si>
    <t>Dejene, Belayneh/MTF-9564-2025; Mulu Setegn, Gizachew/LNR-6599-2024</t>
  </si>
  <si>
    <t>Mulu Setegn, Gizachew/0009-0003-3012-2842</t>
  </si>
  <si>
    <t>1720-8424</t>
  </si>
  <si>
    <t>1824-7288</t>
  </si>
  <si>
    <t>ITAL J PEDIATR</t>
  </si>
  <si>
    <t>Ital. J. Pediatr.</t>
  </si>
  <si>
    <t>10.1186/s13052-025-01892-1</t>
  </si>
  <si>
    <t>http://dx.doi.org/10.1186/s13052-025-01892-1</t>
  </si>
  <si>
    <t>Pediatrics</t>
  </si>
  <si>
    <t>0MV8K</t>
  </si>
  <si>
    <t>40128875</t>
  </si>
  <si>
    <t>WOS:001451131200004</t>
  </si>
  <si>
    <t>Chattopadhyay, T; Kush, R; Ankarath, RH; Senthilkumar, P; Gleave, EJ; Patterson, C; Owens-Walton, C; Thomopoulos, SI; Johnson, SC; Mormino, EC; Tosun, D; Hohman, TJ; Thompson, PM</t>
  </si>
  <si>
    <t>Alzheimer's disease and related dementias (ADRD) typically involve multiple, overlapping pathologies-such as amyloid-beta (A beta), tau, cerebral amyloid angiopathy (CAA), TDP-43, hippocampal sclerosis, and alpha-synuclein-that complicate diagnosis and treatment. While PET and CSF biomarkers can detect abnormal levels of A beta and tau, they are invasive, expensive, and not widely available. By contrast, structural magnetic resonance imaging (MRI) offers a non-invasive and scalable alternative, one that is now showing promise for neuropathological prediction when combined with artificial intelligence methods. Prior efforts have largely focused on inferring single pathologies such as abnormal A beta; however, there is a pressing need for models that can jointly predict multiple co-occurring pathologies. In this work, we develop and evaluate a hybrid deep learning framework that integrates 3D T1-weighted brain MRI with demographic, clinical, and genetic covariates to make inferences, in living individuals, regarding the presence of six ADRD pathologies. The models are trained and tested using autopsy-confirmed neuropathology from individuals who were scanned while they were alive. Based on their strong performance on related tasks, we evaluate two machine learning models: (1) a deep learning algorithm based on a 3D convolutional neural network, a widely used model in computer vision applications, and (2) AutoGluon, an automated machine learning framework that automatically selects an approach for the problem. Each method can use both imaging and non-imaging covariates as inputs. To improve model transparency, we incorporate explainable AI methods-including occlusion sensitivity analysis (OSA), Grad-CAM, and Integrated Gradients (IG)-to interpret the spatial contribution of brain regions to model predictions. Finally, we compare the resulting feature importance maps ('salience maps') with traditional voxel-based morphometry (VBM) analyses to assess their biological plausibility. Our findings show the promise of multimodal, interpretable AI approaches for comprehensive, non-invasive profiling of dementia-related pathologies.</t>
  </si>
  <si>
    <t>Chattopadhyay, Tamoghna; Kush, Rudransh; Ankarath, Rahul H.; Senthilkumar, Pavithra; Gleave, Emma J.; Patterson, Christopher; Owens-Walton, Conor; Thomopoulos, Sophia I.; Johnson, Sterling C.; Mormino, Elizabeth C.; Tosun, Duygu; Hohman, Timothy J.; Thompson, Paul M.</t>
  </si>
  <si>
    <t>Chattopadhyay, T (corresponding author), Univ Southern Calif, Mark &amp; Mary Stevens Neuroimaging &amp; Informat Inst, Imaging Genet Ctr, Keck Sch Med, Marina Del Rey, CA 90007 USA.</t>
  </si>
  <si>
    <t>tchattop@usc.edu</t>
  </si>
  <si>
    <t>NIH NIA [U01 AG068057, U01AG082350, U24AG074855]; NIH [S10OD032285]</t>
  </si>
  <si>
    <t>NIH NIA; NIH (United States Department of Health &amp; Human Services, National Institutes of Health (NIH) - USA, Office of the Administrator (NIH))</t>
  </si>
  <si>
    <t>The author(s) declared that financial support was received for this work and/or its publication. This work was supported by NIH NIA grants U01 AG068057 ("AI4AD"), U01AG082350 ("CLARiTI"), and U24AG074855 ("PHC"). Research reported in this publication was supported by NIH S10OD032285.</t>
  </si>
  <si>
    <t>[Chattopadhyay, Tamoghna; Kush, Rudransh; Ankarath, Rahul H.; Senthilkumar, Pavithra; Gleave, Emma J.; Patterson, Christopher; Owens-Walton, Conor; Thomopoulos, Sophia I.; Thompson, Paul M.] Univ Southern Calif, Mark &amp; Mary Stevens Neuroimaging &amp; Informat Inst, Imaging Genet Ctr, Keck Sch Med, Marina Del Rey, CA 90007 USA; [Johnson, Sterling C.] Univ Wisconsin, Wisconsin Alzheimers Dis Res Ctr, Hlth Sci Learning Ctr, Sch Med &amp; Publ Hlth, Madison, WI USA; [Mormino, Elizabeth C.] Stanford Univ, Dept Neurol &amp; Neurol Sci, Sch Med, Palo Alto, CA USA; [Mormino, Elizabeth C.] Stanford Univ, Wu Tsai Neurosci Inst, Cogen Facil, Sch Med, Stanford, CA USA; [Tosun, Duygu] Univ Calif San Francisco, Dept Radiol &amp; Biomed Imaging, San Francisco, CA USA; [Hohman, Timothy J.] Vanderbilt Univ, Med Ctr, Dept Neurol, Nashville, TN USA</t>
  </si>
  <si>
    <t>University of Wisconsin System; University of Wisconsin Madison; Stanford University; Stanford University; University of California System; University of California San Francisco; Vanderbilt University</t>
  </si>
  <si>
    <t>Multi-modal deep learning and explainable AI for predicting multiple dementia-related neuropathologies from brain MRI, clinical, and genetic data</t>
  </si>
  <si>
    <t>Alzheimer's disease; deep learning; explainable AI; multimodality; neuropathology prediction; VBM</t>
  </si>
  <si>
    <t>ALZHEIMERS-DISEASE; PATHOLOGY; TAU</t>
  </si>
  <si>
    <t>JUL 27 2026</t>
  </si>
  <si>
    <t>1839071</t>
  </si>
  <si>
    <t>10.3389/fneur.2026.1839071</t>
  </si>
  <si>
    <t>http://dx.doi.org/10.3389/fneur.2026.1839071</t>
  </si>
  <si>
    <t>MI9CZ</t>
  </si>
  <si>
    <t>WOS:001843319400001</t>
  </si>
  <si>
    <t>Miletic, M; Sariyar, M</t>
  </si>
  <si>
    <t>BackgroundSynthetic data generation (SDG) has emerged as a critical enabler for data-driven healthcare research, offering privacy-preserving alternatives to real patient data. Temporal health data - ranging from physiological signals to electronic health records (EHRs) - pose unique challenges for SDG due to their complexity, irregularity, and clinical sensitivity.ObjectiveThis review systematically examines SDG methods for longitudinal and time-series health data. Its aims are to (1) propose a lightweight taxonomy to support orientation across the SDG landscape along five structural dimensions, (2) characterize the major synthesis techniques and their alignment with temporal structures and data modalities, and (3) synthesize the utility and privacy evaluation strategies used in practice.MethodsA systematic literature review was conducted following PRISMA guidelines across four major databases (ACM, arXiv, IEEE Xplore, Europe PMC) for publications from 2017 to 2025. Eligible studies proposed or applied SDG techniques to healthcare-relevant temporal data with sufficient methodological transparency. Structured data extraction and thematic analysis were used to identify modeling trends, evaluation metrics, and domain-specific requirements, complemented by a comparative synthesis of SDG methods.ResultsA total of 115 studies were included. Deep generative models - especially Generative Adversarial Networks (GANs), Autoencoders (AEs), and diffusion-based methods - dominate the field, with increasing adoption of autoregressive and hybrid simulation approaches. Event-based EHR data are most commonly targeted, while continuous and irregular time series remain underexplored. Utility evaluations vary widely, with strong emphasis on descriptive statistics and predictive performance, but limited attention to inferential validity and clinical realism. Privacy assessments are sparse and inconsistently reported: only 30% of studies included any metric, and just around 6% implemented differential privacy (DP), often without parameter disclosure. This limited adoption may reflect technical challenges, limited expertise, and the absence of regulatory incentives.ConclusionsSynthetic temporal data play an increasingly vital role across clinical prediction, public health modeling, and Artificial Intelligence (AI) development. However, SDG research remains fragmented in terminology, evaluation practices, and privacy safeguards. Responsible-AI considerations - such as fairness, transparency, and trust - along with evidence on clinical adoption remain underexplored but are critical for future integration. This review provides a unified conceptual and methodological framework to guide future research, standardization efforts, and interdisciplinary collaboration for responsible, effective use of synthetic health data.</t>
  </si>
  <si>
    <t>Miletic, Marko; Sariyar, Murat</t>
  </si>
  <si>
    <t>Sariyar, M (corresponding author), Bern Univ Appl Sci, Hoheweg 80, CH-2502 Bern, Switzerland.</t>
  </si>
  <si>
    <t>murat.sariyar@bfh.ch</t>
  </si>
  <si>
    <t>Schweizerischer Nationalfonds zur Frderung der Wissenschaftlichen Forschung [211751]</t>
  </si>
  <si>
    <t>This study was funded by BRIDGE, a joint programme of the Swiss National Science Foundation (SNSF) and Innosuisse (grant number 211751).</t>
  </si>
  <si>
    <t>[Miletic, Marko; Sariyar, Murat] Bern Univ Appl Sci, Hoheweg 80, CH-2502 Bern, Switzerland</t>
  </si>
  <si>
    <t>Synthetic data generation methods for longitudinal and time series health data: a systematic review</t>
  </si>
  <si>
    <t>Synthetic data generation; Temporal health data; Systematic review; Data sharing; Longitudinal patient data; Privacy-preserving data publishing</t>
  </si>
  <si>
    <t>RECORDS</t>
  </si>
  <si>
    <t>Miletic, Marko/0009-0006-4208-6780</t>
  </si>
  <si>
    <t>10.1186/s12911-025-03326-8</t>
  </si>
  <si>
    <t>http://dx.doi.org/10.1186/s12911-025-03326-8</t>
  </si>
  <si>
    <t>CQ7YY</t>
  </si>
  <si>
    <t>41444887</t>
  </si>
  <si>
    <t>WOS:001672214600001</t>
  </si>
  <si>
    <t>Ciriello, RF; Chen, AY; Rubinsztein, ZA</t>
  </si>
  <si>
    <t>The rapid rise of generative AI reshapes society, transforming jobs, relationships, and core beliefs about human essence. AI's ability to simulate empathy, once considered uniquely human, offers promise in industries from marketing to healthcare but also risks exploiting emotional vulnerabilities, fostering dependency, and compromising privacy. These risks are particularly acute with AI companion chatbots, which mimic emotional speech but may erode genuine human connections. Rooted in Schopenhauer's compassionate imperative, we present a novel framework for compassionate AI design, governance, and use, emphasizing equitable distribution of AI's benefits and burdens based on stakeholder vulnerability. We advocate for responsible AI development that prioritizes empathy, dignity, and human flourishing.</t>
  </si>
  <si>
    <t>Ciriello, Raffaele Fabio; Chen, Angelina Ying; Rubinsztein, Zara Annette</t>
  </si>
  <si>
    <t>Ciriello, RF (corresponding author), Univ Sydney, Business Sch, Discipline Business Informat Syst, Sydney, Australia.</t>
  </si>
  <si>
    <t>angelina.chen@sydney.edu.au; raffaele.ciriello@sydney.edu.au; zrub7658@uni.sydney.edu.au</t>
  </si>
  <si>
    <t>[Ciriello, Raffaele Fabio; Chen, Angelina Ying; Rubinsztein, Zara Annette] Univ Sydney, Business Sch, Discipline Business Informat Syst, Sydney, Australia</t>
  </si>
  <si>
    <t>University of Sydney</t>
  </si>
  <si>
    <t>Compassionate AI Design, Governance, and Use</t>
  </si>
  <si>
    <t>IEEE TRANSACTIONS ON TECHNOLOGY AND SOCIETY</t>
  </si>
  <si>
    <t>Artificial intelligence; Ethics; Stakeholders; Privacy; Chatbots; Business; Regulation; Mental health; Interoperability; Generative AI; companion; responsibility; chatbot; compassion; sexbot; design; governance; adoption</t>
  </si>
  <si>
    <t>ROBOT; SEX</t>
  </si>
  <si>
    <t>Ciriello, Raffaele Fabio/GVU-7442-2022</t>
  </si>
  <si>
    <t>Ciriello, Raffaele Fabio/0000-0002-5073-6310; Rubinsztein, Zara/0009-0006-9784-7890; Chen, Angelina/0009-0005-1191-4435</t>
  </si>
  <si>
    <t>2637-6415</t>
  </si>
  <si>
    <t>IEEE T TECHNOL SOC</t>
  </si>
  <si>
    <t>IEEE Trans. Technol. Soc.</t>
  </si>
  <si>
    <t>10.1109/TTS.2025.3538125</t>
  </si>
  <si>
    <t>http://dx.doi.org/10.1109/TTS.2025.3538125</t>
  </si>
  <si>
    <t>Engineering, Multidisciplinary; Social Issues</t>
  </si>
  <si>
    <t>Engineering; Social Issues</t>
  </si>
  <si>
    <t>AH6QW</t>
  </si>
  <si>
    <t>WOS:001648359800007</t>
  </si>
  <si>
    <t>Tafti, KT; D'Souza, Z; Ajam, A; Chauvin, P; Magalhaes, M; Fuoco, J; Sperandio, FF; Al-Shehri, M; Tichy, A; Tamimi, F; Ducret, M; Schwendicke, F; Madathil, S</t>
  </si>
  <si>
    <t>Intraoral mucosal lesions are difficult to diagnose because they vary widely in appearance and cause. Deep-learning models perform well for oral lesion classification, but limited interpretability restricts clinical use. Counterfactual explanations, which modify image features to test model sensitivity, offer a practical way to improve transparency, yet no counterfactual dataset exists for intraoral images. This study presents COLLECT, the Counterfactual Oral Lesion Library for Explainable Concept Testing, a curated counterfactual reference dataset and evaluation framework for intraoral lesion images, along with a workflow for assessing model interpretability. COLLECT includes 600 manually edited counterfactual images across 4 lesion types: aphthous ulcer, geographic tongue, hairy tongue, and oral squamous cell carcinoma. Images were modified along clinically important concepts such as size, color, and opacity. We assessed the interpretability of common convolutional neural networks using true class probability, predictive entropy, testing with concept activation vectors (TCAV), and attribution scores. Counterfactual edits reduced true class probability and increased entropy, with the strongest effects observed for opacity and color changes. TCAV results showed that early network layers were less responsive to concept changes, while later layers depended more on baseline features. Attribution scores confirmed that opacity changes lowered model confidence most, followed by color and size. Some models showed limited response to lesion removal, indicating reliance on background anatomy rather than lesion-specific cues. COLLECT supports the systematic evaluation of computer vision models under clinically grounded counterfactual conditions and provides a resource for improving transparency in the automated diagnosis of oral lesions.</t>
  </si>
  <si>
    <t>Tafti, K. T.; D'Souza, Z.; Ajam, A.; Chauvin, P.; Magalhaes, M.; Fuoco, J.; Sperandio, F. F.; Al-Shehri, M.; Tichy, A.; Tamimi, F.; Ducret, M.; Schwendicke, F.; Madathil, S.</t>
  </si>
  <si>
    <t>Madathil, S (corresponding author), McGill Univ, Fac Dent Med &amp; Oral Hlth Sci, 2001 McGill Coll Ave,Room 533, Montreal, PQ H3A 1G1, Canada.</t>
  </si>
  <si>
    <t>sreenath.madathil@mcgill.ca</t>
  </si>
  <si>
    <t>Fonds de Recherche du Qubec - Sant; Canada Foundation for Innovation [John R. Evans Leaders Fund (CFI JELF) [44548]]; NCOHR Seed Grant; Canadian Institutes of Health Research [PJT-438778]</t>
  </si>
  <si>
    <t>Fonds de Recherche du Qubec - Sant; Canada Foundation for Innovation (Canada Foundation for Innovation); NCOHR Seed Grant; Canadian Institutes of Health Research (Canadian Institutes of Health Research (CIHR))</t>
  </si>
  <si>
    <t>The authors disclosed receipt of the following financial support for the research, authorship, and/or publication of this article: This project was funded by the Canadian Institute of Health Research Project Grant (PJT-438778), NCOHR Seed Grant. K Tafti and Z. D'souza are recipients of the Fonds de Recherche du Quebec-Sante MSc Scholarship. S. Madathil is a recipient of a Career Award from the Fonds de Recherche du Quebec-Sante. This research was enabled by support provided by Calcul Quebec (calculquebec.ca), Digital Research Alliance of Canada (alliancecan.ca), and Canada Foundation for Innovation John R. Evans Leaders Fund (CFI JELF) [44548], with matching funds from the Fonds de recherche du Quebec - Sante (FRQS).</t>
  </si>
  <si>
    <t>[Tafti, K. T.; D'Souza, Z.; Ajam, A.; Chauvin, P.; Fuoco, J.; Al-Shehri, M.; Tamimi, F.; Madathil, S.] McGill Univ, Fac Dent Med &amp; Oral Hlth Sci, 2001 McGill Coll Ave,Room 533, Montreal, PQ H3A 1G1, Canada; [Magalhaes, M.] Univ Toronto, Fac Dent, Toronto, ON, Canada; [Sperandio, F. F.] Univ Saskatchewan, Coll Dent, Saskatoon, SK, Canada; [Tichy, A.; Schwendicke, F.] Ludwig Maximilians Univ Munchen, LMU Univ Hosp, Dept Conservat Dent &amp; Periodontol, Munich, Germany; [Tichy, A.] Charles Univ Prague, Fac Med 1, Inst Dent Med, Prague, Czech Republic; [Ducret, M.] Univ Claude Bernard Lyon 1, Univ Lyon, Fac Odontol, Lyon, France</t>
  </si>
  <si>
    <t>University of Toronto; University of Saskatchewan; University of Munich; General University Hospital Prague; Charles University Prague; Universite Lyon 1</t>
  </si>
  <si>
    <t>COLLECT: A Counterfactual Oral Lesion Library for Trustworthy AI Evaluation</t>
  </si>
  <si>
    <t>artificial intelligence; computer vision/convolutional neural networks; deep learning/machine learning; oral medicine; imaging; oral pathology</t>
  </si>
  <si>
    <t>NETWORKS</t>
  </si>
  <si>
    <t>Ajam, Amena/0009-0009-6628-0854</t>
  </si>
  <si>
    <t>10.1177/00220345261466240</t>
  </si>
  <si>
    <t>http://dx.doi.org/10.1177/00220345261466240</t>
  </si>
  <si>
    <t>LO8AU</t>
  </si>
  <si>
    <t>42499229</t>
  </si>
  <si>
    <t>WOS:001829662800001</t>
  </si>
  <si>
    <t>Bhardwaj, A; Neelapu, BC; Rajnala, PK; Pal, K; Jayaraman, S</t>
  </si>
  <si>
    <t>Objectives: The atrial repolarization (Ta wave) characteristics remains largely unexplored, given its inherently low amplitude and obscured by the QRS complex. Hence, this study aims to witness Ta wave within QRS complex. Methods: 10 s ECGs of 50 Sinus Rhythm (SR), 50 Sinus Tachycardia (SiT) and 20 Atrial Tachycardia (AT) were recorded using standard 12-lead. The datapoints were extracted from pre-processed Lead-II and three spline model interpolated hidden Ta wave post fiducial point detection. Further, validation analysis was performed with and without QRS complex to select the optimal spline model with the Ta wave of SiT Modified Limb Lead (MLL) &amp; Atrio-Ventricular block (AVB) ECG. Results: It was noted that the cubic spline interpolation model gave the best SSIM score of 0.85 and lowest power spectrum % difference of 0.1 % for Ta wave interpolation without QRS complex. Further, ECG-based Ta temporal and voltage features were crafted. Statistically significant features were used for five ML models multi-class classification. Extra-Trees model gave the best output with 99 % using P-Ta feature combined. Conclusions: Overall, the proposed method demonstrated that along with the existing P wave features, Ta wave features have potential in better classification of atrial arrhythmia, while interpolation model offers ease of implementation and adaptability to diverse clinical applications.</t>
  </si>
  <si>
    <t>Bhardwaj, Arya; Neelapu, Bala Chakravarthy; Rajnala, Pradeep Kumar; Pal, Kunal; Jayaraman, Sivaraman</t>
  </si>
  <si>
    <t>Jayaraman, S (corresponding author), Natl Inst Technol Rourkela, Dept Biotechnol &amp; Med Engn, Rourkela, India.</t>
  </si>
  <si>
    <t>neelapubc@nitrkl.ac.in; 521BM1003@nitrkl.ac.in; dr.pradeep.rajnala@gmail.com; palk@nitrkl.ac.in; jsiva@nitrkl.ac.in</t>
  </si>
  <si>
    <t>Anusandhan National Research Foundation (ANRF), Government of India [CRG/2023/007815]</t>
  </si>
  <si>
    <t>Anusandhan National Research Foundation (ANRF), Government of India</t>
  </si>
  <si>
    <t>This work was supported by financial grants from the Anusandhan National Research Foundation (ANRF), Government of India (CRG/2023/007815).</t>
  </si>
  <si>
    <t>[Bhardwaj, Arya; Neelapu, Bala Chakravarthy; Pal, Kunal; Jayaraman, Sivaraman] Natl Inst Technol Rourkela, Dept Biotechnol &amp; Med Engn, Rourkela, India; [Rajnala, Pradeep Kumar] MIOT Int, Inst Cardiac Care, Chennai, India</t>
  </si>
  <si>
    <t>National Institute of Technology Rourkela; National Institute of Technology (NIT System); National Institute of Technology Rourkela</t>
  </si>
  <si>
    <t>Atrial repolarization wave: a new approach using spline-based feature engineering and explainable AI for atrial arrhythmia diagnosis</t>
  </si>
  <si>
    <t>BIOMEDICAL ENGINEERING-BIOMEDIZINISCHE TECHNIK</t>
  </si>
  <si>
    <t>atrial repolarization (Ta wave); atrial tachycardia; atrio-ventricular block; machine learning; modified limb lead; spline interpolation</t>
  </si>
  <si>
    <t>ECG; ALTERNANS; EXERCISE; SEGMENT</t>
  </si>
  <si>
    <t>Bhardwaj, Arya/QKZ-2956-2026; Jayaraman, Sivaraman/L-7190-2015</t>
  </si>
  <si>
    <t>Bhardwaj, Arya/0000-0003-0650-152X</t>
  </si>
  <si>
    <t>WALTER DE GRUYTER GMBH</t>
  </si>
  <si>
    <t>GENTHINER STRASSE 13, D-10785 BERLIN, GERMANY</t>
  </si>
  <si>
    <t>0013-5585</t>
  </si>
  <si>
    <t>1862-278X</t>
  </si>
  <si>
    <t>BIOMED ENG-BIOMED TE</t>
  </si>
  <si>
    <t>Biomed. Eng.-Biomed. Tech.</t>
  </si>
  <si>
    <t>10.1515/bmt-2025-0250</t>
  </si>
  <si>
    <t>http://dx.doi.org/10.1515/bmt-2025-0250</t>
  </si>
  <si>
    <t>Engineering, Biomedical; Medical Informatics</t>
  </si>
  <si>
    <t>Engineering; Medical Informatics</t>
  </si>
  <si>
    <t>HR8OZ</t>
  </si>
  <si>
    <t>42105368</t>
  </si>
  <si>
    <t>WOS:001761199600001</t>
  </si>
  <si>
    <t>Basu, S; Sheth, P; Muralidharan, B; Morgan, J; Batniji, R</t>
  </si>
  <si>
    <t>Clinical artificial-intelligence systems are starting to act across a course of care, not to answer one question at a time. Their safety is checked by methods that sample the input space: a test suite tries some inputs, a language-model reviewer reads some cases, a physician panel audits some cases. A sampling check can pass a safety rule and still miss the rare input that breaks it, such as a documented obligation dropped several encounters later. This study measures that gap and releases CIV-Bench, a public benchmark of 832 clinical rule sets with safety properties across eight whole-person domains, in single-encounter and longitudinal forms, plus a computational stress tier, each with independently established ground truth. We compare formal verification, which uses a satisfiability-modulo-theories (SMT) solver to check every possible input at once, against the methods used in practice: random unit testing, language-model judges, and a blinded physician panel. Formal verification detected all 612 violations, raised no false alarm, and returned no unsound verdict; for each item it returned either a proof that the rule holds over every input or one concrete input that breaks it. A frontier language-model judge matched this detection, but it returned a pass rate over sampled cases rather than a guarantee, at three orders of magnitude more compute per item. The general open-weights judge returned unsound verdicts on the computational stress tier; the medically fine-tuned judge was unsound far more widely, collapsing on the longitudinal properties despite strong single-encounter medical detection, so medical fine-tuning did not close the gap. Unit testing and the physician panel missed the deep, cross-encounter violations that hold a course of care together. Formal verification is set apart not by a higher detection rate but by the kind of evidence it returns: a proof over the whole input space, a replayable counterexample, or an explicit statement that it cannot decide. The guarantee holds for the decisions placed in this layer, and it depends on the safety rule being specified correctly.</t>
  </si>
  <si>
    <t>Basu, Sanjay; Sheth, Parth; Muralidharan, Bhairavi; Morgan, John; Batniji, Rajaie</t>
  </si>
  <si>
    <t>Basu, S (corresponding author), Univ Calif San Francisco, Dept Med, San Francisco, CA 94143 USA.; Basu, S (corresponding author), Waymark, San Francisco, CA 94115 USA.</t>
  </si>
  <si>
    <t>bhairavi.muralidharan@waymarkcare.com; john.morgan@waymarkcare.com; sanjay.basu@ucsf.edu; parth.sheth@waymarkcare.com</t>
  </si>
  <si>
    <t>[Basu, Sanjay] Univ Calif San Francisco, Dept Med, San Francisco, CA 94143 USA; [Basu, Sanjay; Sheth, Parth; Muralidharan, Bhairavi; Morgan, John; Batniji, Rajaie] Waymark, San Francisco, CA 94115 USA; [Sheth, Parth] Univ Penn, Sch Social Policy &amp; Practice, Philadelphia, PA 19104 USA; [Morgan, John] Virginia Commonwealth Univ, Dept Med, Richmond, VA 23298 USA</t>
  </si>
  <si>
    <t>University of California System; University of California San Francisco; University of Pennsylvania; Virginia Commonwealth University</t>
  </si>
  <si>
    <t>Which Decisions Live in the Provable Layer? Formally Verified Safety Constraints for Agentic Clinical AI, with a Whole-Person Longitudinal Benchmark</t>
  </si>
  <si>
    <t>formal verification; safety constraints; clinical decision support; large language models; AI safety; satisfiability modulo theories; agentic systems; longitudinal care; trustworthy AI; benchmark</t>
  </si>
  <si>
    <t>CHECKING</t>
  </si>
  <si>
    <t>JUL 18 2026</t>
  </si>
  <si>
    <t>10.3390/ai7070267</t>
  </si>
  <si>
    <t>http://dx.doi.org/10.3390/ai7070267</t>
  </si>
  <si>
    <t>LR3AY</t>
  </si>
  <si>
    <t>WOS:001831360900001</t>
  </si>
  <si>
    <t>Jaikumar, SS; Praveena, SM</t>
  </si>
  <si>
    <t>Early Breast Cancer (BC) Diagnosis has the potential to cut BC death rates in the long term drastically. Identifying early-stage cancer cells is the most crucial step in determining the best prognosis. Despite recent advances in the use of AI-based methods, such as machine learning and deep learning (DL), to detect breast cancer, current models are generally limited to simple binary classification of data, rely on a single source of data, and lack transparency, thereby limiting their clinical applicability. To overcome these limitations, we proposed an Explainable Artificial Intelligence (AI)-based Residual Tabular Network (ResTab Net) model based on integrating histopathological images and molecular protein expression data patterns to conduct multimodal BC diagnosis. The proposed model utilizes Adaptive Tissue-Aware Gaussian Filtering (ATGF) to enhance the image, Entropy Enhanced Graph-Watershed Segmentation (EGWS) to clearly define the tumor's location, and Self-Adaptive Starfish Optimization (SASFO) to select the features. A hybrid framework of residual convolutional blocks and dense layers can facilitate successful multiclass classification. To ensure tangible transparency and clinical trust, the model captures SHapley Additive exPlanations (SHAP) and Local Interpretable Model-Agnostic Explanations (LIME) approaches illustrates the impact of molecular protein levels, including image features on classification results. The proposed Explainable AI-ResTab Net model is implemented using Python. The performance evolution of the proposed model achieves an accuracy of 98.56%, a precision of 98.10%, a recall of 98.00%, an F1-score of 98.03%, and an Area Under the Curve (AUC) of 99.60%.</t>
  </si>
  <si>
    <t>Jaikumar, S. Sam; Praveena, S. Mary</t>
  </si>
  <si>
    <t>Jaikumar, SS (corresponding author), Sri Ramakrishna Inst Technol, Coimbatore 641010, Tamil Nadu, India.</t>
  </si>
  <si>
    <t>samjaikumar@gmail.com; marypraveena.ece@srit.org</t>
  </si>
  <si>
    <t>[Jaikumar, S. Sam; Praveena, S. Mary] Sri Ramakrishna Inst Technol, Coimbatore 641010, Tamil Nadu, India</t>
  </si>
  <si>
    <t>Breast cancer diagnosis from histopathological images and molecular signatures by fusing features with an explainable AI-based residual tabular network model</t>
  </si>
  <si>
    <t>JOURNAL OF COMPUTER-AIDED MOLECULAR DESIGN</t>
  </si>
  <si>
    <t>Breast cancer diagnosis; Explainable AI; Residual tabular network; Self-adaptive starfish optimization; Feature fusion</t>
  </si>
  <si>
    <t>/ABL-3053-2022</t>
  </si>
  <si>
    <t>0920-654X</t>
  </si>
  <si>
    <t>1573-4951</t>
  </si>
  <si>
    <t>J COMPUT AID MOL DES</t>
  </si>
  <si>
    <t>J. Comput.-Aided Mol. Des.</t>
  </si>
  <si>
    <t>10.1007/s10822-025-00709-x</t>
  </si>
  <si>
    <t>http://dx.doi.org/10.1007/s10822-025-00709-x</t>
  </si>
  <si>
    <t>Biochemistry &amp; Molecular Biology; Biophysics; Computer Science, Interdisciplinary Applications</t>
  </si>
  <si>
    <t>Biochemistry &amp; Molecular Biology; Biophysics; Computer Science</t>
  </si>
  <si>
    <t>E3111</t>
  </si>
  <si>
    <t>41286231</t>
  </si>
  <si>
    <t>WOS:001622410000004</t>
  </si>
  <si>
    <t>Vidya, S; Gupta, K; Aly, A; Wills, A; Ifeachor, E; Shankar, R</t>
  </si>
  <si>
    <t>Background Diagnosis of autism spectrum disorder (ASD) significantly improves quality of life, yet current diagnostic practices rely on subjective behavioural assessments. While machine learning models using functional Magnetic Resonance Imaging (fMRI) show promise for objective diagnosis, existing approaches have critical limitations. High-accuracy models often neglect interpretability, increasing clinical distrust, while interpretable approaches frequently suffer from low accuracy and lack neuroscientific validation of identified biomarkers. Furthermore, no studies have systematically benchmarked which interpretability methods are most effective for fMRI data, hindering the translation of Artificial intelligence (AI) findings into clinical practice. Methods In this observational study, we used the Autism Brain Imaging Data Exchange I (ABIDE I) dataset comprising 884 participants (408 with ASD; 476 controls with typical development) aged 7-64 years from five countries (Belgium, Germany, Ireland, the Netherlands, and the USA) across 17 international sites after applying mean framewise displacement (FD) filtering (&gt;0.2 mm). Data were collected at the respective sites prior to the release of the ABIDE I dataset in August 2012. We described an explainable deep learning (DL) pipeline using a Stacked Sparse Autoencoder (SSAE) with a softmax classifier, trained on functional connectivity data. We systematically benchmarked seven interpretability methods using the Remove And Retrain (ROAR) technique and cross-validated our findings across three preprocessing pipelines. Critically, we validated identified biomarkers against independent neuroscientific literature from genetic, neuroanatomical, and functional studies. Findings Filtering head movement (FD &gt; 0.2 mm) increased classification accuracy from 91% to 98.2% (F1-score: 0.97), achieving state-of-the-art performance. ROAR analysis revealed gradient-based methods, particularly Integrated Gradients, as most reliable for fMRI interpretation. The model consistently identified visual processing regions (calcarine sulcus, cuneus) as critical for ASD classification. These findings aligned with independent genetic studies and neuroimaging research, confirming our model captured genuine neurobiological ASD markers rather than overfitting to dataset artifacts. Interpretation We addressed three key research gaps by developing a highly accurate, interpretable ASD classification model, establishing a benchmarking framework for interpretability methods in the fMRI modality, and validating our identified biomarkers against established neuroscience literature. The consistent importance of visual processing regions suggests a fundamental biomarker potentially present across the ASD spectrum, offering new directions for diagnostic biomarker research, though translation to individual-level clinical applications requires further development. (c) 2025 The Authors. Published by Elsevier Ltd. This is an open access article under the CC BY license (http://creativecommons.org/licenses/by/4.0/)</t>
  </si>
  <si>
    <t>Vidya, Suryansh; Gupta, Kush; Aly, Amir; Wills, Andy; Ifeachor, Emmanuel; Shankar, Rohit</t>
  </si>
  <si>
    <t>Aly, A (corresponding author), Univ Plymouth, Drake Circus, Plymouth PL4 8AA, England.</t>
  </si>
  <si>
    <t>amir.aly@plymouth.ac.uk</t>
  </si>
  <si>
    <t>Engineering and Physical Sciences Research Council, UK [EP/W524554/1]</t>
  </si>
  <si>
    <t>Engineering and Physical Sciences Research Council, UK (UK Research &amp; Innovation (UKRI), Engineering &amp; Physical Sciences Research Council (EPSRC))</t>
  </si>
  <si>
    <t>This work was supported by the Engineering and Physical Sciences Research Council, UK [EP/W524554/1] .</t>
  </si>
  <si>
    <t>[Vidya, Suryansh; Gupta, Kush; Aly, Amir; Wills, Andy; Ifeachor, Emmanuel; Shankar, Rohit] Univ Plymouth, Drake Circus, Plymouth PL4 8AA, England</t>
  </si>
  <si>
    <t>University of Plymouth</t>
  </si>
  <si>
    <t>Identification of critical brain regions for autism diagnosis from fMRI data using explainable AI: an observational analysis of the ABIDE dataset</t>
  </si>
  <si>
    <t>ECLINICALMEDICINE</t>
  </si>
  <si>
    <t>Biomarkers; Deep learning; Explainable AI; Functional connectivity; Functional MRI (fMRI); Interpretability; Magnetic resonance imaging; Neuroimaging; Remove and Retrain (ROAR); Sparse autoencoders</t>
  </si>
  <si>
    <t>SENTENCE COMPREHENSION; SPECTRUM DISORDERS; NETWORK; SYNCHRONIZATION; CONNECTIVITY; SEVERITY; CHILDREN; MIND</t>
  </si>
  <si>
    <t>Shankar, Rohit/HGU-4155-2022; Wills, Andy/A-5063-2009</t>
  </si>
  <si>
    <t>Gupta, Kush/0009-0008-9930-6435; Shankar, Rohit/0000-0002-1183-6933; Aly, Amir/0000-0001-5169-0679; Wills, Andy/0000-0003-4803-0367; Vidya, Suryansh/0009-0009-7833-0679</t>
  </si>
  <si>
    <t>2589-5370</t>
  </si>
  <si>
    <t>EClinicalMedicine</t>
  </si>
  <si>
    <t>103452</t>
  </si>
  <si>
    <t>10.1016/j.eclinm.2025.103452</t>
  </si>
  <si>
    <t>http://dx.doi.org/10.1016/j.eclinm.2025.103452</t>
  </si>
  <si>
    <t>9JK5O</t>
  </si>
  <si>
    <t>41181843</t>
  </si>
  <si>
    <t>WOS:001607788700010</t>
  </si>
  <si>
    <t>Henriksen, A; Blond, L</t>
  </si>
  <si>
    <t>Recent policies and research articles call for turning AI into a form of IA ('intelligence augmentation'), by envisioning systems that center on and enhance humans. Based on a field study at an AI company, this article studies how AI is performed as developers enact two predictive systems along with stakeholders in public sector accounting and public sector healthcare. Inspired by STS theories about values in design, we analyze our empirical data focusing especially on how objectives, structured performances, and divisions of labor are built into the two systems and at whose expense. Our findings reveal that the development of the two AI systems is informed by politically motivated managerial interests in cost-efficiency. This results in AI systems that are (1) designed as managerial tools meant to enable efficiency improvements and cost reductions, and (2) enforced on professionals on the 'shop floor' in a top-down manner. Based on our findings and a discussion drawing on literature on the original visions of human-centered systems design from the 1960s, we argue that turning AI into IA seems dubious, and ask what human-centered AI really means and whether it remains an ideal not easily realizable in practice. More work should be done to rethink human-machine relationships in the age of big data and AI, in this way making the call for ethical and responsible AI more genuine and trustworthy.</t>
  </si>
  <si>
    <t>Henriksen, Anne; Blond, Lasse</t>
  </si>
  <si>
    <t>Henriksen, A (corresponding author), Aarhus Univ, Dept Media Studies &amp; Journalism, Helsingforsgade 14, DK-8200 Aarhus, Denmark.</t>
  </si>
  <si>
    <t>annehenriksen@cc.au.dk</t>
  </si>
  <si>
    <t>[Henriksen, Anne] Aarhus Univ, Aarhus, Denmark; [Blond, Lasse] Danish Technol Inst, Aarhus, Denmark; [Henriksen, Anne] Aarhus Univ, Dept Media Studies &amp; Journalism, Helsingforsgade 14, DK-8200 Aarhus, Denmark</t>
  </si>
  <si>
    <t>Aarhus University; Danish Technological Institute; Aarhus University</t>
  </si>
  <si>
    <t>Executive-centered AI? Designing predictive systems for the public sector</t>
  </si>
  <si>
    <t>SOCIAL STUDIES OF SCIENCE</t>
  </si>
  <si>
    <t>artificial intelligence; machine learning; computer systems design; intelligence augmentation; human-centered systems; responsible AI</t>
  </si>
  <si>
    <t>ARTIFICIAL-INTELLIGENCE; ETHICS</t>
  </si>
  <si>
    <t>0306-3127</t>
  </si>
  <si>
    <t>1460-3659</t>
  </si>
  <si>
    <t>SOC STUD SCI</t>
  </si>
  <si>
    <t>Soc. Stud. Sci.</t>
  </si>
  <si>
    <t>738</t>
  </si>
  <si>
    <t>760</t>
  </si>
  <si>
    <t>10.1177/03063127231163756</t>
  </si>
  <si>
    <t>http://dx.doi.org/10.1177/03063127231163756</t>
  </si>
  <si>
    <t>History &amp; Philosophy Of Science</t>
  </si>
  <si>
    <t>History &amp; Philosophy of Science</t>
  </si>
  <si>
    <t>T1FR6</t>
  </si>
  <si>
    <t>37154115</t>
  </si>
  <si>
    <t>WOS:000980809300001</t>
  </si>
  <si>
    <t>Salyers, AJ; Bull, S; Silvasstar, J; Howell, K; Wright, T; Banaei-Kashani, F</t>
  </si>
  <si>
    <t>Background: Artificially intelligent (AI) chatbots that deploy natural language processing and machine learning are becoming more common in health care to facilitate patient education and outreach; however, generative chatbots such as ChatGPT face challenges, as they can misinform and hallucinate. Health care systems are increasingly interested in using these tools for patient education, access to care, and self-management, but need reassurances that AI systems can be secure and credible. Objective: This study aimed to build a secure system that people can use to send SMS with questions about substance use, and which can be used to screen for substance use disorder (SUD). The system will rely on data transfer via third party vendors and will thus require reliable and trustworthy encryption of protected health information . Methods: We describe the process and specifications for building an AI chatbot that users can access to gain information on and screen for SUD from Be Well Texas, a clinical provider affiliated with the University of Texas Health Sciences Center at San Antonio. Results: The AI chatbot system uses natural language processing and machine learning to classify expert-curated content related to SUD. It illustrates how we can comply with best practices in HIPPA (Health Insurance Portability and Accountability Act) compliance in data encryption for data transfer and data at rest, while still offering a state-of-the-art system that uses dynamic, user-driven conversation to dialogue about SUD, screen for SUD and access SUD treatment services. Conclusions: Recent calls for attention to user-friendly design concerning user rights that honor digital rights and regulations for digital substance use offerings suggest that this study is timely and appropriate while still advancing the field of AI.</t>
  </si>
  <si>
    <t>Salyers, Adam Jerome; Bull, Sheana; Silvasstar, Joshva; Howell, Kevin; Wright, Tara; Banaei-Kashani, Farnoush</t>
  </si>
  <si>
    <t>Bull, S (corresponding author), Clin Chat LLC, 2950 Arkins Ct,Unit 605, Denver, CO 80216 USA.</t>
  </si>
  <si>
    <t>sheana.bull@clinicchat.com</t>
  </si>
  <si>
    <t>National Institutes of Health, National Institute of Drug Abuse (NIDA) [1R41DA059275-01]</t>
  </si>
  <si>
    <t>National Institutes of Health, National Institute of Drug Abuse (NIDA) (United States Department of Health &amp; Human Services, National Institutes of Health (NIH) - USA, NIH National Institute on Drug Abuse (NIDA))</t>
  </si>
  <si>
    <t>The authors gratefully acknowledge the participants who were willing to engage with the system and offer their feedback. This work was supported with funding from the National Institutes of Health, National Institute of Drug Abuse (NIDA) under grant number 1R41DA059275-01.</t>
  </si>
  <si>
    <t>[Salyers, Adam Jerome; Bull, Sheana; Silvasstar, Joshva] Clin Chat LLC, 2950 Arkins Ct,Unit 605, Denver, CO 80216 USA; [Howell, Kevin; Wright, Tara] Univ Texas Hlth Sci San Antonio, San Antonio, TX USA; [Banaei-Kashani, Farnoush] Univ Colorado, Dept Comp Sci &amp; Engn, Denver, CO USA</t>
  </si>
  <si>
    <t>University of Texas System; University of Texas at San Antonio; University of Colorado System; University of Colorado Denver</t>
  </si>
  <si>
    <t>Building and Beta-Testing Be Well Buddy Chatbot, a Secure, Credible and Trustworthy AI Chatbot That Will Not Misinform, Hallucinate or Stigmatize Substance Use Disorder: Development and Usability Study</t>
  </si>
  <si>
    <t>artificial intelligence; chatbot; infrastructure; substance use disorder; digital health; health communication; conversational agent; HIPAA; AI; Healthcare Insurance Portability and Accountability Act</t>
  </si>
  <si>
    <t>PROGRAM</t>
  </si>
  <si>
    <t>Bull, Sheana/0009-0004-7110-3266; Howell, Kevin/0009-0009-5073-548X; Silvasstar, Joshva/0000-0002-0816-3555; Wright, Tara/0000-0002-3873-7070</t>
  </si>
  <si>
    <t>e69144</t>
  </si>
  <si>
    <t>10.2196/69144</t>
  </si>
  <si>
    <t>http://dx.doi.org/10.2196/69144</t>
  </si>
  <si>
    <t>2SG9U</t>
  </si>
  <si>
    <t>40334652</t>
  </si>
  <si>
    <t>WOS:001490102200001</t>
  </si>
  <si>
    <t>Background: Skin cancer represents one of the most prevalent malignancies worldwide, with melanoma accounting for approximately 75% of skin cancer-related deaths despite comprising fewer than 5% of cases. Early detection dramatically improves survival rates from 14% to over 99%, highlighting the urgent need for accurate and accessible diagnostic tools. While deep learning has shown promise in dermatological diagnosis, existing approaches lack clinical explainability and deployable interfaces that bridge the gap between research innovation and practical healthcare applications. Methods: This study implemented a comprehensive multimodal deep learning framework using the HAM10000 dataset (10,015 dermatoscopic images across seven diagnostic categories). Three CNN architectures (DenseNet-121, EfficientNet-B3, ResNet-50) were systematically compared, integrating patient metadata, including age, sex, and anatomical location, with dermatoscopic image analysis. The first implementation of XRAI (eXplanation with Region-based Attribution for Images) explainability for skin lesion classification was developed, providing spatially coherent explanations aligned with clinical reasoning patterns. A deployable web-based clinical interface was created, featuring real-time inference, comprehensive safety protocols, risk stratification, and evidence-based cosmetic recommendations for benign conditions. Results: EfficientNet-B3 achieved superior performance with 89.09% test accuracy and 90.08% validation accuracy, significantly outperforming DenseNet-121 (82.83%) and ResNet-50 (78.78%). Test-time augmentation improved performance by 1.00 percentage point to 90.09%. The model demonstrated excellent performance for critical malignant conditions: melanoma (81.6% confidence), basal cell carcinoma (82.1% confidence), and actinic keratoses (88% confidence). XRAI analysis revealed clinically meaningful attention patterns focusing on irregular pigmentation for melanoma, ulcerated borders for basal cell carcinoma, and surface irregularities for precancerous lesions. Error analysis showed that misclassifications occurred primarily in visually ambiguous cases with high correlation (0.855-0.968) between model attention and ideal features. The web application successfully validated real-time diagnostic capabilities with appropriate emergency protocols for malignant conditions and comprehensive cosmetic guidance for benign lesions. Conclusions: This research successfully developed the first clinically deployable skin lesion classification system combining diagnostic accuracy with explainable AI and practical patient guidance. The integration of XRAI explainability provides essential transparency for clinical acceptance, while the web-based deployment democratizes access to advanced dermatological AI capabilities. Comprehensive validation establishes readiness for controlled clinical trials and potential integration into healthcare workflows, particularly benefiting underserved regions with limited specialist availability. This work bridges the critical gap between research-grade AI models and practical clinical utility, establishing a foundation for responsible AI integration in dermatological practice.</t>
  </si>
  <si>
    <t>[Aksoy, Serra] Ludwig Maximilian Univ Munich LMU, Inst Comp Sci, Oettingenstr 67, D-80538 Munich, Germany; [Demircioglu, Pinar; Bogrekci, Ismail] Aydin Adnan Menderes Univ ADU, Dept Mech Engn, TR-09010 Aydin, Turkiye</t>
  </si>
  <si>
    <t>Web-Based Multimodal Deep Learning Platform with XRAI Explainability for Real-Time Skin Lesion Classification and Clinical Decision Support</t>
  </si>
  <si>
    <t>COSMETICS</t>
  </si>
  <si>
    <t>skin lesion classification; deep learning; explainable artificial intelligence; XRAI; dermatoscopy; melanoma detection; clinical deployment; multimodal fusion</t>
  </si>
  <si>
    <t>Demircioglu, Pinar/AFG-7330-2022; Aksoy, Serra/KVB-0012-2024; BOGREKCI, Ismail/AFQ-2670-2022</t>
  </si>
  <si>
    <t>Demircioglu, Pinar/0000-0003-1375-5616; Aksoy, Serra/0009-0001-2391-9437; BOGREKCI, Ismail/0000-0002-9494-5405</t>
  </si>
  <si>
    <t>2079-9284</t>
  </si>
  <si>
    <t>COSMETICS-BASEL</t>
  </si>
  <si>
    <t>Cosmetics</t>
  </si>
  <si>
    <t>SEP 8 2025</t>
  </si>
  <si>
    <t>194</t>
  </si>
  <si>
    <t>10.3390/cosmetics12050194</t>
  </si>
  <si>
    <t>http://dx.doi.org/10.3390/cosmetics12050194</t>
  </si>
  <si>
    <t>Biochemistry &amp; Molecular Biology; Dermatology</t>
  </si>
  <si>
    <t>9BL7Q</t>
  </si>
  <si>
    <t>WOS:001602368500001</t>
  </si>
  <si>
    <t>Xiao, RY; Zhang, J</t>
  </si>
  <si>
    <t>The rise of health care AI raises concerns over whether patent disclosure supports reproducibility and legal validity. This study analyzes 865 granted medical AI patents (2015-2025) from the US, China, and the EU using a five-dimensional framework (algorithm transparency, training data accessibility, model reproducibility, result verifiability, and mathematical support) implemented through NLP-assisted expert scoring. Results suggest limited technical transparency; approximately 40% of patents score zero in at least two dimensions. Performance varies significantly: algorithm transparency is relatively strong (&gt;60% score 2), while training data accessibility is less prevalent (4.6% score 2) and mathematical support is frequently omitted (39.4% score 0). Statistical testing indicates US patents significantly outperform Chinese patents (p &lt; 0.001), while EU results remain exploratory (N = 31, mean 6.2). These patterns appear associated with institutional factors, strategic applicant behaviour, and technical complexity. Such limitations may pose risks to enforceability and market development, highlighting the need for targeted disclosure improvements. This study contributes a replicable framework for translating legal standards into measurable indicators, providing cross-jurisdictional evidence to guide examination, litigation, and policy refinement in medical AI governance.</t>
  </si>
  <si>
    <t>Xiao, Ruyi; Zhang, Jin</t>
  </si>
  <si>
    <t>Zhang, J (corresponding author), China Univ Polit Sci &amp; Law, Sch Civil Commercial &amp; Econ Law, Beijing, Peoples R China.</t>
  </si>
  <si>
    <t>jinzh002@cupl.edu.cn</t>
  </si>
  <si>
    <t>The 2024 Innovative Talents International Cooperation Training Program of the China Scholarship Council [202407070131]</t>
  </si>
  <si>
    <t>The 2024 Innovative Talents International Cooperation Training Program of the China Scholarship Council</t>
  </si>
  <si>
    <t>Ruyi Xiao acknowledges support from the 2024 Innovative Talents International Cooperation Training Program (Project No. 202407070131) of the China Scholarship Council.</t>
  </si>
  <si>
    <t>[Xiao, Ruyi; Zhang, Jin] China Univ Polit Sci &amp; Law, Sch Civil Commercial &amp; Econ Law, Beijing, Peoples R China; [Xiao, Ruyi] Natl Univ Singapore, Fac Law, Singapore, Singapore</t>
  </si>
  <si>
    <t>China University of Political Science &amp; Law; National University of Singapore</t>
  </si>
  <si>
    <t>The Sufficiency of Disclosure in Medical AI Patents: Evidence from 865 Granted Patents Across the US, China, and the EU</t>
  </si>
  <si>
    <t>JOURNAL OF LAW MEDICINE &amp; ETHICS</t>
  </si>
  <si>
    <t>Medical artificial intelligence; patent disclosure; information transparency; empirical analysis; natural language processing</t>
  </si>
  <si>
    <t>Xiao, Ruyi/0009-0004-9166-0801</t>
  </si>
  <si>
    <t>1073-1105</t>
  </si>
  <si>
    <t>1748-720X</t>
  </si>
  <si>
    <t>J LAW MED ETHICS</t>
  </si>
  <si>
    <t>J. Law Med. Ethics</t>
  </si>
  <si>
    <t>10.1017/jme.2026.10256</t>
  </si>
  <si>
    <t>http://dx.doi.org/10.1017/jme.2026.10256</t>
  </si>
  <si>
    <t>GS0WU</t>
  </si>
  <si>
    <t>42003337</t>
  </si>
  <si>
    <t>WOS:001743712800001</t>
  </si>
  <si>
    <t>Yonehara, M; Nakagawa, Y; Ayatsuka, Y; Hara, Y; Shoji, J; Ebihara, N; Inomata, T; Huang, TX; Nagino, K; Fukuda, K; Kishimoto, T; Sumi, T; Fukushima, A; Fujishima, H; Kawai, M; Takamura, E; Uchio, E; Namba, K; Koyama, A; Haruki, T; Sasaki, SI; Shimizu, Y; Miyazaki, D</t>
  </si>
  <si>
    <t>Background: Artificial intelligence (AI) is a promising new technology that has the potential of diagnosing allergic conjunctival diseases (ACDs). However, its development is slowed by the absence of a tailored image database and explainable AI models. Thus, the purpose of this study was to develop an explainable AI model that can not only diagnose ACDs but also present the basis for the diagnosis. Methods: A dataset of 4942 slit-lamp images from 10 ophthalmological institutions across Japan were used as the image database. A sequential pipeline of segmentation AI was constructed to identify 12 clinical findings in 1038 images of seasonal and perennial allergic conjunctivitis (AC), atopic keratoconjunctivitis (AKC), vernal keratoconjunctivitis (VKC), giant papillary conjunctivitis (GPC), and normal subjects. The performance of the pipeline was evaluated by determining its ability to obtain explainable results through the extraction of the findings. Its diagnostic accuracy was determined for 4 severity- based diagnosis classification of AC, AKC/VKC, GPC, and normal. Results: Segmentation AI pipeline efficiently extracted crucial ACD indicators including conjunctival hyperemia, giant papillae, and shield ulcer, and offered interpretable insights. The AI pipeline diagnosis had a high diagnostic accuracy of 86.2%, and that of the board-certified ophthalmologists was 60.0%. The pipeline had a high classification performance, and the area under the curve (AUC) was 0.959 for AC, 0.905 for normal subjects, 0.847 for GPC, 0.829 for VKC, and 0.790 for AKC. Conclusions: An explainable AI model created by a comprehensive image database can be used for diagnosing ACDs with high degree of accuracy.&lt;br /&gt; (c) 2024 Japanese Society of Allergology. Published by Elsevier B.V. This is an open access article under the CC BY-NC-ND license (http://creativecommons.org/licenses/by-nc-nd/4.0/).</t>
  </si>
  <si>
    <t>Yonehara, Michiko; Nakagawa, Yuji; Ayatsuka, Yuji; Hara, Yuko; Shoji, Jun; Ebihara, Nobuyuki; Inomata, Takenori; Huang, Tianxiang; Nagino, Ken; Fukuda, Ken; Kishimoto, Tatsuma; Sumi, Tamaki; Fukushima, Atsuki; Fujishima, Hiroshi; Kawai, Moeko; Takamura, Etsuko; Uchio, Eiichi; Namba, Kenichi; Koyama, Ayumi; Haruki, Tomoko; Sasaki, Shin-ich; Shimizu, Yumiko; Miyazaki, Dai</t>
  </si>
  <si>
    <t>Miyazaki, D (corresponding author), Tottori Univ, Fac Med, Div Ophthalmol &amp; Visual Sci, 36-1 Nishi Cho, Yonago, 6838504, Japan.</t>
  </si>
  <si>
    <t>dm@tottori-u.ac.jp</t>
  </si>
  <si>
    <t>Japan Society for the Promotion of Science (JSPS) research grant; Grants-in-Aid for Scientific Research [23K09044] Funding Source: KAKEN</t>
  </si>
  <si>
    <t>Japan Society for the Promotion of Science (JSPS) research grant (Ministry of Education, Culture, Sports, Science and Technology, Japan (MEXT), Japan Society for the Promotion of Science); Grants-in-Aid for Scientific Research (Ministry of Education, Culture, Sports, Science and Technology, Japan (MEXT), Japan Society for the Promotion of Science, Grants-in-Aid for Scientific Research (KAKENHI))</t>
  </si>
  <si>
    <t>We received support from the Japan Society for the Promotion of Science (JSPS) research grant.</t>
  </si>
  <si>
    <t>[Yonehara, Michiko; Koyama, Ayumi; Haruki, Tomoko; Sasaki, Shin-ich; Shimizu, Yumiko; Miyazaki, Dai] Tottori Univ, Fac Med, Div Ophthalmol &amp; Visual Sci, 36-1 Nishi Cho, Yonago, 6838504, Japan; [Nakagawa, Yuji; Ayatsuka, Yuji] CRESCO LTD, Technol Lab, Tokyo, Japan; [Hara, Yuko] Ehime Univ, Grad Sch Med, Dept Ophthalmol, Matsuyama, Ehime, Japan; [Shoji, Jun] Nihon Univ, Sch Med, Dept Visual Sci, Div Ophthalmol, Tokyo, Japan; [Ebihara, Nobuyuki] Juntendo Univ, Urayasu Hosp, Dept Ophthalmol, Chiba, Japan; [Inomata, Takenori; Huang, Tianxiang; Nagino, Ken] Juntendo Univ, Grad Sch Med, Dept Ophthalmol, Tokyo, Japan; [Inomata, Takenori; Nagino, Ken] Juntendo Univ, Grad Sch Med, Dept Hosp Adm, Tokyo, Japan; [Inomata, Takenori] Juntendo Univ, Grad Sch Med, AI Incubat Farm, Tokyo, Japan; [Fukuda, Ken; Kishimoto, Tatsuma; Sumi, Tamaki] Kochi Univ, Kochi Med Sch, Dept Ophthalmol, Kochi 7838505, Japan; [Fukushima, Atsuki] Tsukazaki Hosp, Dept Ophthalmol, Himeji, Hyogo, Japan; [Fujishima, Hiroshi] Tsurumi Univ, Sch Dent Med, Dept Ophthalmol, Yokohama, Japan; [Kawai, Moeko; Takamura, Etsuko] Tokyo Womens Med Univ, Sch Med, Dept Ophthalmol, Tokyo, Japan; [Uchio, Eiichi] Fukuoka Univ, Fac Med, Dept Ophthalmol, Fukuoka, Japan; [Namba, Kenichi] Hokkaido Univ, Fac Med, Grad Sch Med, Dept Ophthalmol, Sapporo, Hokkaido 0608638, Japan</t>
  </si>
  <si>
    <t>Tottori University; Ehime University; Nihon University; Juntendo University; Juntendo University; Juntendo University; Juntendo University; Kochi University; Tsurumi University; Tokyo Women's Medical University; Fukuoka University; Hokkaido University</t>
  </si>
  <si>
    <t>Use of explainable AI on slit-lamp images of anterior surface of eyes to diagnose allergic conjunctival diseases</t>
  </si>
  <si>
    <t>ALLERGOLOGY INTERNATIONAL</t>
  </si>
  <si>
    <t>Allergic conjunctivitis; Artificial intelligence; Atopic keratoconjunctivitis; Deep learning; Vernal keratoconjunctivitis</t>
  </si>
  <si>
    <t>裕治, 中川/PQV-3147-2026; Nagino, Ken/HKP-9695-2023; Fukuda, Ken/HRP-5580-2023; Inomata, Takenori/L-8210-2019</t>
  </si>
  <si>
    <t>Nagino, Ken/0000-0002-0317-6074; Fukuda, Ken/0000-0003-4990-6308; Inomata, Takenori/0000-0003-3435-1055</t>
  </si>
  <si>
    <t>JAPANESE SOC ALLERGOLOGY</t>
  </si>
  <si>
    <t>MY BLDG 4F, 1-13-3, UENO, TAITO-KU, TOKYO, 110-0005, JAPAN</t>
  </si>
  <si>
    <t>1323-8930</t>
  </si>
  <si>
    <t>1440-1592</t>
  </si>
  <si>
    <t>ALLERGOL INT</t>
  </si>
  <si>
    <t>Allergol. Int.</t>
  </si>
  <si>
    <t>10.1016/j.alit.2024.07.004</t>
  </si>
  <si>
    <t>http://dx.doi.org/10.1016/j.alit.2024.07.004</t>
  </si>
  <si>
    <t>Allergy; Immunology</t>
  </si>
  <si>
    <t>S7Z3Z</t>
  </si>
  <si>
    <t>39155213</t>
  </si>
  <si>
    <t>WOS:001400354100001</t>
  </si>
  <si>
    <t>Xu, A; Li, ZH; Wu, TR; Cao, Y</t>
  </si>
  <si>
    <t>Robustness is essential for counterfactual explanation generation algorithms (CEGAs), as it directly affects the trustworthiness and reliability of AI-driven decision support systems. Conventional robustness notions-such as output stability under small perturbations-are often inadequate in counterfactual settings, where complex decision boundaries can lead to inconsistent and unreliable explanations. To address this issue, we introduce Robust Compatibility (RC) and its relaxed variant, Modular Robust Compatibility (MRC), which provide a more practical view of robustness by modeling the relationship between counterfactuals and decision boundaries. MRC, in particular, captures robustness in high-complexity regions and serves as a lower bound to RC. Building on these concepts, we propose the (alpha, beta)-Robustness Index and a two-stage hyperparameter tuning strategy, and we develop two plug-and-play algorithms, IP-RCG and RIE-RCG, to improve the stability of counterfactuals without compromising their validity. Extensive experiments on twelve benchmark datasets across domains such as healthcare and finance demonstrate consistent improvements in robustness, reliability, and interpretability. Overall, this work contributes (i) new robustness notions tailored to counterfactual explanations, (ii) a unified robustness index with efficient algorithmic implementations, and (iii) empirical validation in real-world application domains, highlighting the practical value of RC and MRC for building trustworthy AI systems.</t>
  </si>
  <si>
    <t>Xu, Ao; Li, Zihao; Wu, Tieru; Cao, Yang</t>
  </si>
  <si>
    <t>Wu, TR (corresponding author), Jilin Univ, Sch Artificial Intelligence, 2699,Qianjin St, Changchun 130012, Jilin, Peoples R China.</t>
  </si>
  <si>
    <t>xuao24@mails.jlu.edu.cn; wutr@jlu.edu.cn; zihaol20@mails.jlu.edu.cn; caoyang@jlu.edu.cn</t>
  </si>
  <si>
    <t>National Key Research and Development Program of China [2020YFA0714103]</t>
  </si>
  <si>
    <t>National Key Research and Development Program of China (National Key Research &amp; Development Program of China)</t>
  </si>
  <si>
    <t>This work is supported in part by the National Key Research and Development Program of China (No. 2020YFA0714103) .</t>
  </si>
  <si>
    <t>[Xu, Ao; Li, Zihao; Wu, Tieru] Jilin Univ, Sch Artificial Intelligence, 2699,Qianjin St, Changchun 130012, Jilin, Peoples R China; [Cao, Yang] Jilin Univ, Sch Math, 2699,Qianjin St, Changchun 130012, Jilin, Peoples R China</t>
  </si>
  <si>
    <t>Jilin University; Jilin University</t>
  </si>
  <si>
    <t>Enhancing the robustness of counterfactual explanations via modular robust compatibility</t>
  </si>
  <si>
    <t>Counterfactual explanations; Explainable artificial intelligence; Machine learning</t>
  </si>
  <si>
    <t>li, zihao/NBX-3455-2025</t>
  </si>
  <si>
    <t>li, zihao/0000-0003-4269-8390; Xu, Ao/0009-0009-9071-9070</t>
  </si>
  <si>
    <t>APR 1 2026</t>
  </si>
  <si>
    <t>304</t>
  </si>
  <si>
    <t>130746</t>
  </si>
  <si>
    <t>10.1016/j.eswa.2025.130746</t>
  </si>
  <si>
    <t>http://dx.doi.org/10.1016/j.eswa.2025.130746</t>
  </si>
  <si>
    <t>AH8FG</t>
  </si>
  <si>
    <t>WOS:001648464800001</t>
  </si>
  <si>
    <t>Yuan, FP; Zhou, WJ; Dodge, HH; Zhao, XP</t>
  </si>
  <si>
    <t>Social isolation has become a growing public health concern in older adults and older adults with mild cognitive impairment. Coping strategies must be developed to increase social contact for socially isolated older adults. In this paper, we explored the conversational strategy between trained conversation moderators and socially isolated adults during a conversational engagement clinical trial (Clinicaltrials.gov: NCT02871921). We carried out structural learning and causality analysis to investigate the conversation strategies used by the trained moderators to engage socially isolated adults in the conversation and the causal effects of the strategy on engagement. Causal relations and effects were inferred between participants' emotions, the dialogue strategies used by moderators, and participants' following emotions. The results found in this paper may be used to support the development of cost-efficient, trustworthy AI- and/or robot-based platform to promote conversational engagement for older adults to address the challenges in social interaction.</t>
  </si>
  <si>
    <t>Yuan, Fengpei; Zhou, Wenjun; Dodge, Hiroko H.; Zhao, Xiaopeng</t>
  </si>
  <si>
    <t>Yuan, FP (corresponding author), Univ Tennessee Knoxville, Dept Mech Aerosp &amp; Biomed Engn, 1512 Middle Dr, Knoxville, TN 37996 USA.</t>
  </si>
  <si>
    <t>xzhao9@utk.edu; hdodge@mgh.harvard.edu; wzhou4@utk.edu; fyuan6@vols.utk.edu</t>
  </si>
  <si>
    <t>National Institute of Health [R01AG051628, R01AG056102, R01AG077003]</t>
  </si>
  <si>
    <t>National Institute of Health (United States Department of Health &amp; Human Services, National Institutes of Health (NIH) - USA)</t>
  </si>
  <si>
    <t>Data availability Data will be made available on request. Funding This work was partially supported by the National Institute of Health [grant numbers R01AG051628, R01AG056102, and R01AG077003] .</t>
  </si>
  <si>
    <t>[Yuan, Fengpei; Zhao, Xiaopeng] Univ Tennessee Knoxville, Dept Mech Aerosp &amp; Biomed Engn, 1512 Middle Dr, Knoxville, TN 37996 USA; [Zhou, Wenjun] Univ Tennessee Knoxville, Dept Business Analyt &amp; Stat, 916 Volunteer Blvd, Knoxville, TN 37996 USA; [Dodge, Hiroko H.] Harvard Med Sch, 25 Shattuck St, Boston, MA 02115 USA</t>
  </si>
  <si>
    <t>University of Tennessee Knoxville; University of Tennessee System; University of Tennessee Knoxville; University of Tennessee Knoxville; University of Tennessee System; University of Tennessee Knoxville; Harvard University; Harvard Medical School</t>
  </si>
  <si>
    <t>Short: Causal structural learning of conversational engagement for socially isolated older adults</t>
  </si>
  <si>
    <t>Causal inference; Conversational engagement; Social isolation; Older adults; Mild cognitive impairment</t>
  </si>
  <si>
    <t>Yuan, Fengpei/KWU-0522-2024; Zhao, Xiaopeng/A-4419-2008</t>
  </si>
  <si>
    <t>Dodge, Hiroko/0000-0001-7290-8307</t>
  </si>
  <si>
    <t>100384</t>
  </si>
  <si>
    <t>10.1016/j.smhl.2023.100384</t>
  </si>
  <si>
    <t>http://dx.doi.org/10.1016/j.smhl.2023.100384</t>
  </si>
  <si>
    <t>9PU4O</t>
  </si>
  <si>
    <t>37065441</t>
  </si>
  <si>
    <t>WOS:001612137800019</t>
  </si>
  <si>
    <t>Islam, S; Deo, RC; Acharya, UR; Barua, PD; Soar, J</t>
  </si>
  <si>
    <t>Diabetic retinopathy (DR) and diabetic macular oedema (DME) are two of the most significant preventable contributors to blindness in the adult population worldwide, yet current automated screening systems typically address each condition in isolation and rely on a single imaging modality. In this study, we propose a deep learning model that simultaneously grades DR severity and detects DME by fusing paired colour fundus and optical coherence tomography (OCT) images acquired from the same eye during the same clinical visit. Our architecture employs two parallel EfficientNet-B0 backbones pre-trained on ImageNet, one for each modality, whose 1280-dimensional feature vectors are concatenated into a 2560-dimensional joint representation. This fused representation passes through a shared fully connected block before branching into a three-class DR classification head and a binary DME detection head. We train and evaluate the model on a private dataset of 425 paired fundus and OCT eye images (850 images). The proposed architecture adopts feature-level fusion, in which modality-specific deep features are independently extracted from fundus and OCT images using separate convolutional backbones and subsequently concatenated to form a joint representation for multi-task learning. On the held-out test set (n= 85), the fusion model achieves 82.4% DR accuracy (area under the receiver operating characteristic curve [AUC] = 0.929, macro sensitivity = 0.81, macro specificity = 0.905) and 97.6% DME accuracy (AUC = 0.999, sensitivity = 0.833, specificity = 1.000). The fusion model detects 10 of 12 DME-positive eyes compared with only 7 of 12 for either the fundus-only or OCT-only baselines, representing a 43% relative improvement in DME sensitivity. Stratified five-fold cross-validation (n = 425 aggregated predictions) corroborates these findings, with the fusion model reaching 87.1% DR accuracy (AUC = 0.978) and 99.1% DME accuracy (AUC = 1.000). Gradient-weighted class activation mapping visualisations confirm that the fundus branch attends to clinically relevant macular lesions, whereas the OCT branch highlights retinal layer disruptions and subretinal fluid, providing interpretability. To the best of our knowledge, the proposed MultiRetNet is the first lightweight, task-specific multimodal architecture to jointly grade DR severity and detect DME from paired same-eye, same-visit fundus and OCT images through explicit feature-level fusion within a single end-to-end multi-task framework, distinct from recent generalist ophthalmic foundation models, supporting the value of multimodal fusion for comprehensive diabetic eye screening pending external validation.</t>
  </si>
  <si>
    <t>Islam, Saad; Deo, Ravinesh C.; Acharya, U. Rajendra; Barua, Prabal Datta; Soar, Jeffrey</t>
  </si>
  <si>
    <t>Islam, S (corresponding author), Univ Southern Queensland, Sch Math Phys &amp; Comp, Artificial Intelligence Applicat Lab, Springfield, Qld 4300, Australia.</t>
  </si>
  <si>
    <t>prabal.barua@unisq.edu.au; jeffrey.soar@unisq.edu.au; ravinesh.deo@unisq.edu.au; saad.islam@unisq.edu.au; rajendra.acharya@unisq.edu.au</t>
  </si>
  <si>
    <t>University of Southern Queensland</t>
  </si>
  <si>
    <t>This research was financially supported by a grant from the University of Southern Queensland International PhD Fee Scholarship and the University of Southern Queensland International PhD Stipend Scholarship.</t>
  </si>
  <si>
    <t>[Islam, Saad; Deo, Ravinesh C.; Acharya, U. Rajendra] Univ Southern Queensland, Sch Math Phys &amp; Comp, Artificial Intelligence Applicat Lab, Springfield, Qld 4300, Australia; [Barua, Prabal Datta; Soar, Jeffrey] Univ Southern Queensland, Sch Business, Springfield, Qld 4300, Australia; [Barua, Prabal Datta] Univ Technol Sydney, Fac Engn &amp; Informat Technol, Sydney, NSW 2007, Australia</t>
  </si>
  <si>
    <t>University of Southern Queensland; University of Southern Queensland; University of Technology Sydney</t>
  </si>
  <si>
    <t>MultiRetNet: A Lightweight Explainable AI Approach to Diabetic Retinopathy Grading and DME Detection Using Fundus-OCT Fusion</t>
  </si>
  <si>
    <t>diabetic retinopathy; fundus photography; optical coherence tomography; multimodal fusion; deep learning; interpretability; Grad-CAM</t>
  </si>
  <si>
    <t>COHERENCE TOMOGRAPHY IMAGES; NEURAL-NETWORKS; MACULAR EDEMA; VALIDATION; DISEASES</t>
  </si>
  <si>
    <t>Deo, Ravinesh/F-6157-2012</t>
  </si>
  <si>
    <t>10.3390/jimaging12060236</t>
  </si>
  <si>
    <t>http://dx.doi.org/10.3390/jimaging12060236</t>
  </si>
  <si>
    <t>KA8QU</t>
  </si>
  <si>
    <t>42346900</t>
  </si>
  <si>
    <t>WOS:001802581200001</t>
  </si>
  <si>
    <t>De Simone, B; Deeken, G; Catena, F</t>
  </si>
  <si>
    <t>Background: Artificial intelligence (AI) is increasingly shaping the landscape of emergency surgery by offering real-time decision support, enhancing diagnostic accuracy, and optimizing workflows. However, its implementation raises significant ethical concerns, particularly regarding accountability, transparency, patient autonomy, and bias. Objective: This perspective paper, grounded in a narrative review, explores the ethical dilemmas associated with AI in emergency surgery and proposes future directions for its responsible and equitable integration. Methods: A comprehensive narrative review was conducted using PubMed, Scopus, Web of Science, and Google Scholar, covering the literature published from January 2010 to December 2024. We focused on peer-reviewed articles discussing AI in surgical or emergency care and highlighting ethical, legal, or regulatory issues. A thematic analysis was used to synthesize the main ethical challenges. Results: Key ethical concerns identified include issues of accountability in AI-assisted decision-making, the "black box" effect and bias in algorithmic design, data privacy and protection, and the lack of global regulatory coherence. Thematic domains were developed around autonomy, beneficence, justice, transparency, and informed consent. Conclusions: Responsible AI implementation in emergency surgery requires transparent and explainable models, diverse and representative datasets, robust consent frameworks, and clear guidelines for liability and oversight. Interdisciplinary collaboration is essential to align technological innovation with patient-centered and ethically sound clinical practice.</t>
  </si>
  <si>
    <t>De Simone, Belinda; Deeken, Genevieve; Catena, Fausto</t>
  </si>
  <si>
    <t>De Simone, B (corresponding author), AUSL Romagna, Infermi Hosp, Dept Emergency &amp; Digest Minimally Invas Surg, I-47921 Romagna, Rimini, Italy.; De Simone, B (corresponding author), Campus Univ, Dept Theoret &amp; Appl Sci, I-22060 Novedrate, Como, Italy.</t>
  </si>
  <si>
    <t>genevievedeeken5@gmail.com; faustocatena@gmail.com; desimone.belinda@gmail.com</t>
  </si>
  <si>
    <t>[De Simone, Belinda] AUSL Romagna, Infermi Hosp, Dept Emergency &amp; Digest Minimally Invas Surg, I-47921 Romagna, Rimini, Italy; [De Simone, Belinda] Campus Univ, Dept Theoret &amp; Appl Sci, I-22060 Novedrate, Como, Italy; [Deeken, Genevieve] Univ Virginia, Dept Global Publ Hlth Global Studies, Charlottesville, VA 22903 USA; [Catena, Fausto] Bufalini Hosp, Trauma Ctr, Dept Emergency &amp; Gen Surg, Level 1, I-474521 Cesena, Italy; [Catena, Fausto] Univ Bologna, Alma Mater Studiorum, I-40100 Bologna, Italy</t>
  </si>
  <si>
    <t>AUSL della Romagna; Hospital of Rimini; University of Virginia; University of Bologna</t>
  </si>
  <si>
    <t>Balancing Ethics and Innovation: Can Artificial Intelligence Safely Transform Emergency Surgery? A Narrative Perspective</t>
  </si>
  <si>
    <t>artificial intelligence; machine learning; ethics; surgery; emergency surgery; healthcare; transparency; accountability; black box effect</t>
  </si>
  <si>
    <t>BLACK-BOX; CARE</t>
  </si>
  <si>
    <t>de simone, belinda/AAD-5646-2019</t>
  </si>
  <si>
    <t>de simone, belinda/0000-0002-7956-3097; Deeken, Genevieve/0009-0003-6278-4568</t>
  </si>
  <si>
    <t>3111</t>
  </si>
  <si>
    <t>10.3390/jcm14093111</t>
  </si>
  <si>
    <t>http://dx.doi.org/10.3390/jcm14093111</t>
  </si>
  <si>
    <t>2NS7O</t>
  </si>
  <si>
    <t>40364137</t>
  </si>
  <si>
    <t>WOS:001487010500001</t>
  </si>
  <si>
    <t>Chen, JY; Wu, Q; Du, KF; Jiang, W; Wang, C; Gu, KY; Du, XS</t>
  </si>
  <si>
    <t>Hallucination is a primary challenge for large language models (LLMs) in applications, particularly in high-stake domains, such as agriculture, healthcare, and education. Thus, hallucination detection, i.e., the identification of factually incorrect outputs, has become an important area of research. Although black-box methods are broadly applicable as they do not require access to models, their performance is often limited. Existing techniques generally rely on shallow semantic features or weak supervision, which restricts their ability to identify complex factual inconsistencies. We address these limitations by introducing density clustering-based hallucination detection (DCHD). Our key innovation is to reframe hallucination detection as a semantic anomaly-detection problem. DCHD implements this concept within a black-box framework by embedding generated responses into a high-dimensional space, where hallucinations are identified as low-density outliers. The proposed DCHD method is independent of internal modeling and external knowledge, which constitutes a key advantage of broad applicability and resource efficiency. We evaluated the proposed method on six representative datasets across different domains using six open-source large language models. Experimental results demonstrate that, compared with the well-known semantic entropy method, DCHD achieves an average relative improvement of 4.88% in AUC.</t>
  </si>
  <si>
    <t>Chen, Jiaying; Wu, Qiang; Du, Kangfan; Jiang, Wei; Wang, Chao; Gu, Kuiying; Du, Xusheng</t>
  </si>
  <si>
    <t>Gu, KY (corresponding author), Soochow Univ, Sch Publ Hlth, Suzhou 215006, Peoples R China.; Du, XS (corresponding author), Tsinghua Univ, Vanke Sch Publ Hlth, Beijing 100084, Peoples R China.</t>
  </si>
  <si>
    <t>chenjy@xju.edu.cn; kygu@suda.edu.cn; 107552303296@stu.xju.edu.cn; duxusheng@mail.tsinghua.edu.cn; 107552404849@stu.xju.edu.cn; 107552301692@stu.xju.edu.cn</t>
  </si>
  <si>
    <t>National Natural Science Foundation of China [62562059, 42277419]; Suzhou Applied Basic Research (Medical and Health) Science and Technology Innovation Project [SYW2025193]; National Key Research and Development Program of China [2024YFC3607002]; Research Fund of Vanke School of Public Health in Tsinghua University</t>
  </si>
  <si>
    <t>National Natural Science Foundation of China (National Natural Science Foundation of China (NSFC)); Suzhou Applied Basic Research (Medical and Health) Science and Technology Innovation Project; National Key Research and Development Program of China; Research Fund of Vanke School of Public Health in Tsinghua University</t>
  </si>
  <si>
    <t>The authors are grateful to the anonymous reviewers for their insightful suggestions and comments. This work was supported by the National Natural Science Foundation of China under Grand Number 62562059, 42277419, Suzhou Applied Basic Research (Medical and Health) Science and Technology Innovation Project (NO. SYW2025193), the National Key Research and Development Program of China (number 2024YFC3607002), and the Research Fund of Vanke School of Public Health in Tsinghua University. The funders had no role in study design, data collection and analysis, decision to publish or preparation of the manuscript.</t>
  </si>
  <si>
    <t>[Chen, Jiaying; Wu, Qiang; Du, Kangfan; Wang, Chao] Xinjiang Univ, Sch Software, Urumqi 830046, Peoples R China; [Chen, Jiaying; Wu, Qiang; Du, Kangfan; Wang, Chao] Xinjiang Univ, Xinjiang Engn Res Ctr Big Data &amp; Intelligent Softw, Urumqi 830046, Peoples R China; [Chen, Jiaying; Wu, Qiang; Du, Kangfan; Wang, Chao] Xinjiang Univ, Key Lab Software Engn, Urumqi 830091, Peoples R China; [Jiang, Wei] Xinjiang Univ, Sch Comp Mech Engn, Urumqi 830047, Peoples R China; [Gu, Kuiying] Soochow Univ, Sch Publ Hlth, Suzhou 215006, Peoples R China; [Du, Xusheng] Tsinghua Univ, Vanke Sch Publ Hlth, Beijing 100084, Peoples R China</t>
  </si>
  <si>
    <t>Xinjiang University; Xinjiang University; Soochow University - China; Tsinghua University</t>
  </si>
  <si>
    <t>DCHD: Density clustering-based hallucination detection in large language models</t>
  </si>
  <si>
    <t>Large language models; Hallucination detection; Semantic clustering; Trustworthy ai; Agricultural LLMS</t>
  </si>
  <si>
    <t>OCT 9 2026</t>
  </si>
  <si>
    <t>351</t>
  </si>
  <si>
    <t>116607</t>
  </si>
  <si>
    <t>10.1016/j.knosys.2026.116607</t>
  </si>
  <si>
    <t>http://dx.doi.org/10.1016/j.knosys.2026.116607</t>
  </si>
  <si>
    <t>LF2MC</t>
  </si>
  <si>
    <t>WOS:001823185700001</t>
  </si>
  <si>
    <t>Li, Y; Cai, X; Wu, CW; Lin, X; Cao, GT</t>
  </si>
  <si>
    <t>Despite the large-scale adoption of Artificial Intelligence (AI) models in healthcare, there is an urgent need for trustworthy tools to rigorously backtrack the model decisions so that they behave reliably. Counterfactual explanations take a counter-intuitive approach to allow users to explore "what if" scenarios gradually becoming popular in the trustworthy field. However, most previous work on model's counterfactual explanation cannot generate in-distribution attribution credibly, produces adversarial examples, or fails to give a confidence interval for the explanation. Hence, in this paper, we propose a novel approach that generates counterfactuals in locally smooth directed semantic embedding space, and at the same time gives an uncertainty estimate in the counterfactual generation process. Specifically, we identify low-dimensional directed semantic embedding space based on Principal Component Analysis (PCA) applied in differential generative model. Then, we propose latent space smoothing regularization to rectify counterfactual search within in-distribution, such that visually-imperceptible changes are more robust to adversarial perturbations. Moreover, we put forth an uncertainty estimation framework for evaluating counterfactual uncertainty. Extensive experiments on several challenging realistic Chest X-ray and CelebA datasets show that our approach performs consistently well and better than the existing several state-of-the-art baseline approaches.</t>
  </si>
  <si>
    <t>Li, Yan; Cai, Xia; Wu, Chunwei; Lin, Xiao; Cao, Guitao</t>
  </si>
  <si>
    <t>Cao, GT (corresponding author), East China Normal Univ, MOE Res Ctr Software Hardware Codesign Engn, Shanghai 200062, Peoples R China.; Lin, X (corresponding author), Shanghai Normal Univ, Shanghai Engn Res Ctr Intelligent Educ &amp; Big Data, Shanghai 200234, Peoples R China.; Lin, X (corresponding author), Shanghai Normal Univ, Shanghai Engn Res Ctr Intelligent Educ &amp; Big Data, Shanghai 200234, Peoples R China.</t>
  </si>
  <si>
    <t>lin6008@shnu.edu.cn; xcai@shnu.edu.cn; yanli@shnu.edu.cn; 52215902005@stu.ecnu.edu.cn; gtcao@sei.ecnu.edu.cn</t>
  </si>
  <si>
    <t>National Natural Science Foundation of China [61871186, 61771322, 61872242, 61872241, 61772164, 62072126]</t>
  </si>
  <si>
    <t>This work was supported by the National Natural Science Foundation of China under Grant 61871186, Grant 61771322, Grant 61872242, Grant 61872241, Grant 61772164, and Grant 62072126.</t>
  </si>
  <si>
    <t>[Li, Yan; Cai, Xia] Shanghai Normal Univ, Coll Informat Mech &amp; Elect Engn, Shanghai 200234, Peoples R China; [Wu, Chunwei; Cao, Guitao] East China Normal Univ, MOE Res Ctr Software Hardware Codesign Engn, Shanghai 200062, Peoples R China; [Lin, Xiao] Shanghai Normal Univ, Shanghai Engn Res Ctr Intelligent Educ &amp; Big Data, Shanghai 200234, Peoples R China; [Lin, Xiao] Shanghai Normal Univ, Shanghai Engn Res Ctr Intelligent Educ &amp; Big Data, Shanghai 200234, Peoples R China; [Lin, Xiao] Res Base Online Educ Shanghai Middle &amp; Primary Sch, Shanghai 200234, Peoples R China</t>
  </si>
  <si>
    <t>Shanghai Normal University; East China Normal University; Shanghai Normal University; Shanghai Normal University</t>
  </si>
  <si>
    <t>A Trustworthy Counterfactual Explanation Method With Latent Space Smoothing</t>
  </si>
  <si>
    <t>IEEE TRANSACTIONS ON IMAGE PROCESSING</t>
  </si>
  <si>
    <t>Smoothing methods; Uncertainty; Semantics; Noise; Closed box; X-ray imaging; Robustness; Trustworthy AI; counterfactual explanation; disentanglement representation; smoothing; image processing</t>
  </si>
  <si>
    <t>Cao, Guitao/0000-0002-4059-4806; Wu, Chunwei/0000-0001-6209-3714</t>
  </si>
  <si>
    <t>1057-7149</t>
  </si>
  <si>
    <t>1941-0042</t>
  </si>
  <si>
    <t>IEEE T IMAGE PROCESS</t>
  </si>
  <si>
    <t>IEEE Trans. Image Process.</t>
  </si>
  <si>
    <t>4584</t>
  </si>
  <si>
    <t>4599</t>
  </si>
  <si>
    <t>10.1109/TIP.2024.3442614</t>
  </si>
  <si>
    <t>http://dx.doi.org/10.1109/TIP.2024.3442614</t>
  </si>
  <si>
    <t>D6S5D</t>
  </si>
  <si>
    <t>39159026</t>
  </si>
  <si>
    <t>WOS:001297463800001</t>
  </si>
  <si>
    <t>Trindade, MAM; Edirisinghe, GS; Luo, L</t>
  </si>
  <si>
    <t>This study demonstrates a successful use of Generative Artificial Intelligence (AI) in teaching mathematical material to management students. We herein introduce the EOQ World Tour game, which substantially improves understanding of inventory-related concepts and long-term knowledge retention compared with traditional methods. Generative AI is revolutionizing management education, by offering innovative methods for teaching and learning. The integration of AI into quantitative business disciplines through novel learning mechanisms provides significant benefits, including enhanced data analysis, improved decision-making models, and sophisticated simulations for hands-on experience. This study introduces the EOQ World Tour game, specifically designed to teach the Economic Order Quantity concept in Operations Management. The game addresses challenges in integrating Generative AI into mathematics in management education by combining human oversight and instructor control through three innovative features: (1) a Generative AI-based simulation, (2) a macropowered Excel worksheet for validating the calculations of an AI chatbot, and (3) a Google Sheets dashboard for centralizing team-generated AI data for postgame analysis. Our study included 41 students divided into experimental and control groups. Pretest results indicated no significant differences in baseline knowledge. However, the post-test results showed that the experimental group achieved a better understanding of inventory-related concepts and practical applications, along with higher engagement, excitement, confidence, and long-term knowledge retention.</t>
  </si>
  <si>
    <t>Trindade, Maria A. M.; Edirisinghe, Gihan S.; Luo, Lan</t>
  </si>
  <si>
    <t>Trindade, MAM (corresponding author), Texas A&amp;M Univ, Dept Informat &amp; Operat Management, Mays Business Sch, 210 Olsen Blvd, College Stn, TX 77843 USA.</t>
  </si>
  <si>
    <t>matrindade@tamu.edu; gihan.edirisinghe@wku.edu; lluo@hartford.edu</t>
  </si>
  <si>
    <t>[Trindade, Maria A. M.] Texas A&amp;M Univ, Dept Informat &amp; Operat Management, Mays Business Sch, 210 Olsen Blvd, College Stn, TX 77843 USA; [Edirisinghe, Gihan S.] Western Kentucky Univ, Gordon Ford Coll Business, Dept Management, 1906 Coll Hts Blvd 11058, Bowling Green, KY 42101 USA; [Luo, Lan] Univ Hartford, Barney Sch Business, West Hartford, CT 06117 USA</t>
  </si>
  <si>
    <t>Texas A&amp;M University System; Texas A&amp;M University College Station; Mays Business School; Western Kentucky University; University of Hartford</t>
  </si>
  <si>
    <t>Teaching mathematical concepts in management with generative artificial intelligence: The power of human oversight in AI-driven learning</t>
  </si>
  <si>
    <t>INTERNATIONAL JOURNAL OF MANAGEMENT EDUCATION</t>
  </si>
  <si>
    <t>Generative artificial intelligence in education; Generative AI-Driven learning; Mathematics in management education; Operations management; Economic order quantity; Generative AI in management education</t>
  </si>
  <si>
    <t>DELIBERATE PRACTICE; MEDICAL-EDUCATION; SIMULATION</t>
  </si>
  <si>
    <t>Trindade, Maria Alice/ABI-6627-2022</t>
  </si>
  <si>
    <t>Trindade, Maria Alice/0000-0001-8284-9291; Edirisinghe, Gihan/0000-0002-2443-5792</t>
  </si>
  <si>
    <t>1472-8117</t>
  </si>
  <si>
    <t>2352-3565</t>
  </si>
  <si>
    <t>INT J MANAG EDUC-OXF</t>
  </si>
  <si>
    <t>Int. J. Manag. Educ.</t>
  </si>
  <si>
    <t>101104</t>
  </si>
  <si>
    <t>10.1016/j.ijme.2024.101104</t>
  </si>
  <si>
    <t>http://dx.doi.org/10.1016/j.ijme.2024.101104</t>
  </si>
  <si>
    <t>Business; Education &amp; Educational Research; Management</t>
  </si>
  <si>
    <t>Business &amp; Economics; Education &amp; Educational Research</t>
  </si>
  <si>
    <t>R9C9W</t>
  </si>
  <si>
    <t>WOS:001394349200001</t>
  </si>
  <si>
    <t>Foppen, RJG; Gioia, V; Gupta, S; Johnson, CL; Giantsidis, J; Papademetris, M</t>
  </si>
  <si>
    <t>The use of artificial intelligence (AI) in diabetes management is emerging as a promising solution to improve the monitoring and personalization of therapies. However, the integration of such technologies in the clinical setting poses significant challenges related to safety, security, and compliance with sensitive patient data, as well as the potential direct consequences on patient health. This article provides guidance for developers and researchers on identifying and addressing these safety, security, and compliance challenges in AI systems for diabetes management. We emphasize the role of explainable AI (xAI) systems as the foundational strategy for ensuring security and compliance, fostering user trust, and informed clinical decision-making which is paramount in diabetes care solutions. The article examines both the technical and regulatory dimensions essential for developing explainable applications in this field. Technically, we demonstrate how understanding the lifecycle phases of AI systems aids in constructing xAI frameworks while addressing security concerns and implementing risk mitigation strategies at each stage. In addition, from a regulatory perspective, we analyze key Governance, Risk, and Compliance (GRC) standards established by entities, such as the Food and Drug Administration (FDA), providing specific guidelines to ensure safety, efficacy, and ethical integrity in AI-enabled diabetes care applications. By addressing these interconnected aspects, this article aims to deliver actionable insights and methodologies for developing trustworthy AI-enabled diabetes care solutions while ensuring safety, efficacy, and compliance with ethical standards to enhance patient engagement and improve clinical outcomes.</t>
  </si>
  <si>
    <t>Geukes Foppen, Remco Jan; Gioia, Vincenzo; Gupta, Shreya; Johnson, Curtis L.; Giantsidis, John; Papademetris, Maria</t>
  </si>
  <si>
    <t>Papademetris, M (corresponding author), CyberActa, Sudbury, MA 01776 USA.</t>
  </si>
  <si>
    <t>maria.papademetris@cyberacta.com</t>
  </si>
  <si>
    <t>[Gupta, Shreya; Johnson, Curtis L.] Vishnu Syst, Atlanta, GA USA; [Giantsidis, John; Papademetris, Maria] CyberActa, Sudbury, MA 01776 USA</t>
  </si>
  <si>
    <t>Methodology for Safe and Secure AI in Diabetes Management</t>
  </si>
  <si>
    <t>AI in health care; artificial intelligence; cybersecurity; data; explainable AI; health information</t>
  </si>
  <si>
    <t>Gupta, Shreya/KLZ-3457-2024; Gioia, Vincenzo/GXM-5449-2022</t>
  </si>
  <si>
    <t>Gupta, Shreya/0009-0000-9967-7078; geukes foppen, remco jan/0009-0002-5488-6890</t>
  </si>
  <si>
    <t>620</t>
  </si>
  <si>
    <t>627</t>
  </si>
  <si>
    <t>10.1177/19322968241304434</t>
  </si>
  <si>
    <t>http://dx.doi.org/10.1177/19322968241304434</t>
  </si>
  <si>
    <t>1ZO2Z</t>
  </si>
  <si>
    <t>39726262</t>
  </si>
  <si>
    <t>WOS:001385566400001</t>
  </si>
  <si>
    <t>Shen, FF; Zhu, ZQ; Liu, JE; Li, F</t>
  </si>
  <si>
    <t>Background The introduction of neoadjuvant and perioperative immunotherapy has broadened treatment options for resectable non-small cell lung cancer (NSCLC). However, clinical benefit varies across subpopulations, and standard linear models cannot fully capture the complex feature interactions and trial-level differences found in aggregate data. Methods We applied an integrated framework combining multilevel meta-regression with an inverse-variance weighted eXtreme Gradient Boosting (XGBoost) algorithm. SHapley Additive exPlanations (SHAP) were used to interpret the model and identify efficacy variance drivers across seven randomized controlled trials. Results Multilevel meta-regression demonstrated that event-free survival (EFS) benefit correlated positively with PD-L1 expression, peaking in the &gt;= 50% subgroup (adjusted HR = 0.44, 95% CI: 0.33--0.57). XGBoost-SHAP analysis revealed trial-level variance as the dominant driver of heterogeneity. Among subgroup-level clinical covariates, a non-linear U-shaped PD-L1 predictive pattern (&lt;1% and &gt;= 50%), squamous cell carcinoma (SCC) histology (HR = 0.53, 95% CI: 0.43--0.65), and smoking history emerged as primary predictors. Synthesizing these signatures into a hypothesis-generating subgroup stratification framework indicated that SCC and PD-L1-negative (&lt;1%) non-squamous cohorts benefit from continuous perioperative blockade. Conversely, exploratory analyses suggested that PD-L1-positive (&gt;= 1%) non-squamous tumors achieved maximal observed benefit from exclusively neoadjuvant regimens (HR = 0.50). Conclusions Our results suggest that for PD-L1-positive non-squamous cases, the added benefit of extended adjuvant therapy may be limited. However, given our reliance on aggregate data and trial-level imbalances, these findings remain hypothesis-generating and should not alter current clinical practice. Rather, they offer an exploratory framework to inform patient selection for future de-escalation trials.</t>
  </si>
  <si>
    <t>Shen, Fangfang; Zhu, Zheqing; Liu, Junge; Li, Feng</t>
  </si>
  <si>
    <t>Li, F (corresponding author), Shanxi Prov Canc Hosp, Taiyuan, Shanxi, Peoples R China.; Li, F (corresponding author), Chinese Acad Med Sci, Shanxi Hosp, Canc Hosp, Taiyuan, Shanxi, Peoples R China.; Li, F (corresponding author), Shanxi Med Univ, Canc Hosp, Taiyuan, Shanxi, Peoples R China.</t>
  </si>
  <si>
    <t>vitaslee2026@hotmail.com</t>
  </si>
  <si>
    <t>Shanxi Key Laboratory of Tumor Organoids [202504010931054]</t>
  </si>
  <si>
    <t>Shanxi Key Laboratory of Tumor Organoids</t>
  </si>
  <si>
    <t>This work was supported by the Shanxi Key Laboratory of Tumor Organoids (grant no. 202504010931054). The funders had no role in study design, data collection and analysis, decision to publish, or preparation of the manuscript.</t>
  </si>
  <si>
    <t>[Shen, Fangfang; Liu, Junge; Li, Feng] Shanxi Prov Canc Hosp, Taiyuan, Shanxi, Peoples R China; [Shen, Fangfang; Liu, Junge; Li, Feng] Chinese Acad Med Sci, Shanxi Hosp, Canc Hosp, Taiyuan, Shanxi, Peoples R China; [Shen, Fangfang; Liu, Junge; Li, Feng] Shanxi Med Univ, Canc Hosp, Taiyuan, Shanxi, Peoples R China; [Zhu, Zheqing] Shanxi Univ, Inst Big Data Sci &amp; Ind, Taiyuan, Shanxi, Peoples R China; [Zhu, Zheqing] Key Lab Evolutionary Sci Intelligence Shanxi Prov, Taiyuan, Shanxi, Peoples R China</t>
  </si>
  <si>
    <t>Shanxi Medical University; Chinese Academy of Medical Sciences - Peking Union Medical College; Shanxi Medical University; Shanxi University</t>
  </si>
  <si>
    <t>Explainable AI reveals squamous histology and U-shaped PD-L1 patterns as primary subgroup predictors of neoadjuvant and perioperative immunotherapy benefit in NSCLC: a machine learning analysis</t>
  </si>
  <si>
    <t>CANCER IMMUNOLOGY IMMUNOTHERAPY</t>
  </si>
  <si>
    <t>Non-small cell lung cancer; Neoadjuvant immunotherapy; Explainable artificial intelligence; PD-L1; Meta-regression; Treatment de-escalation</t>
  </si>
  <si>
    <t>CELL LUNG-CANCER; PLUS CHEMOTHERAPY; METAANALYSIS</t>
  </si>
  <si>
    <t>0340-7004</t>
  </si>
  <si>
    <t>1432-0851</t>
  </si>
  <si>
    <t>CANCER IMMUNOL IMMUN</t>
  </si>
  <si>
    <t>Cancer Immunol. Immunother.</t>
  </si>
  <si>
    <t>10.1007/s00262-026-04450-8</t>
  </si>
  <si>
    <t>http://dx.doi.org/10.1007/s00262-026-04450-8</t>
  </si>
  <si>
    <t>Oncology; Immunology</t>
  </si>
  <si>
    <t>MP3HH</t>
  </si>
  <si>
    <t>42249154</t>
  </si>
  <si>
    <t>WOS:001847669600001</t>
  </si>
  <si>
    <t>García-Gutiérrez, F; Hernández-Lorenzo, L; Cabrera-Martín, MN; Matias-Guiu, JA; Ayala, JL</t>
  </si>
  <si>
    <t>Background: The prediction of Alzheimer's disease (AD) progression from its early stages is a research priority. In this context, the use of Artificial Intelligence (AI) in AD has experienced a notable surge in recent years. However, existing investigations predominantly concentrate on distinguishing clinical phenotypes through cross-sectional approaches. This study aims to investigate the potential of modeling additional dimensions of the disease, such as variations in brain metabolism assessed via [ 18 F]-fluorodeoxyglucose positron emission tomography (FDG-PET), and utilize this information to identify patients with mild cognitive impairment (MCI) who will progress to dementia (pMCI). Methods: We analyzed data from 1,617 participants from the Alzheimer's Disease Neuroimaging Initiative (ADNI) who had undergone at least one FDG-PET scan. We identified the brain regions with the most significant hypometabolism in AD and used Deep Learning (DL) models to predict future changes in brain metabolism. The best-performing model was then adapted under a multi-task learning framework to identify pMCI individuals. Finally, this model underwent further analysis using eXplainable AI (XAI) techniques. Results: Our results confirm a strong association between hypometabolism, disease progression, and cognitive decline. Furthermore, we demonstrated that integrating data on changes in brain metabolism during training enhanced the models' ability to detect pMCI individuals (sensitivity=88.4%, specificity=86.9%). Lastly, the application of XAI techniques enabled us to delve into the brain regions with the most significant impact on model predictions, highlighting the importance of the hippocampus, cingulate cortex, and some subcortical structures. Conclusion: This study introduces a novel dimension to predictive modeling in AD, emphasizing the importance of projecting variations in brain metabolism under a multi-task learning paradigm.</t>
  </si>
  <si>
    <t>Garcia-Gutierrez, Fernando; Hernandez-Lorenzo, Laura; Cabrera-Martin, Maria Nieves; Matias-Guiu, Jordi A.; Ayala, Jose L.</t>
  </si>
  <si>
    <t>Matias-Guiu, JA (corresponding author), Hosp Clin San Carlos, Inst Invest Sanitaria San Carlos IdISSC, Dept Neurol, Madrid, Spain.</t>
  </si>
  <si>
    <t>jayala@ucm.es; marcab06@ucm.es; jordi.matias-guiu@salud.madrid.org; laurah11@ucm.es; fegarc05@ucm.es</t>
  </si>
  <si>
    <t>Instituto de Salud Carlos III, Spain [INT20/00079, INT23/00017]; European Regional Development Fund "A way to make Europe"</t>
  </si>
  <si>
    <t>Instituto de Salud Carlos III, Spain (Instituto de Salud Carlos III); European Regional Development Fund "A way to make Europe"</t>
  </si>
  <si>
    <t>Jordi A Matias-Guiu is supported by Instituto de Salud Carlos III, Spain through the project INT20/00079 and INT23/00017 (co-funded by European Regional Development Fund "A way to make Europe")</t>
  </si>
  <si>
    <t>[Garcia-Gutierrez, Fernando; Hernandez-Lorenzo, Laura; Ayala, Jose L.] Univ Complutense, Dept Comp Architecture &amp; Automat, Madrid, Spain; [Cabrera-Martin, Maria Nieves] Hosp Clin San Carlos, Inst Invest Sanitaria San Carlos IdISSC, Dept Nucl Med, Madrid, Spain; [Matias-Guiu, Jordi A.] Hosp Clin San Carlos, Inst Invest Sanitaria San Carlos IdISSC, Dept Neurol, Madrid, Spain</t>
  </si>
  <si>
    <t>Complutense University of Madrid; Hospital Clinico San Carlos; Hospital Clinico San Carlos</t>
  </si>
  <si>
    <t>Alzheimers Dis Neuroimaging Initiative</t>
  </si>
  <si>
    <t>Predicting changes in brain metabolism and progression from mild cognitive impairment to dementia using multitask Deep Learning models and explainable AI</t>
  </si>
  <si>
    <t>NEUROIMAGE</t>
  </si>
  <si>
    <t>Neurodegenerative diseases; Alzheimer disease; Neuroimaging; Positron-emission tomography; Artificial intelligence; Machine learning; Deep learning; Automated pattern recognition</t>
  </si>
  <si>
    <t>ALZHEIMERS-DISEASE; DECLINE; CONNECTIVITY; CORTEX; PET</t>
  </si>
  <si>
    <t>Cabrera Martin, Maria Nieves/POY-8636-2026; Matias-Guiu, Jordi A/F-6941-2018</t>
  </si>
  <si>
    <t>Ayala, Jose L/0000-0001-7236-5330; Matias-Guiu, Jordi A/0000-0001-5520-2708; García-Gutiérrez, Fernando/0000-0002-1750-8607</t>
  </si>
  <si>
    <t>1053-8119</t>
  </si>
  <si>
    <t>1095-9572</t>
  </si>
  <si>
    <t>Neuroimage</t>
  </si>
  <si>
    <t>AUG 15 2024</t>
  </si>
  <si>
    <t>297</t>
  </si>
  <si>
    <t>120695</t>
  </si>
  <si>
    <t>10.1016/j.neuroimage.2024.120695</t>
  </si>
  <si>
    <t>http://dx.doi.org/10.1016/j.neuroimage.2024.120695</t>
  </si>
  <si>
    <t>Neurosciences; Neuroimaging; Radiology, Nuclear Medicine &amp; Medical Imaging</t>
  </si>
  <si>
    <t>Neurosciences &amp; Neurology; Radiology, Nuclear Medicine &amp; Medical Imaging</t>
  </si>
  <si>
    <t>XY6J0</t>
  </si>
  <si>
    <t>38942101</t>
  </si>
  <si>
    <t>WOS:001265276700001</t>
  </si>
  <si>
    <t>Mohammed, TJ; Xinying, C; Albahri, AS; Alnoor, A; Wah, KK</t>
  </si>
  <si>
    <t>This study introduces a novel explainable orthopaedic disease detection framework that is robust to both white-box and black-box adversarial attack examples based on hybrid fuzzy Multi-Criteria Decision-Making (MCDM). It addresses the lack of a resilient framework against adversarial attacks with complex evaluation matrices and the absence of a reliable method for selecting optimal orthopedic disease detection models using four-phase methodology. The dataset was augmented with edge-based techniques, improving generalizability and adversarial robustness. A comprehensive evaluation of nine Machine Learning (ML) models was conducted under Fast Gradient Sign Method (FGSM), Basic Iterative Method (BIM), Label Poisoning Method (LPM), and Model Extraction Method (MEM) adversarial attacks to increase the robustness of the developed models. The selection of the most robust developed model is established via a novel decision matrix framework and the optimized Weight Fuzzy Judgment Method (WFJM) and Z-Score Multi-Attribute-Based Aggregation (Z-MABAC) method. According to the WFJM, the fooling rate and prevalence obtained the highest average importance weights of 0.090 and 0.094, respectively, across the four attack scenarios. In contrast, specificity, precision, and Cohen's kappa received the lowest weights, with values of 0.057, 0.058, and 0.069, respectively. The benchmarking results revealed the following top-performing models across adversarial scenarios: the LPM-Decision Tree, BIM-Support Vector Machin, FGSM-Gradient Boosting, and MEM-Random Forest with scores of 0.122, 0.180, 0.122 and 0.170, respectively. The proposed framework validated through sensitivity-correlation analysis and explainability analysis via Local Interpretable Model-agnostic Explanations (LIME). The results underscore the importance of adversarial robustness in AI-based orthopaedic detection systems, contributing to the broader field of secure and ethical AI adoption in healthcare.</t>
  </si>
  <si>
    <t>Mohammed, Thura J.; Xinying, Chew; Albahri, A. S.; Alnoor, Alhamzah; Khai Wah, Khaw</t>
  </si>
  <si>
    <t>Xinying, C (corresponding author), Univ Sains Malaysia, Sch Comp Sci, George Town 11800, Pulau Pinang, Malaysia.</t>
  </si>
  <si>
    <t>xinying@usm.my</t>
  </si>
  <si>
    <t>Universiti Sains Malaysia (USM), Short-Term Grant [R501-LR-RND002-0006315616-0000, 304/PKOMP/6315616]</t>
  </si>
  <si>
    <t>Universiti Sains Malaysia (USM), Short-Term Grant (Universiti Sains Malaysia)</t>
  </si>
  <si>
    <t>This work was supported by the Universiti Sains Malaysia (USM), Short-Term Grant (Account Number: R501-LR-RND002-0006315616-0000), for the Project entitled "New Coefficient of Variation Control Charts based on Variable Charting Statistics in Industry 4.0 for the Quality Smart Manufacturing and Services"under Grant 304/PKOMP/6315616.</t>
  </si>
  <si>
    <t>[Mohammed, Thura J.; Xinying, Chew] Univ Sains Malaysia, Sch Comp Sci, George Town 11800, Pulau Pinang, Malaysia; [Albahri, A. S.] Imam Jaafar Al Sadiq Univ, Tech Coll, Baghdad 10001, Iraq; [Albahri, A. S.] Univ Informat Technol &amp; Commun UOITC, Baghdad 10001, Iraq; [Alnoor, Alhamzah] ASharqiyah Univ ASU, Coll Business Adm COBA, Management Dept, Ibra 400, Oman; [Khai Wah, Khaw] Univ Sains Malaysia, Sch Management, George Town 11800, Pulau Pinang, Malaysia</t>
  </si>
  <si>
    <t>Universiti Sains Malaysia; Imam Jaa'far al-Sadiq University; University of Information Technology &amp; Communication; Universiti Sains Malaysia</t>
  </si>
  <si>
    <t>A Novel Trusted Framework for Orthopedic Disease Detection With Reliability Against Adversarial Attacks</t>
  </si>
  <si>
    <t>Artificial intelligence; Accuracy; Robustness; Diseases; Decision making; Benchmark testing; Perturbation methods; Measurement; Glass box; Closed box; Adversarial machine learning; multi-criteria decision-making (MCDM); orthopaedic disease detection; robustness evaluation; trustworthy artificial intelligence</t>
  </si>
  <si>
    <t>SELECTION; MODEL</t>
  </si>
  <si>
    <t>J. Mohammed, Thura/LQJ-1906-2024; CHEW, XINYING/B-7391-2018; Albahri, Ahmed/E-7428-2018; KHAW, KHAI WAH/T-1931-2018; Al Sayed Noor, Alhamzah Malik/R-2878-2018</t>
  </si>
  <si>
    <t>J. Mohammed, Thura/0009-0001-5763-2899; CHEW, XINYING/0000-0001-5539-1959; Albahri, Ahmed/0000-0003-3335-457X; KHAW, KHAI WAH/0000-0003-2646-6477; Al Sayed Noor, Alhamzah Malik/0000-0003-2873-2054</t>
  </si>
  <si>
    <t>160193</t>
  </si>
  <si>
    <t>160220</t>
  </si>
  <si>
    <t>10.1109/ACCESS.2025.3609330</t>
  </si>
  <si>
    <t>http://dx.doi.org/10.1109/ACCESS.2025.3609330</t>
  </si>
  <si>
    <t>WOS:001575778800007</t>
  </si>
  <si>
    <t>Yi, XY; Huang, J; Akinwunmi, B; Ming, WK</t>
  </si>
  <si>
    <t>Autism Spectrum Disorder (ASD) and Attention Deficit and Hyperactivity Disorder (ADHD) are two psychiatric disorders frequently encountered in children. ADHD is further categorized into three subtypes. The diagnostic processes for these conditions are complex and often prone to misclassification. We proposed a lightweight deep neural network, ADBrainNet, to differentiate ASD, ADHD combined, ADHD hyperactive/impulsive, ADHD inattentive and neurotypical individuals. Our methodology was benchmarked against prevalent ImageNet transfer learning methods, including AlexNet, MobileNet, ResNet18, and Xception, for training on resting-state fMRI images sourced from ABIDE and ADHD-200 datasets. ADBrainNet achieved superior performance on the independent external testing set through five-fold cross-validation, with a mean (+/- standard deviation) accuracy, precision, recall, and F1 score of 61.87% (+/- 5.59%), 65.72% (+/- 6.98%), 61.87% (+/- 5.59%), and 62.50% (+/- 5.78%), respectively. Furthermore, the explainable artificial intelligence algorithm LIME was employed to explore the most significant features during ADBrainNet's decision process. Our model provides an interpretable computational framework for neuroimaging-based classification between ASD and ADHD subtypes. This approach may inform future research and, upon further validation and comparison with clinician performance, could potentially aid in patient assessment, stratification, and management of psychiatric disorders.</t>
  </si>
  <si>
    <t>Yi, Xinyao; Huang, Jian; Akinwunmi, Babatunde; Ming, Wai-Kit</t>
  </si>
  <si>
    <t>Ming, WK (corresponding author), City Univ Hong Kong, Jockey Club Coll Vet Med &amp; Life Sci, Dept Infect Dis &amp; Publ Hlth, Hong Kong, Peoples R China.; Ming, WK (corresponding author), City Univ Hong Kong, Inst Global Governance &amp; Innovat Shared Future, Hong Kong, Peoples R China.; Ming, WK (corresponding author), City Univ Hong Kong, Shenzhen Res Inst, Shenzhen, Peoples R China.</t>
  </si>
  <si>
    <t>wkming2@cityu.edu.hk</t>
  </si>
  <si>
    <t>SIRG - CityU Strategic Interdisciplinary Research Grant [No.7020093]</t>
  </si>
  <si>
    <t>SIRG - CityU Strategic Interdisciplinary Research Grant</t>
  </si>
  <si>
    <t>This research was partially supported by the Joint Fund of YiFang Pharmaceutical and Provincial Enterprises in 2022 (R-BTC8501) (Project No. 2022A1515220174).</t>
  </si>
  <si>
    <t>[Yi, Xinyao; Ming, Wai-Kit] City Univ Hong Kong, Jockey Club Coll Vet Med &amp; Life Sci, Dept Infect Dis &amp; Publ Hlth, Hong Kong, Peoples R China; [Huang, Jian] ASTAR, Inst Human Dev &amp; Potential IHDP, Singapore, Singapore; [Huang, Jian] ASTAR, Bioinformat Inst BII, Singapore, Singapore; [Huang, Jian] Natl Univ Singapore, Yong Loo Lin Sch Med, Human Potential Translat Res Programme, Singapore, Singapore; [Akinwunmi, Babatunde] Queens Hosp Ctr, Dept Obstet &amp; Gynecol, Jamaica, NY USA; [Ming, Wai-Kit] City Univ Hong Kong, Inst Global Governance &amp; Innovat Shared Future, Hong Kong, Peoples R China; [Ming, Wai-Kit] City Univ Hong Kong, Shenzhen Res Inst, Shenzhen, Peoples R China</t>
  </si>
  <si>
    <t>City University of Hong Kong; Agency for Science Technology &amp; Research (A*STAR); Agency for Science Technology &amp; Research (A*STAR); A*STAR - Bioinformatics Institute (BII); National University of Singapore; City University of Hong Kong; City University of Hong Kong; Shenzhen Research Institute, City University of Hong Kong</t>
  </si>
  <si>
    <t>ADBrainNet: a deep neural network for Autism Spectrum Disorder (ASD) and Attention Deficit and Hyperactivity Disorder (ADHD) classification using resting-state fMRI images based on explainable artificial intelligence</t>
  </si>
  <si>
    <t>Deep neural network; Resting-state fMRI; ASD; ADHD; Explainable artificial intelligence</t>
  </si>
  <si>
    <t>Ming, Wai-kit/AAH-5989-2019</t>
  </si>
  <si>
    <t>Ming, Wai-kit/0000-0002-8846-7515; YI, Xinyao/0000-0002-1587-7556</t>
  </si>
  <si>
    <t>1609</t>
  </si>
  <si>
    <t>1622</t>
  </si>
  <si>
    <t>10.1007/s11517-026-03530-2</t>
  </si>
  <si>
    <t>http://dx.doi.org/10.1007/s11517-026-03530-2</t>
  </si>
  <si>
    <t>HH3AZ</t>
  </si>
  <si>
    <t>41781648</t>
  </si>
  <si>
    <t>WOS:001705978400001</t>
  </si>
  <si>
    <t>McCarthy, A; Eltemsah, L; Cui, ALS; Diamond, ME; Golebka, J; Thakoor, KA; Glass, LRD</t>
  </si>
  <si>
    <t>Background/Aims Patients have largely been excluded from discussions on the use of their health data in developing medical artificial intelligence (AI), despite being directly affected by its integration into care. This study assessed ophthalmology patients' perspectives on AI to inform patient-aligned development and implementation.Methods We conducted a cross-sectional survey across ophthalmology clinics in a large academic hospital system in New York City. Consecutive patients were approached in waiting rooms by a research coordinator to maximise sociodemographic diversity and minimise bias from digital literacy or access. The survey, developed by experts in AI, ethics, ophthalmology and survey methodology, was administered via paper and Qualtrics. It addressed attitudes towards AI in clinical scenarios, willingness to share various types of personal data for AI model development and understanding of AI in ophthalmology.Results Among 403 respondents, 67% reported a low or no understanding of AI, and 71% expressed interest in learning more. Patients prioritised physician involvement and transparency. Comfort decreased with task complexity: highest for screening, lower for diagnosis and lowest for treatment/surgery. For model development, patients were more comfortable sharing de-identified optical coherence technology or lab data than facial images or genetic data. 90% felt consent was always necessary when using personal data to train AI models.Conclusions These findings highlight the need for patient education and robust data consent protocols. Implementing an opt-out system for retrospective data use may enhance trust while supporting innovation. Integrating patient perspectives into AI governance can foster trust and transparency in ophthalmology and beyond.</t>
  </si>
  <si>
    <t>McCarthy, Angela; Eltemsah, Loaah; Cui, Allison; Diamond, Meredith E.; Golebka, Jedrzej; Thakoor, Kaveri A.; Dagi Glass, Lora R.</t>
  </si>
  <si>
    <t>McCarthy, A (corresponding author), Univ Connecticut, Sch Med, Storrs, CT 06269 USA.; McCarthy, A (corresponding author), Columbia Univ Irving Med Ctr, Dept Ophthalmol, New York, NY 10032 USA.</t>
  </si>
  <si>
    <t>amccarthy@uchc.edu; le2417@columbia.edu; jg4713@cumc.columbia.edu; med2250@cumc.columbia.edu; kat2193@columbia.edu; ld2514@cumc.columbia.edu; ac5187@columbia.edu</t>
  </si>
  <si>
    <t>Columbia University Department of Ophthalmology from Research to Prevent Blindness, Inc., New York, New York, USA</t>
  </si>
  <si>
    <t>Supported in part by an unrestricted grant to the Columbia University Department of Ophthalmology from Research to Prevent Blindness, New York, New York, USA. The sponsor or funding organisation had no role in the design or conduct of this research.</t>
  </si>
  <si>
    <t>[McCarthy, Angela] Univ Connecticut, Sch Med, Storrs, CT 06269 USA; [McCarthy, Angela; Eltemsah, Loaah; Cui, Allison; Golebka, Jedrzej; Thakoor, Kaveri A.; Dagi Glass, Lora R.] Columbia Univ Irving Med Ctr, Dept Ophthalmol, New York, NY 10032 USA; [Diamond, Meredith E.] Columbia Univ Irving Med Ctr, Ctr Behav Cardiovasc Hlth, New York, NY USA; [Thakoor, Kaveri A.] Columbia Univ, Data Sci Inst, New York, NY USA</t>
  </si>
  <si>
    <t>University of Connecticut; Cornell University; Weill Cornell Medicine; NewYork-Presbyterian Hospital; Cornell University; Weill Cornell Medicine; NewYork-Presbyterian Hospital; Columbia University</t>
  </si>
  <si>
    <t>Patient perceptions of artificial intelligence in ophthalmology: a cross-sectional survey study</t>
  </si>
  <si>
    <t>BRITISH JOURNAL OF OPHTHALMOLOGY</t>
  </si>
  <si>
    <t>Surveys and Questionnaires; Diagnostic tests/Investigation; Smartphone</t>
  </si>
  <si>
    <t>Golebka, Jedrzej/0009-0003-2375-5465</t>
  </si>
  <si>
    <t>0007-1161</t>
  </si>
  <si>
    <t>1468-2079</t>
  </si>
  <si>
    <t>BRIT J OPHTHALMOL</t>
  </si>
  <si>
    <t>Br. J. Ophthalmol.</t>
  </si>
  <si>
    <t>10.1136/bjo-2025-328498</t>
  </si>
  <si>
    <t>http://dx.doi.org/10.1136/bjo-2025-328498</t>
  </si>
  <si>
    <t>EK0GR</t>
  </si>
  <si>
    <t>41748311</t>
  </si>
  <si>
    <t>WOS:001702915200001</t>
  </si>
  <si>
    <t>Reena, KJ; Bremnavas, I; Khatter, H; Padmapriya, MR; Vijayan, VP; Kumar, N</t>
  </si>
  <si>
    <t>Additive manufacturing (AM) of metals is increasingly used to produce high-performance components for aerospace, medical, and energy applications. However, laser-powder bed fusion (L-PBF) can generate process-induced defects such as lack of fusion, keyhole porosity, micro-cracks, and surface balling, which may reduce fatigue life and structural integrity. Ultrasound testing (UT) and eddy current testing (ECT) offer promising non-destructive testing solutions, but many machine-learning classifiers remain opaque and provide limited physical traceability for certification-critical applications. This paper presents a Multi-Modal Concept Bottleneck Model (MM-CBM) for interpretable AM defect diagnosis using fused UT and ECT signals. The proposed framework performs two-stage inference: first, a physics-aware concept layer predicts interpretable attributes, including backwall attenuation, phase deviation, time-of-flight shift, signal scattering, and defect depth; second, a linear classifier assigns the final defect class using only these concepts. Experiments on 12,000 synchronized UT-ECT signal pairs from Inconel 718 L-PBF specimens show that MM-CBM achieves 93.5% accuracy and an AUC of 0.978 while providing auditable, concept-level explanations for each diagnosis.</t>
  </si>
  <si>
    <t>Jose Reena, K.; Bremnavas, I.; Khatter, Harsh; Padmapriya, M. R.; Vijayan, Vinodh P.; Kumar, Naresh</t>
  </si>
  <si>
    <t>Reena, KJ (corresponding author), BS Abdur Rahman Crescent Inst Sci &amp; Technol, Dept Comp Applicat, Chennai, India.</t>
  </si>
  <si>
    <t>josereena@crescent.education</t>
  </si>
  <si>
    <t>[Jose Reena, K.] BS Abdur Rahman Crescent Inst Sci &amp; Technol, Dept Comp Applicat, Chennai, India; [Bremnavas, I.] JAIN Deemed Univ, Fac Appl Comp, Dept Comp Sci &amp; IT, Bangalore, India; [Khatter, Harsh] Krishna Inst Engn &amp; Technol KIET, Dept CSIT, Ghaziabad, Delhi, India; [Padmapriya, M. R.] Dayananda Sagar Coll Engn, Dept CSE DS, Bangalore, India; [Vijayan, Vinodh P.] Mangalam Coll Engn, Dept Comp Sci &amp; Engn, Ettumanoor, Kerala, India; [Kumar, Naresh] Maharaja Surajmal Inst Technol, Dept Comp Sci &amp; Engn, New Delhi, India</t>
  </si>
  <si>
    <t>B. S. Abdur Rahman Crescent Institute of Science &amp; Technology; Jain University; Dayananda Sagar College of Engineering; Maharaja Surajmal Institute of Technology</t>
  </si>
  <si>
    <t>Explainable AI for non-destructive testing in additive manufacturing: concept bottleneck models linking ultrasound and eddy current signatures to interpretable defect mechanisms</t>
  </si>
  <si>
    <t>Concept bottleneck models; explainable AI; Non-Destructive Testing; additive manufacturing; interpretability; physical traceability</t>
  </si>
  <si>
    <t>/AAP-9365-2021; Vijayan, Vinodh/HGE-7099-2022; I, Bremnavas/M-4969-2016; M R, Padmapriya/QQX-6565-2026</t>
  </si>
  <si>
    <t>M R, Padma Priya/0009-0002-0904-343X</t>
  </si>
  <si>
    <t>10.1080/10589759.2026.2691296</t>
  </si>
  <si>
    <t>http://dx.doi.org/10.1080/10589759.2026.2691296</t>
  </si>
  <si>
    <t>KL1GO</t>
  </si>
  <si>
    <t>WOS:001809535700001</t>
  </si>
  <si>
    <t>Bhattarai, P; Thakuri, DS; Nie, YZ; Chand, GB</t>
  </si>
  <si>
    <t>Background: Mild cognitive impairment (MCI)/Alzheimer's disease (AD) is associated with cognitive decline beyond normal aging and linked to the alterations of brain volume quantified by magnetic resonance imaging (MRI) and amyloid-beta (A beta) quantified by positron emission tomography (PET). Yet, the complex relationships between these regional imaging measures and cognition in MCI/AD remain unclear. Explainable artificial intelligence (AI) may uncover such relationships. Method: We integrate the AI-based deep learning neural network and Shapley additive explanations (SHAP) approaches and introduce the Deep-SHAP method to investigate the multivariate relationships between regional imaging measures and cognition. After validating this approach on simulated data, we apply it to real experimental data from MCI/AD patients. Results: Deep-SHAP significantly predicted cognition using simulated regional features and identified the groundtruth simulated regions as the most significant multivariate predictors. When applied to experimental MRI data, Deep-SHAP revealed that the insula, lateral occipital, medial frontal, temporal pole, and occipital fusiform gyrus are the primary contributors to global cognitive decline in MCI/AD. Furthermore, when applied to experimental amyloid Pittsburgh compound B (PiB)-PET data, Deep-SHAP identified the key brain regions for global cognitive decline in MCI/AD as the inferior temporal, parahippocampal, inferior frontal, supratemporal, and lateral frontal gray matter. Conclusion: Deep-SHAP method uncovered the multivariate relationships between regional brain features and cognition, offering insights into the most critical modality-specific brain regions involved in MCI/AD mechanisms.</t>
  </si>
  <si>
    <t>Bhattarai, Puskar; Thakuri, Deepa Singh; Nie, Yuzheng; Chand, Ganesh B.</t>
  </si>
  <si>
    <t>Chand, GB (corresponding author), Washington Univ, Sch Med, Mallinckrodt Inst Radiol, Dept Radiol, St Louis, MO 63130 USA.</t>
  </si>
  <si>
    <t>Mallinckrodt Institute of Radiology and Institute of Clinical and Translational Sciences funding from Washington University; National Institutes of Health [K01AG083230]</t>
  </si>
  <si>
    <t>Mallinckrodt Institute of Radiology and Institute of Clinical and Translational Sciences funding from Washington University; National Institutes of Health (United States Department of Health &amp; Human Services, National Institutes of Health (NIH) - USA)</t>
  </si>
  <si>
    <t>This work is supported by the Mallinckrodt Institute of Radiology and Institute of Clinical and Translational Sciences funding from Washington University as well as by the National Institutes of Health K01AG083230.</t>
  </si>
  <si>
    <t>[Bhattarai, Puskar; Thakuri, Deepa Singh; Nie, Yuzheng; Chand, Ganesh B.] Washington Univ, Sch Med, Mallinckrodt Inst Radiol, Dept Radiol, St Louis, MO 63130 USA; [Thakuri, Deepa Singh] Univ Missouri, Sch Med, Columbia, MO USA; [Nie, Yuzheng] Washington Univ, Sch Med, Inst Informat Data Sci &amp; Biostat, St Louis, MO 63130 USA; [Chand, Ganesh B.] Washington Univ, Sch Med, Knight Alzheimer Dis Res Ctr, Imaging Core, St Louis, MO 63130 USA; [Chand, Ganesh B.] Washington Univ, Sch Med, Inst Clin &amp; Translat Sci, St Louis, MO 63130 USA; [Chand, Ganesh B.] Washington Univ, Sch Med, NeuroGenom &amp; Informat Ctr, St Louis, MO 63130 USA</t>
  </si>
  <si>
    <t>Washington University (WUSTL); University of Missouri System; University of Missouri Columbia; Washington University (WUSTL); Washington University (WUSTL); Washington University (WUSTL); Washington University (WUSTL)</t>
  </si>
  <si>
    <t>Explainable AI-based Deep-SHAP for mapping the multivariate relationships between regional neuroimaging biomarkers and cognition</t>
  </si>
  <si>
    <t>EUROPEAN JOURNAL OF RADIOLOGY</t>
  </si>
  <si>
    <t>Mild cognitive impairment; Machine learning algorithms; Amyloid-beta; Feature importance; Deep learning; Shapley additive explanations</t>
  </si>
  <si>
    <t>ALZHEIMERS-DISEASE; SPATIAL-PATTERNS; FDG-PET; PIB-PET; ATROPHY; GYRUS</t>
  </si>
  <si>
    <t>Bhattarai, Puskar/AAR-6025-2020</t>
  </si>
  <si>
    <t>Bhattarai, Puskar/0000-0002-5613-7028; Chand, Ganesh/0000-0002-9857-5800</t>
  </si>
  <si>
    <t>0720-048X</t>
  </si>
  <si>
    <t>1872-7727</t>
  </si>
  <si>
    <t>EUR J RADIOL</t>
  </si>
  <si>
    <t>Eur. J. Radiol.</t>
  </si>
  <si>
    <t>174</t>
  </si>
  <si>
    <t>111403</t>
  </si>
  <si>
    <t>10.1016/j.ejrad.2024.111403</t>
  </si>
  <si>
    <t>http://dx.doi.org/10.1016/j.ejrad.2024.111403</t>
  </si>
  <si>
    <t>QA8F3</t>
  </si>
  <si>
    <t>38452732</t>
  </si>
  <si>
    <t>WOS:001218243900001</t>
  </si>
  <si>
    <t>Xiao, P; Zhong, Q; Chen, JX; Wu, DY; Qin, Z; Zhou, ER</t>
  </si>
  <si>
    <t>In the intelligent medical diagnosis area, Artificial Intelligence (AI)'s trustworthiness, reliability, and interpretability are critical, especially in cancer diagnosis. Traditional neural networks, while excellent at processing natural images, often lack interpretability and adaptability when processing high-resolution digital pathological images. This limitation is particularly evident in pathological diagnosis, which is the gold standard of cancer diagnosis and relies on a pathologist's careful examination and analysis of digital pathological slides to identify the features and progression of the disease. Therefore, the integration of interpretable AI into smart medical diagnosis is not only an inevitable technological trend but also a key to improving diagnostic accuracy and reliability. In this paper, we introduce an innovative Multi-Scale Multi-Branch Feature Encoder (MSBE) and present the design of the CrossLinkNet Framework. The MSBE enhances the network's capability for feature extraction by allowing the adjustment of hyperparameters to configure the number of branches and modules. The CrossLinkNet Framework, serving as a versatile image segmentation network architecture, employs cross-layer encoder-decoder connections for multi-level feature fusion, thereby enhancing feature integration and segmentation accuracy. Comprehensive quantitative and qualitative experiments on two datasets demonstrate that CrossLinkNet, equipped with the MSBE encoder, not only achieves accurate segmentation results but is also adaptable to various tumor segmentation tasks and scenarios by replacing different feature encoders. Crucially, CrossLinkNet emphasizes the interpretability of the AI model, a crucial aspect for medical professionals, providing an in-depth understanding of the model's decisions and thereby enhancing trust and reliability in AI-assisted diagnostics.</t>
  </si>
  <si>
    <t>Xiao, Peng; Zhong, Qi; Chen, Jingxue; Wu, Dongyuan; Qin, Zhen; Zhou, Erqiang</t>
  </si>
  <si>
    <t>Zhou, ER (corresponding author), Univ Elect Sci &amp; Technol China, Network &amp; Data Secur Key Lab Sichuan Prov, Chengdu 610054, Peoples R China.</t>
  </si>
  <si>
    <t>zhoueq@uestc.edu.cn</t>
  </si>
  <si>
    <t>National Natural Science Foundation of China [62372083, 62072074, 62076054, 62027827, 62002047]; Sichuan Provincial Science and Technology Innovation Platform and Talent Program [2022JDJQ0039]; Sichuan Provincial Science and Technology Support Program [2022YFQ0045, 2022YFS0220, 2021YFG0131, 2023YFS0020, 2023YFS0197, 2023YFG0148]; CCF-Baidu Open Fund [202312]</t>
  </si>
  <si>
    <t>National Natural Science Foundation of China (National Natural Science Foundation of China (NSFC)); Sichuan Provincial Science and Technology Innovation Platform and Talent Program; Sichuan Provincial Science and Technology Support Program; CCF-Baidu Open Fund</t>
  </si>
  <si>
    <t>This work was supported by the National Natural Science Foundation of China (Grant Numbers: 62372083, 62072074, 62076054, 62027827, 62002047) ; the Sichuan Provincial Science and Technology Innovation Platform and Talent Program (Grant Number: 2022JDJQ0039) ; the Sichuan Provincial Science and Technology Support Program (Grant Numbers: 2022YFQ0045, 2022YFS0220, 2021YFG0131, 2023YFS0020, 2023YFS0197, 2023YFG0148) ; and the CCF-Baidu Open Fund (Grant Number: 202312) .</t>
  </si>
  <si>
    <t>[Xiao, Peng; Chen, Jingxue; Wu, Dongyuan; Qin, Zhen; Zhou, Erqiang] Univ Elect Sci &amp; Technol China, Network &amp; Data Secur Key Lab Sichuan Prov, Chengdu 610054, Peoples R China; [Zhong, Qi] City Univ Macau, Fac Data Sci, Macau 999078, Peoples R China</t>
  </si>
  <si>
    <t>University of Electronic Science &amp; Technology of China; City University of Macau</t>
  </si>
  <si>
    <t>CrossLinkNet: An Explainable and Trustworthy AI Framework for Whole-Slide Images Segmentation</t>
  </si>
  <si>
    <t>Explainable AI; security; trustworthy; CrossLinkNet; whole slide images</t>
  </si>
  <si>
    <t>Xiao, Peng/AFS-8201-2022; Chen, Jingxue/IXX-2866-2023; Zhong, Qi/OGR-3274-2025; Wu, Dongyuan/IYK-0106-2023</t>
  </si>
  <si>
    <t>Xiao, Peng/0000-0002-8717-8375; Zhong, Qi/0000-0002-3736-7135</t>
  </si>
  <si>
    <t>4703</t>
  </si>
  <si>
    <t>4724</t>
  </si>
  <si>
    <t>10.32604/cmc.2024.049791</t>
  </si>
  <si>
    <t>http://dx.doi.org/10.32604/cmc.2024.049791</t>
  </si>
  <si>
    <t>YK6F6</t>
  </si>
  <si>
    <t>WOS:001268414500008</t>
  </si>
  <si>
    <t>Mondal, P; Bhurwani, MMS; Nagesh, SVS; Lai, PMR; Davies, JM; Levy, EI; Vakharia, K; Levitt, M; Siddiqui, AH; Ionita, CN</t>
  </si>
  <si>
    <t>Background Bias from contrast injection variability is a significant obstacle to accurate intracranial aneurysm (IA) occlusion prediction using quantitative angiography (QA) and deep neural networks (DNNs). This study explores bias removal and explainable AI (XAI) for outcome prediction.Objective To implement an injection bias removal algorithm for reducing QA variability and examine the impact of XAI on the reliability and interpretability of deep learning models for occlusion prediction in flow diverter-treated aneurysms.Methods This study used angiograms from 458 patients with flow diverter-treated IAs, with 6-month follow-up defining occlusion status. We minimized injection variability by deconvolving the parent artery input to isolate the aneurysm's impulse response, then reconvolving it with a standardized injection curve. A DNN trained on these QA-derived biomarkers predicted 6-month occlusion. Local Interpretable Model-Agnostic Explanations (LIME) identified the key imaging features influencing the model, ensuring transparency and clinical relevance.Results The DNN trained with uncorrected QA parameters achieved a mean area under the receiver operating characteristic curve (AUROC) of 0.60 +/- 0.05 and an accuracy of 0.58 +/- 0.03. After correcting for injection bias by deconvolving the parent artery input and reconvolving it with a standardized injection curve, the DNN's AUCROC increased to 0.79 +/- 0.02 and accuracy to 0.73 +/- 0.01. Sensitivity and specificity were 67.61 +/- 1.93% and 76.19 +/- 1.12%, respectively. LIME plots were added for each prediction to enhance interpretability.Conclusions Standardizing QA parameters via injection bias correction improves occlusion prediction accuracy for flow diverter-treated IAs. Adding explainable AI (eg, LIME) clarifies model decisions, demonstrating the feasibility of clinically interpretable AI-based outcome prediction.</t>
  </si>
  <si>
    <t>Mondal, Parmita; Shiraz Bhurwani, Mohammad Mahdi; Setlur Nagesh, Swetadri Vasan; Lai, Pui Man Rosalind; Davies, Jason M.; Levy, Elad, I; Vakharia, Kunal; Levitt, Michael; Siddiqui, Adnan H.; Ionita, Ciprian N.</t>
  </si>
  <si>
    <t>Ionita, CN (corresponding author), Univ Buffalo, Biomed Dept, Buffalo, NY 14260 USA.; Ionita, CN (corresponding author), Univ Buffalo, Canon Stroke &amp; Vasc Res Ctr, Buffalo, NY 14260 USA.; Ionita, CN (corresponding author), QAS AI Inc, Buffalo, NY 14203 USA.</t>
  </si>
  <si>
    <t>cnionita@buffalo.edu</t>
  </si>
  <si>
    <t>NSF SBIR Award [2304388]; University at Buffalo Catalyzer [2304388]</t>
  </si>
  <si>
    <t>NSF SBIR Award (National Science Foundation (NSF), NSF - Directorate for Engineering (ENG)); University at Buffalo Catalyzer</t>
  </si>
  <si>
    <t>This work was supported by NSF SBIR Award #2304388 and University at Buffalo Catalyzer. The funders had no involvement in the study design; in the collection, analysis, and interpretation of the data; in the writing of the report; or in the decision to submit the paper for publication.</t>
  </si>
  <si>
    <t>[Mondal, Parmita; Ionita, Ciprian N.] Univ Buffalo, Biomed Dept, Buffalo, NY 14260 USA; [Mondal, Parmita; Setlur Nagesh, Swetadri Vasan; Davies, Jason M.; Siddiqui, Adnan H.; Ionita, Ciprian N.] Univ Buffalo, Canon Stroke &amp; Vasc Res Ctr, Buffalo, NY 14260 USA; [Shiraz Bhurwani, Mohammad Mahdi; Davies, Jason M.; Ionita, Ciprian N.] QAS AI Inc, Buffalo, NY 14203 USA; [Lai, Pui Man Rosalind; Davies, Jason M.; Levy, Elad, I; Siddiqui, Adnan H.] Univ Buffalo, Neurosurg, Buffalo, NY USA; [Vakharia, Kunal] Univ S Florida, Coll Med, Neurosurg &amp; Brain Repair, Tampa, FL USA; [Levitt, Michael] Univ Washington, Sch Med, Neurol Surg, Seattle, WA USA</t>
  </si>
  <si>
    <t>State University of New York (SUNY) System; University at Buffalo, SUNY; State University of New York (SUNY) System; University at Albany, SUNY; University at Buffalo, SUNY; State University of New York (SUNY) System; University at Buffalo, SUNY; State University System of Florida; University of South Florida; University of Washington; University of Washington Seattle</t>
  </si>
  <si>
    <t>Minimizing human-induced variability in quantitative angiography for a robust and explainable AI-based occlusion prediction in flow diverter-treated aneurysms</t>
  </si>
  <si>
    <t>JOURNAL OF NEUROINTERVENTIONAL SURGERY</t>
  </si>
  <si>
    <t>Occlusion; Intracranial Aneurysm; Injection Bias Correction; Quantitative Angiography</t>
  </si>
  <si>
    <t>DIGITAL-SUBTRACTION-ANGIOGRAPHY; INTRACRANIAL ANEURYSMS; LONG-TERM; DIVERSION; COILING</t>
  </si>
  <si>
    <t>Ionita, Ciprian, Nicolae/B-4021-2009; Mondal, Parmita/LIG-0338-2024; Shiraz Bhurwani, Mohammad Mahdi/AAR-9551-2021; Siddiqui, Adnan H/AAG-9781-2019; Lai, Pui Man Rosalind/JWP-7669-2024</t>
  </si>
  <si>
    <t>Davies, Jason/0000-0002-5225-3072; Ionita, Ciprian, Nicolae/0000-0001-7049-0592; Mondal, Parmita/0009-0002-3134-6103; Levitt, Michael/0000-0003-3612-3347; Shiraz Bhurwani, Mohammad Mahdi/0000-0001-6226-4392; Siddiqui, Adnan H/0000-0002-9519-0059; Vakharia, Kunal/0000-0001-8222-8874; Lai, Pui Man Rosalind/0000-0002-8310-0474; Levy, Elad/0000-0002-6208-3724</t>
  </si>
  <si>
    <t>1759-8478</t>
  </si>
  <si>
    <t>1759-8486</t>
  </si>
  <si>
    <t>J NEUROINTERV SURG</t>
  </si>
  <si>
    <t>J. NeuroInterventional Surg.</t>
  </si>
  <si>
    <t>1063</t>
  </si>
  <si>
    <t>1071</t>
  </si>
  <si>
    <t>10.1136/jnis-2025-023416</t>
  </si>
  <si>
    <t>http://dx.doi.org/10.1136/jnis-2025-023416</t>
  </si>
  <si>
    <t>Neuroimaging; Surgery</t>
  </si>
  <si>
    <t>IR7TP</t>
  </si>
  <si>
    <t>40506221</t>
  </si>
  <si>
    <t>WOS:001511427200001</t>
  </si>
  <si>
    <t>Almusallam, N; Hayat, M</t>
  </si>
  <si>
    <t>The biological functions of bacteria are significantly impacted by bacteriophage virion proteins (BVPs), which are bacterial viruses. BVPs play a major role in phage therapy and genetic engineering. Secure and accurate identification of these proteins is essential for understanding phage-host interactions and for bioinformatics and medical applications. However, ensuring privacy and robustness in computational models is challenging, especially when handling complex biological data. Previous works relied on wet-lab experiments, had limited scalability, incomplete feature coverage, and low generalization ability. In this study, we introduce a privacypreserving and adversarial-robust deep learning framework. It integrates natural language processing (NLP) descriptors with transformer-guided ideal proximity matrix reconstruction to capture rich information from protein sequences. For post-hoc interpretability, we use SHapley Additive exPlanations (SHAP) and Local Interpretable Model-agnostic Explanations (LIME). These techniques increase openness and confidence in predictions. SHAP analyzes the dataset to identify the most significant proximity-based and NLP-derived descriptors at global and class levels. LIME provides instance-specific explanations, emphasizing local decision boundaries for particular predictions. The proposed model achieved 95.75 % and 90.27 % accuracy on the training and independent datasets, respectively. We calculated statistical measures, such as Chi-Square and P-value, for each dataset to demonstrate reliability. Our model improves predictive outcomes, transparency, and security. The empirical results validate its outstanding performance compared to existing models, while preserving security and explainable AI. This makes it suitable and reliable for real-world applications in proteomics and bioinformatics.</t>
  </si>
  <si>
    <t>Almusallam, Naif; Hayat, Maqsood</t>
  </si>
  <si>
    <t>Hayat, M (corresponding author), Abdul Wali Khan Univ, Dept Comp Sci, Mardan 23200, KP, Pakistan.</t>
  </si>
  <si>
    <t>m.hayat@awkum.edu.pk; nalmuslem@kfu.edu.sa</t>
  </si>
  <si>
    <t>Deanship of Scientific Research, Presidency for Graduate Studies and Scientific Research, King Faisal University, Saudi Arabia [KFU260218]</t>
  </si>
  <si>
    <t>Deanship of Scientific Research, Presidency for Graduate Studies and Scientific Research, King Faisal University, Saudi Arabia</t>
  </si>
  <si>
    <t>This work was funded by the Deanship of Scientific Research, Presidency for Graduate Studies and Scientific Research, King Faisal University, Saudi Arabia [Grant No. KFU260218] '.</t>
  </si>
  <si>
    <t>[Almusallam, Naif] King Faisal Univ, Sch Business, Dept Management Informat Syst, Al Hasa 31982, Saudi Arabia; [Hayat, Maqsood] Abdul Wali Khan Univ, Dept Comp Sci, Mardan 23200, KP, Pakistan</t>
  </si>
  <si>
    <t>King Faisal University; Abdul Wali Khan University</t>
  </si>
  <si>
    <t>Explainable AI for secure and accurate prediction of bacteriophage virion proteins using NLP descriptors and transformer-guided ideal proximity matrix reconstruction</t>
  </si>
  <si>
    <t>CHEMOMETRICS AND INTELLIGENT LABORATORY SYSTEMS</t>
  </si>
  <si>
    <t>BVPs; Sequence structure graph; Similarity matrix; Deep learning; Self-correlation convolution; NLP</t>
  </si>
  <si>
    <t>FEATURES</t>
  </si>
  <si>
    <t>Hayat, Maqsood/ABB-7275-2021; Almusallam, Naif/AAO-4008-2021</t>
  </si>
  <si>
    <t>0169-7439</t>
  </si>
  <si>
    <t>1873-3239</t>
  </si>
  <si>
    <t>CHEMOMETR INTELL LAB</t>
  </si>
  <si>
    <t>Chemometrics Intell. Lab. Syst.</t>
  </si>
  <si>
    <t>105648</t>
  </si>
  <si>
    <t>10.1016/j.chemolab.2026.105648</t>
  </si>
  <si>
    <t>http://dx.doi.org/10.1016/j.chemolab.2026.105648</t>
  </si>
  <si>
    <t>Automation &amp; Control Systems; Chemistry, Analytical; Computer Science, Artificial Intelligence; Instruments &amp; Instrumentation; Mathematics, Interdisciplinary Applications; Statistics &amp; Probability</t>
  </si>
  <si>
    <t>Automation &amp; Control Systems; Chemistry; Computer Science; Instruments &amp; Instrumentation; Mathematics</t>
  </si>
  <si>
    <t>CY6VQ</t>
  </si>
  <si>
    <t>WOS:001677565900001</t>
  </si>
  <si>
    <t>Nedbal, C; Gauhar, V; Adithya, S; Tramanzoli, P; Naik, N; Gite, S; Sevalia, H; Castellani, D; Panthier, F; Teoh, JYC; Chew, B; Fong, KY; Boulmani, M; Gadzhiev, N; Singh, AG; Herrmann, TRW; Traxer, O; Somani, BK</t>
  </si>
  <si>
    <t>PurposeWe developed Machine learning (ML) algorithms to predict ureteroscopy (URS) outcomes, offering insights into diagnosis and treatment planning, personalised care and improved clinical decision-making.MethodsFLEXOR is a large international multicentric database including 6669 patients treated with URS for urolithiasis from 2015 to 2023. Preoperative and postoperative(PO) correlations were investigated through 15 ML-trained algorithms. Outcomes included stone free status (SFS, at 3-month imaging follow up), intraoperative (PCS bleeding, ureteric/PCS injury, need for postoperative drainage) and PO complications (fever, sepsis, need for reintervention). ML was applied for the prediction, correlation and logistic regression analysis. Explainable AI emphasizes key features and their contributions to the output.ResultsExtra Tree Classifier achieved the best accuracy (81%) in predicting SFS. PCS bleed was negatively linked with 'positive urine culture'(-0.08), 'tamsulosin'(-0.08), 'stone location'(-0.10), 'fibre optic scope'(-0.19), 'Moses Fibre'(-0.09), and 'TFL'(-0.09), and positively with 'elevated creatine'(0.25), 'fever'(0.11), and 'stone diameter'(0.21). 'PCS injury' and 'ureteric injury' both showed moderate correlation with 'elevated creatinine'(0.11), 'fever'(0.10), and 'lower pole stone'(0.09). 'Tamsulosin'(0.23) use, presence of 'multiple'(0.25) or 'lower pole'(0.25) stones, 'reusable scope'(0.17) and 'Moses Fibre'(0.2546) increased the risk for PO stent, while 'digital scope'(-0.13) or 'TFL'(-0.29) reduced it. 'Preoperative fever'(0.10), 'positive urine culture'(0.16), and 'stone diameter'(0.10) may play a role in 'PO fever' and 'sepsis'. SFS was mainly influenced by 'age'(0.12), 'preoperative fever'(0.09), 'multiple stones'(0.15), 'stone diameter'(0.17), 'Moses Fibre"(0.15) and 'TFL'(-0.28).ConclusionML is valuable tool for accurately predicting outcomes by analysing pre-existing datasets. Our model demonstrated strong performance in outcomes and risks prediction, laying the groundwork for development of accessible predictive models.</t>
  </si>
  <si>
    <t>Nedbal, Carlotta; Gauhar, Vineet; Adithya, Sairam; Tramanzoli, Pietro; Naik, Nithesh; Gite, Shilpa; Sevalia, Het; Castellani, Daniele; Panthier, Frederic; Teoh, Jeremy Y. C.; Chew, Ben H.; Fong, Khi Yung; Boulmani, Mohammed; Gadzhiev, Nariman; Singh, Abhishek Gajendra; Herrmann, Thomas R. W.; Traxer, Olivier; Somani, Bhaskar K.</t>
  </si>
  <si>
    <t>Nedbal, C (corresponding author), ASST Fatebenefratelli Sacco, Urol, Milan, Italy.; Nedbal, C (corresponding author), European Assoc Urol, Endourol Sect, Arnhem, Netherlands.; Nedbal, C (corresponding author), Polytech Univ Marche, Azienda Osped Univ Osped Riuniti Ancona, Ancona, Italy.</t>
  </si>
  <si>
    <t>Universita Politecnica delle Marche within the CRUI-CARE Agreement</t>
  </si>
  <si>
    <t>Open access funding provided by Universita Politecnica delle Marche within the CRUI-CARE Agreement.</t>
  </si>
  <si>
    <t>[Nedbal, Carlotta] ASST Fatebenefratelli Sacco, Urol, Milan, Italy; [Nedbal, Carlotta; Gauhar, Vineet; Castellani, Daniele] European Assoc Urol, Endourol Sect, Arnhem, Netherlands; [Gauhar, Vineet] Ng Teng Fong Gen Hosp, Urol, Singapore, Singapore; [Adithya, Sairam; Gite, Shilpa; Sevalia, Het] Symbiosis Inst Technol, Engn, Pune, India; [Naik, Nithesh] Manipal Acad Higher Educ, Engn, Manipal, India; [Nedbal, Carlotta; Tramanzoli, Pietro; Castellani, Daniele] Polytech Univ Marche, Azienda Osped Univ Osped Riuniti Ancona, Ancona, Italy; [Panthier, Frederic; Traxer, Olivier] Sorbonne Univ, GRC Urolithiasis 20, Tenon Hosp, Paris, France; [Panthier, Frederic; Traxer, Olivier] CNRS, PIMM, UMR 8006, Arts &amp; Metiers ParisTech, Paris, France; [Panthier, Frederic; Traxer, Olivier] Progress Endourol Assoc Res &amp; Leading Solut PEARLS, Paris, France; [Teoh, Jeremy Y. C.] Chinese Univ Hong Kong, Urol, Hong Kong, Peoples R China; [Chew, Ben H.] Univ British Columbia, Urol, Vancouver, BC, Canada; [Fong, Khi Yung] Natl Univ Singapore, Yong Loo Lin Sch Med, Urol, Singapore, Singapore; [Boulmani, Mohammed] Boston Sci Urol &amp; Pelv Hlth, Paris, France; [Gadzhiev, Nariman] Pavlov First St Petersburg State Med Univ, St Petersburg, Russia; [Singh, Abhishek Gajendra] Muljibhai Patel Urol Hosp, Nadiad, Gujarat, India; [Herrmann, Thomas R. W.] Kantonspital Frauenfeld, Spital Thurgau AG, Frauenfeld, Switzerland; [Somani, Bhaskar K.] Univ Hosp Southampton NHS Fdn Trust, Southampton, England</t>
  </si>
  <si>
    <t>Symbiosis International University; Symbiosis Institute of Technology (SIT); Manipal Academy of Higher Education (MAHE); Marche Polytechnic University; Assistance Publique Hopitaux Paris (APHP); Sorbonne Universite; Hopital Universitaire Tenon - APHP; heSam Universite; Centre National de la Recherche Scientifique (CNRS); Arts et Metiers Institute of Technology; Conservatoire National Arts &amp; Metiers (CNAM); CNRS - Institute for Engineering &amp; Systems Sciences (INSIS); Chinese University of Hong Kong; University of British Columbia; National University of Singapore; Pavlov First Saint Petersburg State Medical University; University of Southampton; University Hospital Southampton NHS Foundation Trust</t>
  </si>
  <si>
    <t>A novel predictive method for URS and laser lithotripsy using machine learning and explainable AI: results from the FLEXOR international database</t>
  </si>
  <si>
    <t>Ureteroscopy; Urolithiasis; Machine learning; Artificial intelligence; Explainable AI; Outcomes prediction</t>
  </si>
  <si>
    <t>STONE-FREE STATUS; PERCUTANEOUS NEPHROLITHOTOMY; FLEXIBLE URETEROSCOPY; OUTCOMES</t>
  </si>
  <si>
    <t>Gauhar, Vineet/ABC-9201-2021; Castellani, Daniele/B-1501-2019; Panthier, Frederic/HLH-8436-2023; Nedbal, Carlotta/MIP-9298-2025; Gadzhiev, Nariman/IXW-5070-2023; Naik, Nithesh/W-5086-2019; Chew, Ben/LZE-8313-2025; Herrmann, Thomas/ODM-2103-2025; Gite, Shilpa/AAR-2331-2020; Singh, Abhishek/IXH-7418-2023; Teoh, Jeremy/H-5184-2016; Khi Yung, Fong/HJA-3510-2022</t>
  </si>
  <si>
    <t>Castellani, Daniele/0000-0001-7354-9190; Nedbal, Carlotta/0000-0003-2031-347X; TRAMANZOLI, PIETRO/0000-0002-1612-6113</t>
  </si>
  <si>
    <t>10.1007/s00345-025-05551-2</t>
  </si>
  <si>
    <t>http://dx.doi.org/10.1007/s00345-025-05551-2</t>
  </si>
  <si>
    <t>2QB8Z</t>
  </si>
  <si>
    <t>40353928</t>
  </si>
  <si>
    <t>WOS:001488610200004</t>
  </si>
  <si>
    <t>Saha, DK; Rafi, S; Mridha, MF; Alfarhood, S; Safran, M; Kabir, MM; Dey, N</t>
  </si>
  <si>
    <t>The daily surge in cases in many nations has made the growing number of human monkeypox (Mpox) cases an important global concern. Therefore, it is imperative to identify Mpox early to prevent its spread. The majority of studies on Mpox identification have utilized deep learning (DL) models. However, research on developing a reliable method for accurately detecting Mpox in its early stages is still lacking. This study proposes an ensemble model composed of three improved DL models to more accurately classify Mpox in its early phases. We used the widely recognized Mpox Skin Images Dataset (MSID), which includes 770 images. The enhanced Swin Transformer (SwinViT), the proposed ensemble model Mpox-XDE, and three modified DL models-Xception, DenseNet201, and EfficientNetB7-were used. To generate the ensemble model, the three DL models were combined via a Softmax layer, a dense layer, a flattened layer, and a 65% dropout. Four neurons in the final layer classify the dataset into four categories: chickenpox, measles, normal, and Mpox. Lastly, a global average pooling layer is implemented to classify the actual class. The Mpox-XDE model performed exceptionally well, achieving testing accuracy, precision, recall, and F1-score of 98.70%, 98.90%, 98.80%, and 98.80%, respectively. Finally, the popular explainable artificial intelligence (XAI) technique, Gradient-weighted Class Activation Mapping (Grad-CAM), was applied to the convolutional layer of the Mpox-XDE model to generate overlaid areas that effectively highlight each illness class in the dataset. This proposed methodology will aid professionals in diagnosing Mpox early in a patient's condition.</t>
  </si>
  <si>
    <t>Saha, Dip Kumar; Rafi, Sadman; Mridha, M. F.; Alfarhood, Sultan; Safran, Mejdl; Kabir, Md Mohsin; Dey, Nilanjan</t>
  </si>
  <si>
    <t>Mridha, MF (corresponding author), Amer Int Univ Bangladesh, Dept CSE, Dhaka, Bangladesh.; Safran, M (corresponding author), King Saud Univ, Coll Comp &amp; Informat Sci, Dept Comp Sci, Riyadh 11543, Saudi Arabia.</t>
  </si>
  <si>
    <t>md.mohsin.kabir@mdu.se; nilanjan.dey@tint.edu.in; sadman@ius.edu.bd; firoz.mridha@aiub.edu; mejdl@ksu.edu.sa; sultanf@ksu.edu.sa; dip9178@gmail.com</t>
  </si>
  <si>
    <t>King Saud University [RSPD2025R890]; King Saud University; King Saud University, Riyadh, Saudi Arabia</t>
  </si>
  <si>
    <t>King Saud University (King Saud University); King Saud University (King Saud University); King Saud University, Riyadh, Saudi Arabia (King Saud University)</t>
  </si>
  <si>
    <t>The authors extend their appreciation to King Saud University for funding this research through Researchers Supporting Project Number (RSPD2025R890), King Saud University, Riyadh, Saudi Arabia.</t>
  </si>
  <si>
    <t>[Saha, Dip Kumar] Stamford Univ Bangladesh, Dept CSE, Dhaka, Bangladesh; [Rafi, Sadman; Mridha, M. F.] Amer Int Univ Bangladesh, Dept CSE, Dhaka, Bangladesh; [Alfarhood, Sultan; Safran, Mejdl] King Saud Univ, Coll Comp &amp; Informat Sci, Dept Comp Sci, Riyadh 11543, Saudi Arabia; [Kabir, Md Mohsin] Malardalens Univ, Div Comp Sci &amp; Software Engn, S-72220 Vasteras, Sweden; [Dey, Nilanjan] Techno Int New Town, Dept CSE, New Town, West Bengal, India</t>
  </si>
  <si>
    <t>Stamford University Bangladesh; American International University Bangladesh (AIUB); King Saud University; Malardalen University</t>
  </si>
  <si>
    <t>Mpox-XDE: an ensemble model utilizing deep CNN and explainable AI for monkeypox detection and classification</t>
  </si>
  <si>
    <t>BMC INFECTIOUS DISEASES</t>
  </si>
  <si>
    <t>Monkeypox; Deep learning; Mpox; Detection; Ensemble model; XAI</t>
  </si>
  <si>
    <t>Safran, Mejdl/HMU-9371-2023; Dey, Nilanjan/OTH-7828-2025; Mridha, M./ABB-8376-2021; Kabir, Md. Mohsin/HNB-9754-2023</t>
  </si>
  <si>
    <t>Kumar Saha, Dip/0009-0007-1595-7453</t>
  </si>
  <si>
    <t>1471-2334</t>
  </si>
  <si>
    <t>BMC INFECT DIS</t>
  </si>
  <si>
    <t>BMC Infect. Dis.</t>
  </si>
  <si>
    <t>403</t>
  </si>
  <si>
    <t>10.1186/s12879-025-10811-y</t>
  </si>
  <si>
    <t>http://dx.doi.org/10.1186/s12879-025-10811-y</t>
  </si>
  <si>
    <t>Infectious Diseases</t>
  </si>
  <si>
    <t>0NW4F</t>
  </si>
  <si>
    <t>40133816</t>
  </si>
  <si>
    <t>WOS:001451825500004</t>
  </si>
  <si>
    <t>Hossain, S; Chakrabarty, A; Gadekallu, TR; Alazab, M; Piran, MJ</t>
  </si>
  <si>
    <t>The abnormal growth of malignant or nonmalignant tissues in the brain causes long-term damage to the brain. Magnetic resonance imaging (MRI) is one of the most common methods of detecting brain tumors. To determine whether a patient has a brain tumor, MRI filters are physically examined by experts after they are received. It is possible for MRI images examined by different specialists to produce inconsistent results since professionals formulate evaluations differently. Furthermore, merely identifying a tumor is not enough. To begin treatment as soon as possible, it is equally important to determine the type of tumor the patient has. In this paper, we consider the multiclass classification of brain tumors since significant work has been done on binary classification. In order to detect tumors faster, more unbiased, and reliably, we investigated the performance of several deep learning (DL) architectures including Visual Geometry Group 16 (VGG16), InceptionV3, VGG19, ResNet50, InceptionResNetV2, and Xception. Following this, we propose a transfer learning(TL) based multiclass classification model called IVX16 based on the three best-performing TL models. We use a dataset consisting of a total of 3264 images. Through extensive experiments, we achieve peak accuracy of 95.11%, 93.88%, 94.19%, 93.88%, 93.58%, 94.5%, and 96.94% for VGG16, InceptionV3, VGG19, ResNet50, InceptionResNetV2, Xception, and IVX16, respectively. Furthermore, we use Explainable AI to evaluate the performance and validity of each DL model and implement recently introduced Vison Transformer (ViT) models and compare their obtained output with the TL and ensemble model.</t>
  </si>
  <si>
    <t>Hossain, Shahriar; Chakrabarty, Amitabha; Gadekallu, Thippa Reddy; Alazab, Mamoun; Piran, Md. Jalil</t>
  </si>
  <si>
    <t>Piran, MJ (corresponding author), Sejong Univ, Dept Comp Sci &amp; Engn, Seoul 05006, South Korea.</t>
  </si>
  <si>
    <t>piran@sejong.ac.kr; thippa@zhongda.cn; alazab.m@ieer.org; shahriar.hossain@bracu.ac.bd; amitabha@bracu.ac.bd</t>
  </si>
  <si>
    <t>[Hossain, Shahriar; Chakrabarty, Amitabha] BRAC Univ, Dept Comp Sci &amp; Engn, Dhaka 1212, Bangladesh; [Gadekallu, Thippa Reddy] Vellore Inst Technol, Sch Informat Technol &amp; Engn, Vellore 632014, India; [Gadekallu, Thippa Reddy] Lebanese Amer Univ Byblos, Dept Elect &amp; Comp Engn, Blat 11022801, Lebanon; [Gadekallu, Thippa Reddy] Zhongda Grp, Jiaxing 314312, Haiyan, Peoples R China; [Alazab, Mamoun] Charles Darwin Univ, Casuarina, NT 0810, Australia; [Piran, Md. Jalil] Sejong Univ, Dept Comp Sci &amp; Engn, Seoul 05006, South Korea</t>
  </si>
  <si>
    <t>Bangladesh Rural Advancement Committee BRAC; BRAC University; Vellore Institute of Technology (VIT); VIT Vellore; Lebanese American University; Charles Darwin University; Sejong University</t>
  </si>
  <si>
    <t>Vision Transformers, Ensemble Model, and Transfer Learning Leveraging Explainable AI for Brain Tumor Detection and Classification</t>
  </si>
  <si>
    <t>Brain tumor classification; deep learning; ensemble learning; multiclass classification; transfer learning; VGG16; VGG19; InceptionV3; xception; ResNet50; InceptionResNetV2; explainable AI; LIME; vision transformers; SWIN; CCT; EANet</t>
  </si>
  <si>
    <t>LUNG; SEGMENTATION</t>
  </si>
  <si>
    <t>Jalil Piran/I-2070-2018; Chakrabarty, Amitabha/U-8866-2019; Gadekallu, Thippa Reddy/T-4254-2019; Alazab, Mamoun/AAG-6684-2021</t>
  </si>
  <si>
    <t>Jalil Piran/0000-0003-3229-6785; Chakrabarty, Amitabha/0000-0003-0306-4029; Gadekallu, Thippa Reddy/0000-0003-0097-801X; Hossain, Shahriar/0000-0002-6132-1305</t>
  </si>
  <si>
    <t>142</t>
  </si>
  <si>
    <t>1261</t>
  </si>
  <si>
    <t>1272</t>
  </si>
  <si>
    <t>10.1109/JBHI.2023.3266614</t>
  </si>
  <si>
    <t>http://dx.doi.org/10.1109/JBHI.2023.3266614</t>
  </si>
  <si>
    <t>KO4Y9</t>
  </si>
  <si>
    <t>37043319</t>
  </si>
  <si>
    <t>WOS:001180907300002</t>
  </si>
  <si>
    <t>Gopalan, SP; Sundararajan, V</t>
  </si>
  <si>
    <t>Introduction Cancer drug response rates differ across patients and cell lines; however, many current computational prediction models still function as uninterpretable black boxes, offering limited insight into why a given treatment works well for some patients or cell lines but poorly for others.Methods Here, we introduce an interpretable cancer drug response prediction framework that leverages multi-omics data from the Genomics of Drug Sensitivity in Cancer 2 (GDSC2) resource, including genomics, transcriptomics, and proteomics, where available, together with explicit chemical drug descriptors derived from SMILES and InChI representations. We use a Modified Neighbor-Joining Algorithm (MNJA) to generate topology-aware gene-sequence trees. Combined multi-omics and drug features are summarized into high-level deep descriptors via a decimal-scaled GoogLeNet (DS-GoogLeNet), together with lightweight handcrafted features. A Smoluchowski Kookaburra Optimization Algorithm (SKOA) then selects informative multimodal features, which are used to classify the sensitivity or resistance of each cell line-drug pair with an explainable Aranda Graph Attention Network (EA-GAT).Results By analyzing model behavior using SHAP-based feature attributions and subsequently subjecting SHAP-ranked genes to pathway enrichment analysis, we highlight the recurrent involvement of the PI3K/AKT/mTOR pathway and related downstream signaling cascades in drug response. Under leakage-safe stratified 10-fold cross-validation on 2614 GDSC2 cell line-drug pairs, the framework attains an accuracy of 95.87% and an F1-score of 95.87%, with an area under the receiver operating characteristic curve (AUROC) of 0.957 and an area under the precision-recall curve (AUPRC) of 0.946.Discussion Overall, the framework appears to predict drug response accurately while also supporting biologically meaningful interpretation, making it a useful computational tool for hypothesis generation and biomarker-focused investigation in oncology.</t>
  </si>
  <si>
    <t>Gopalan, Shynu Padinjappurathu; Sundararajan, Vino</t>
  </si>
  <si>
    <t>Gopalan, SP (corresponding author), Vellore Inst Technol, Sch Comp Sci Engn &amp; Informat Syst, Vellore, India.</t>
  </si>
  <si>
    <t>pgshynu@vit.ac.in</t>
  </si>
  <si>
    <t>[Gopalan, Shynu Padinjappurathu] Vellore Inst Technol, Sch Comp Sci Engn &amp; Informat Syst, Vellore, India; [Sundararajan, Vino] Vellore Inst Technol, Sch Bio Sci &amp; Technol, Vellore, India</t>
  </si>
  <si>
    <t>Vellore Institute of Technology (VIT); VIT Vellore; Vellore Institute of Technology (VIT); VIT Vellore</t>
  </si>
  <si>
    <t>A novel explainable AI for revealing determinants of cancer drug response through integrative multi-omics analysis</t>
  </si>
  <si>
    <t>cancer drug response; explainable artificial intelligence; feature selection with metaheuristic optimization; graph attention network classifier; multi-omics drug response prediction; precision oncology; topology-aware gene sequence representation</t>
  </si>
  <si>
    <t>Padinjappurathu Gopalan, Shynu/U-4818-2019; S, Vino/AAA-6807-2019</t>
  </si>
  <si>
    <t>1759001</t>
  </si>
  <si>
    <t>10.3389/fonc.2026.1759001</t>
  </si>
  <si>
    <t>http://dx.doi.org/10.3389/fonc.2026.1759001</t>
  </si>
  <si>
    <t>IU0WR</t>
  </si>
  <si>
    <t>42232535</t>
  </si>
  <si>
    <t>WOS:001780341700001</t>
  </si>
  <si>
    <t>Sides, T; Kbaier, D; Farrell, T; Third, A</t>
  </si>
  <si>
    <t>Objectives This study investigates the factors influencing artificial intelligence (AI) acceptance in the United Kingdom (UK) National Health Services (NHS) primary care across different stakeholder levels. It explores key barriers and enablers, focusing on workforce impact, organisational influences and ethical considerations.Methods A mixed-methods, between-subjects approach was employed to capture stakeholder perspectives on AI trust and acceptance. Eligible participants were NHS primary care employees working at macro-, meso- and micro-levels. An online survey was distributed via Prolific and included both closed- and open-ended questions. This was followed by semi-structured interviews with a subset of volunteers. Quantitative data were analysed using descriptive statistics and qualitative responses were examined using abductive thematic analysis.Results The study gathered 133 responses and conducted nine follow-up interviews. Three key themes were identified: (1) Workforce impact and resistance to change - concerns about job loss and skills gaps; (2) Organisational and cultural barriers - challenges around validation, leadership buy-in and integration; and (3) Trust, ethics and equity - fears about fairness, accountability and the exacerbation of healthcare disparities. Findings revealed that meso-level stakeholders (primary care managers) act as both facilitators and barriers to AI adoption, mediating between macro-level policymakers and micro-level frontline healthcare professionals while navigating organisational constraints and workforce concerns.Conclusion The findings underscore the necessity for ethical and trustworthy AI systems, targeted stakeholder engagement, and strategies to ensure equitable and effective AI implementation in primary care. Further research should examine how trust influences AI adoption and equity in care delivery.</t>
  </si>
  <si>
    <t>Sides, Teresa; Kbaier, Dhouha; Farrell, Tracie; Third, Aisling</t>
  </si>
  <si>
    <t>Sides, T (corresponding author), Open Univ, Walton Hall, Milton Keynes MK7 6AA, England.</t>
  </si>
  <si>
    <t>Teresa.Sides@open.ac.uk</t>
  </si>
  <si>
    <t>OpenBright [304-172449]; The MELETE Foundation; Engineering and Physical Sciences Research Council [EP/T518165/1]</t>
  </si>
  <si>
    <t>OpenBright; The MELETE Foundation; Engineering and Physical Sciences Research Council (UK Research &amp; Innovation (UKRI), Engineering &amp; Physical Sciences Research Council (EPSRC))</t>
  </si>
  <si>
    <t>The authors disclosed receipt of the following financial support for the research, authorship, and/or publication of this article: This work was supported by the Engineering and Physical Sciences Research Council [EP/T518165/1]; the OpenBright Foundation [304-172449]; and the MELETE foundation [scholarship award 24/25].</t>
  </si>
  <si>
    <t>[Sides, Teresa; Kbaier, Dhouha; Farrell, Tracie; Third, Aisling] Open Univ, Walton Hall, Milton Keynes MK7 6AA, England</t>
  </si>
  <si>
    <t>Open University - UK</t>
  </si>
  <si>
    <t>Bridging trust gaps: Stakeholder perspectives on AI adoption in the United Kingdom NHS primary care</t>
  </si>
  <si>
    <t>Artificial intelligence; primary health care; trust; health personnel; United Kingdom</t>
  </si>
  <si>
    <t>ACCEPTANCE; INTERVIEW; HEALTH</t>
  </si>
  <si>
    <t>Kbaier, Dhouha/QIV-2293-2026</t>
  </si>
  <si>
    <t>Farrell, Tracie/0000-0002-2386-4333; Third, Aisling/0000-0002-0386-1936; Sides, Teresa/0000-0002-7265-5829; Kbaier Ben Ismail, Dhouha/0000-0001-8338-6049</t>
  </si>
  <si>
    <t>20552076251386706</t>
  </si>
  <si>
    <t>10.1177/20552076251386706</t>
  </si>
  <si>
    <t>http://dx.doi.org/10.1177/20552076251386706</t>
  </si>
  <si>
    <t>H5841</t>
  </si>
  <si>
    <t>41323094</t>
  </si>
  <si>
    <t>WOS:001625692000001</t>
  </si>
  <si>
    <t>Alim, MS; Tamim, MS; Sarkar, S; Abu Yousuf, M; Al-Moisheer, AS; Alyami, SA; Moni, MA</t>
  </si>
  <si>
    <t>The deployment of complex deep learning models in resource-limited clinical settings remains a critical challenge for brain tumor classification. This study explores knowledge distillation (KD) and ensembling strategies to enhance brain tumor classification using lightweight convolutional neural networks (CNNs), targeting resource-constrained environments. The research investigates both single-teacher and multi-teacher KD frameworks, utilizing VGG16 and Xception as teacher models to impart knowledge to smaller student models, including Tiny ResNet, Tiny Xception, and Tiny DenseNet. Student models, such as Student-1 (Tiny ResNet), feature a parameter reduction of approximately 83x and 117x times compared to VGG16 and Xception. Moreover, ensembling methods, including Average Ensembling and Weighted Ensembling, were employed to further refine predictive performance further. The multi-teacher KD approach achieved notable accuracy, reaching 96.19 % on Dataset-1 and 95.57% on Dataset-2, while ensembling techniques yielded up to 98.02% and 98.15 % for Average Ensembling and Weighted Ensembling, respectively. Furthermore, explainable AI (XAI) techniques, such as Grad-CAM and SHAP, were implemented to improve the interpretability of deep learning models and provide clinicians with insights. The results underscore the potential of combining KD and ensembling to develop robust and efficient AI-driven solutions for brain tumor classification, balancing accuracy, interpretability, and computational efficiency. These advancements make it possible to develop brain tumor classification systems that are accurate and efficient enough for deployment in resource-constrained environments.</t>
  </si>
  <si>
    <t>Alim, Md. Samiul; Tamim, Mahir Shahriar; Sarkar, Shuvo; Abu Yousuf, Mohammad; Al-Moisheer, Asmaa Soliman; Alyami, Salem A.; Moni, Mohammad Ali</t>
  </si>
  <si>
    <t>Abu Yousuf, M (corresponding author), Jahangirnagar Univ, Inst Informat Technol, Dhaka 1342, Bangladesh.; Moni, MA (corresponding author), Imam Mohammad Ibn Saud Islamic Univ IMSIU, Hlth Sci Res Ctr HSRC, Sci Res, Riyadh 13318, Saudi Arabia.; Moni, MA (corresponding author), Charles Sturt Univ, Rural Hlth Res Inst, Bathurst, NSW 2800, Australia.; Moni, MA (corresponding author), Charles Sturt Univ, Artificial Intelligence &amp; Cyber Futures Inst, Bathurst, NSW 2795, Australia.</t>
  </si>
  <si>
    <t>yousuf@juniv.edu; mmoni@csu.edu.au</t>
  </si>
  <si>
    <t>King Salman Center for Disability Research [KSRG-2024-113]</t>
  </si>
  <si>
    <t>King Salman Center for Disability Research (King Salman Centre for Disability Research)</t>
  </si>
  <si>
    <t>The authors extend their appreciation to the King Salman Center for Disability Research for funding this work through Research Group number KSRG-2024-113.</t>
  </si>
  <si>
    <t>[Alim, Md. Samiul; Tamim, Mahir Shahriar; Sarkar, Shuvo] North South Univ, Dept Elect &amp; Comp Engn, Dhaka 1229, Bangladesh; [Abu Yousuf, Mohammad] Jahangirnagar Univ, Inst Informat Technol, Dhaka 1342, Bangladesh; [Al-Moisheer, Asmaa Soliman; Alyami, Salem A.] Imam Mohammad Ibn Saud Islamic Univ IMSIU, Coll Sci, Dept Math &amp; Stat, Riyadh 13318, Saudi Arabia; [Moni, Mohammad Ali] Imam Mohammad Ibn Saud Islamic Univ IMSIU, Hlth Sci Res Ctr HSRC, Sci Res, Riyadh 13318, Saudi Arabia; [Moni, Mohammad Ali] Charles Sturt Univ, Rural Hlth Res Inst, Bathurst, NSW 2800, Australia; [Moni, Mohammad Ali] Charles Sturt Univ, Artificial Intelligence &amp; Cyber Futures Inst, Bathurst, NSW 2795, Australia</t>
  </si>
  <si>
    <t>North South University (NSU); Jahangirnagar University; Imam Mohammad Ibn Saud Islamic University (IMSIU); Imam Mohammad Ibn Saud Islamic University (IMSIU); Charles Sturt University; Charles Sturt University</t>
  </si>
  <si>
    <t>Multi-teacher knowledge distillation and ensemble algorithm for efficient brain tumor classification in resource-constrained environments with explainable AI</t>
  </si>
  <si>
    <t>Knowledge distillation (KD); Brain tumor classification; Explainable AI (XAI); Resource-constrained environments; Ensembling</t>
  </si>
  <si>
    <t>Almoisheer, ASMAA/PWG-2798-2026; Yousuf, Mohammad Abu/AAP-5280-2021; Alyami, Salem A/AFF-1682-2022; Moni, Mohammad Ali/AFA-8899-2022</t>
  </si>
  <si>
    <t>Tamim, Mahir Shahriar/0009-0007-1785-3121; Alim, Samiul/0009-0009-0535-3263; Sarkar, Shuvo/0009-0001-1572-8032; Yousuf, Mohammad Abu/0000-0001-8065-7173; Alyami, Salem A/0000-0002-5507-9399; Moni, Mohammad Ali/0000-0003-0756-1006</t>
  </si>
  <si>
    <t>330</t>
  </si>
  <si>
    <t>C</t>
  </si>
  <si>
    <t>114711</t>
  </si>
  <si>
    <t>10.1016/j.knosys.2025.114711</t>
  </si>
  <si>
    <t>http://dx.doi.org/10.1016/j.knosys.2025.114711</t>
  </si>
  <si>
    <t>9SW1A</t>
  </si>
  <si>
    <t>WOS:001614218600002</t>
  </si>
  <si>
    <t>Souza, R; Stanley, EAM; Ohara, EY; Camicioli, R; Monchi, O; Ismail, Z; Wilms, M; Forkert, ND</t>
  </si>
  <si>
    <t>Federated learning (FL) and travelling model (TM) allow privacy-preserving model training across sites without sharing patient-sensitive data. While both approaches have shown success, they face unique challenges related to distribution shifts between sites. To address this, we propose FedTM, a hybrid framework combining the strengths of FL and TM. FedTM begins with FL warmup training at sites with larger datasets, followed by sequential refinement through TM across all sites. We evaluated FedTM for Parkinson's disease classification using 1817 brain scans from 83 international sites. Model performance, misclassification disparities, and communication costs were computed and compared to standard FL and TM approaches. Our results reveal that FedTM improves AUROC from 77 +/- 0.01% to 82 +/- 0.01%, reduces misclassification disparities from 34 +/- 0.01% to 26 +/- 0.01%, and decreases training load for smaller sites from 22 to 12 cycles. These advancements mark an important step toward promoting global healthcare equity and advancing responsible AI development.</t>
  </si>
  <si>
    <t>Souza, Raissa; Stanley, Emma A. M.; Ohara, Erik Y.; Camicioli, Richard; Monchi, Oury; Ismail, Zahinoor; Wilms, Matthias; Forkert, Nils D.</t>
  </si>
  <si>
    <t>Souza, R (corresponding author), Univ Calgary, Cumming Sch Med, Dept Radiol, Calgary, AB, Canada.; Souza, R (corresponding author), Univ Calgary, Hotchkiss Brain Inst, Calgary, AB, Canada.; Souza, R (corresponding author), Univ Calgary, Alberta Childrens Hosp, Res Inst, Calgary, AB, Canada.</t>
  </si>
  <si>
    <t>raissa.souzadeandrad@ucalgary.ca</t>
  </si>
  <si>
    <t>Alberta Innovates; Parkinson Association of Alberta; Canadian Institutes for Health Research; Canada Research Chairs</t>
  </si>
  <si>
    <t>Alberta Innovates; Parkinson Association of Alberta; Canadian Institutes for Health Research (Canadian Institutes of Health Research (CIHR)); Canada Research Chairs (Canada Research Chairs, CGIAR)</t>
  </si>
  <si>
    <t>Data used in preparation of this article were obtained from the Alzheimer's Disease Neuroimaging Initiative (ADNI) database (adni.loni.usc.edu). As such, the investigators within the ADNI contributed to the design and implementation of ADNI and/or provided data but did not participate in analysis or writing of this report. A complete listing of ADNI investigators can be found at: http://adni.loni.usc.edu/wp-content/uploads/how_to_apply/ADNI_Acknowledgement_List.pdf. This work was supported by the Alberta Innovates, the Parkinson Association of Alberta, the Canada Research Chairs program, and the Canadian Institutes for Health Research.</t>
  </si>
  <si>
    <t>[Souza, Raissa; Stanley, Emma A. M.; Ohara, Erik Y.; Monchi, Oury; Forkert, Nils D.] Univ Calgary, Cumming Sch Med, Dept Radiol, Calgary, AB, Canada; [Souza, Raissa; Stanley, Emma A. M.; Ohara, Erik Y.; Monchi, Oury; Ismail, Zahinoor; Forkert, Nils D.] Univ Calgary, Hotchkiss Brain Inst, Calgary, AB, Canada; [Souza, Raissa; Stanley, Emma A. M.; Ohara, Erik Y.; Forkert, Nils D.] Univ Calgary, Alberta Childrens Hosp, Res Inst, Calgary, AB, Canada; [Stanley, Emma A. M.; Ohara, Erik Y.] Univ Calgary, Biomed Engn Grad Program, Calgary, AB, Canada; [Camicioli, Richard] Univ Alberta, Neurosci &amp; Mental Hlth Inst, Edmonton, AB, Canada; [Camicioli, Richard] Univ Alberta, Dept Med Neurol, Edmonton, AB, Canada; [Monchi, Oury] Univ Montreal, Dept Radiol Radiooncol &amp; Nucl Med, Montreal, PQ, Canada; [Monchi, Oury] Inst Univ Geriatrie Montreal, Ctr Rech, Montreal, PQ, Canada; [Monchi, Oury; Ismail, Zahinoor; Forkert, Nils D.] Univ Calgary, Cumming Sch Med, Dept Clin Neurosci, Calgary, AB, Canada; [Ismail, Zahinoor] Univ Calgary, Dept Psychiat, Calgary, AB, Canada; [Ismail, Zahinoor] Univ Exeter, Fac Hlth &amp; Life Sci, Clin &amp; Biomed Sci, Exeter, England; [Wilms, Matthias] Univ Michigan, Dept Radiol, Ann Arbor, MI USA</t>
  </si>
  <si>
    <t>University of Calgary; University of Calgary; Alberta Childrens Hospital; University of Calgary; University Calgary Hospital; University of Calgary; University of Alberta; University of Alberta; Universite de Montreal; Universite de Montreal; University of Calgary; University of Calgary; University of Exeter; University of Michigan System; University of Michigan</t>
  </si>
  <si>
    <t>Combining federated learning and travelling model boosts performance and opens opportunities for digital health equity</t>
  </si>
  <si>
    <t>Monchi, Oury/N-8417-2019; Wilms, Matthias/PFJ-0786-2025; Camicioli, Richard/AGS-2549-2022; Forkert, Nils/K-6273-2012; Stanley, Emma/MTD-1286-2025</t>
  </si>
  <si>
    <t>Camicioli, Richard/0000-0003-2977-8660</t>
  </si>
  <si>
    <t>10.1038/s41746-026-02483-y</t>
  </si>
  <si>
    <t>http://dx.doi.org/10.1038/s41746-026-02483-y</t>
  </si>
  <si>
    <t>GI8WQ</t>
  </si>
  <si>
    <t>41760879</t>
  </si>
  <si>
    <t>WOS:001737459200005</t>
  </si>
  <si>
    <t>Yasheng, P; Yusufu, A; Yimiti, Y; Luan, HP; Peng, C; Song, XH</t>
  </si>
  <si>
    <t>Objectives Lumbar spinal stenosis (LSS) is an increasingly important issue related to back pain in elderly patients, resulting in significant socioeconomic burdens. Postoperative complications and socioeconomic effects are evaluated using the clinical parameter of hospital length of stay (LOS). This study aimed to develop a machine learning-based tool that can calculate the risk of prolonged length of stay (PLOS) after surgery and interpret the results.Methods Patients were registered from the spine surgery department in our hospital. Hospital stays greater than or equal to the 75th percentile for LOS was considered extended PLOS after spine surgery. We screened the variables using the least absolute shrinkage and selection operator (LASSO) and permutation importance value and selected nine features. We then performed hyperparameter selection via grid search with nested cross-validation. Receiver operating characteristics curve, calibration curve and decision curve analysis was carried out to assess model performance. The result of the final selected model was interpreted using Shapley Additive exPlanations (SHAP), and Local Interpretable Model-agnostic Explanations (LIME) were used for model interpretation. To facilitate model utilization, a web application was deployed.Results A total of 540 patients were involved, and several features were finally selected. The final optimal random forest (RF) model achieved an area under the curve (ROC) of 0.93 on the training set and 0.83 on the test set. Based on both SHAP and LIME analyses, intraoperative blood loss emerged as the most significant contributor to the outcome.Conclusion Machine learning in association with SHAP and LIME can provide a clear explanation of personalized risk prediction, and spine surgeons can gain a perceptual grasp of the impact of important model components. Utilization and future clinical research of our RF model are made simple and accessible through the web application.</t>
  </si>
  <si>
    <t>Yasheng, Paierhati; Yusufu, Alimujiang; Yimiti, Yasenjiang; Luan, Haopeng; Peng, Cong; Song, Xinghua</t>
  </si>
  <si>
    <t>Song, XH (corresponding author), Xinjiang Med Univ, Dept Spine Surg, Affiliated Hosp 6, Urumqi, Xinjiang, Peoples R China.</t>
  </si>
  <si>
    <t>songxinghua19@163.com</t>
  </si>
  <si>
    <t>National Natural Science Foundation of China [82172454]</t>
  </si>
  <si>
    <t>The author(s) declare that financial support was received for the research, authorship, and/or publication of this article. This work was supported by the National Natural Science Foundation of China (82172454). The funding body played no role in the design of the study and collection, analysis, interpretation of data, and in writing the manuscript.</t>
  </si>
  <si>
    <t>[Yasheng, Paierhati; Yusufu, Alimujiang; Luan, Haopeng; Peng, Cong; Song, Xinghua] Xinjiang Med Univ, Dept Spine Surg, Affiliated Hosp 6, Urumqi, Xinjiang, Peoples R China; [Yasheng, Paierhati] Xinjiang Med Univ, Affiliated Hosp 1, Dept Spine Surg, Urumqi, Xinjiang, Peoples R China; [Yimiti, Yasenjiang] First Peoples Hosp Kashi Prefecture, Kashi, Xinjiang, Peoples R China</t>
  </si>
  <si>
    <t>Xinjiang Medical University; Xinjiang Medical University</t>
  </si>
  <si>
    <t>Web-based machine learning application for interpretable prediction of prolonged length of stay after lumbar spinal stenosis surgery: a retrospective cohort study with explainable AI</t>
  </si>
  <si>
    <t>FRONTIERS IN PHYSIOLOGY</t>
  </si>
  <si>
    <t>lumbar spinal stenosis; postoperative length of stay; spine surgery; interpretable model; SHAP value</t>
  </si>
  <si>
    <t>SURGICAL TECHNIQUES; MANAGEMENT; COMPLICATIONS; INJECTION; DIAGNOSIS; SYSTEMS; SAFETY; PAIN</t>
  </si>
  <si>
    <t>luan, haopeng/HNJ-3325-2023</t>
  </si>
  <si>
    <t>1664-042X</t>
  </si>
  <si>
    <t>FRONT PHYSIOL</t>
  </si>
  <si>
    <t>Front. Physiol.</t>
  </si>
  <si>
    <t>FEB 19 2025</t>
  </si>
  <si>
    <t>1542240</t>
  </si>
  <si>
    <t>10.3389/fphys.2025.1542240</t>
  </si>
  <si>
    <t>http://dx.doi.org/10.3389/fphys.2025.1542240</t>
  </si>
  <si>
    <t>Physiology</t>
  </si>
  <si>
    <t>Z1U1A</t>
  </si>
  <si>
    <t>40046179</t>
  </si>
  <si>
    <t>WOS:001436832100001</t>
  </si>
  <si>
    <t>Ikram, M; Mehmood, W; Saleem, SMU; Hanefar, SBM</t>
  </si>
  <si>
    <t>Artificial Intelligence (AI) is transforming everyday life across various fields such as healthcare, space exploration, banking and finance. The rapid advancement of AI has drawn increasing attention to its potential societal impacts and has raised important ethical concerns. In recent years, governments, national organisations and international bodies have introduced several ethical standards. These principles provide foundational guidelines to shape ethical development, implementation and governance of artificial intelligence. This study seeks to provide academics with a thorough literature review that emphasises how governance mechanisms and AI ethics have highlighted areas for potential assessment and investigations. This study employed PRISMA review methodology alongside a meta-literature analysis to examine relevant studies indexed in the Scopus database, including years 2011 to 2024. The results provide significant insights into present condition of governance and AI ethics, while highlighting potential avenues for future study to develop stronger and contextually relevant frameworks for global AI governance.</t>
  </si>
  <si>
    <t>Ikram, Maryam; Mehmood, Waqas; Saleem, Syed Muhammad Umer; Hanefar, Shamsiah Banu Mohamad</t>
  </si>
  <si>
    <t>Saleem, SMU (corresponding author), ILMA Univ, Fac Management Sci, Dept Business Adm, Karachi, Pakistan.</t>
  </si>
  <si>
    <t>syed.usaleem@gmail.com</t>
  </si>
  <si>
    <t>[Ikram, Maryam; Hanefar, Shamsiah Banu Mohamad] INTI Int Univ, Fac Educ &amp; Liberal Arts, Nilai, Malaysia; [Mehmood, Waqas] Univ Sharjah, Res Inst Humanities &amp; Social Sci, Sharjah, U Arab Emirates; [Saleem, Syed Muhammad Umer] ILMA Univ, Fac Management Sci, Dept Business Adm, Karachi, Pakistan; [Mehmood, Waqas] VIZJA Univ, Warsaw, Poland</t>
  </si>
  <si>
    <t>INTI International University; University of Sharjah</t>
  </si>
  <si>
    <t>Exploring the nexus of governance and AI ethics: Using systematic literature review for future direction</t>
  </si>
  <si>
    <t>DATA AND INFORMATION MANAGEMENT</t>
  </si>
  <si>
    <t>Governance; Artificial intelligence; Ethics; Systematic literature review</t>
  </si>
  <si>
    <t>ARTIFICIAL-INTELLIGENCE; HEALTH-CARE; BIG DATA; PRINCIPLES; FRAMEWORK; LEGAL</t>
  </si>
  <si>
    <t>Mehmood, Waqas/AEB-7579-2022; Saleem, Syed Muhammad Umer/HNR-3288-2023; Mohamad Hanefar, Shamsiah Banu/ABS-3004-2022</t>
  </si>
  <si>
    <t>Saleem, Syed Muhammad Umer/0009-0001-8078-1614; Mohamad Hanefar, Shamsiah Banu/0000-0002-3393-1640</t>
  </si>
  <si>
    <t>2543-9251</t>
  </si>
  <si>
    <t>DATA INFORM MANAGE</t>
  </si>
  <si>
    <t>Data Inform. Manage.</t>
  </si>
  <si>
    <t>100122</t>
  </si>
  <si>
    <t>10.1016/j.dim.2026.100122</t>
  </si>
  <si>
    <t>http://dx.doi.org/10.1016/j.dim.2026.100122</t>
  </si>
  <si>
    <t>EV2TQ</t>
  </si>
  <si>
    <t>WOS:001710568800001</t>
  </si>
  <si>
    <t>Alkam, T; Tarshizi, E; Van Benschoten, AH</t>
  </si>
  <si>
    <t>Background: Older adults with Alzheimer's disease (AD) face a heightened risk of adverse hospital outcomes, including mortality. However, early identification of high-risk patients remains a challenge. While regression models provide interpretable associations, they may miss non-linear interactions that machine learning can uncover. Objective: To identify key predictors of in-hospital mortality among AD patients using both survey-weighted logistic regression and explainable machine learning. Methods: We analyzed hospitalizations among AD patients aged &gt;= 60 in the 2017 Nationwide Inpatient Sample (NIS). The outcome was in-hospital death. Predictors included demographics, hospital variables, and 15 comorbidities. Logistic regression used survey weighting to generate nationally representative inference; XGBoost incorporated NIS discharge weights as sample weights during 5-fold hospital-grouped cross-validation and used the same weights in performance evaluation. Missing-value imputation and feature scaling were performed within the cross-validation pipelines to prevent data leakage. Model performance was assessed using AUROC, AUPRC, Brier score, and log loss. Feature importance was assessed using adjusted odds ratios and SHapley Additive exPlanations (SHAP). A sensitivity analysis excluded palliative care and DNR status and was re-evaluated under the same grouped cross-validation. Results: In the full model, logistic regression achieved AUROC 0.879 and AUPRC 0.310, while XGBoost achieved AUROC 0.887 and AUPRC 0.324. Palliative care (aOR 6.19), acute respiratory failure (aOR 5.15), DNR status (aOR 2.20), and sepsis (aOR 2.26) were the strongest logistic predictors. SHAP analysis corroborated these findings and additionally emphasized dysphagia, malnutrition, and pressure ulcers. In sensitivity analysis excluding palliative care and DNR status, logistic regression performance declined (AUROC 0.806; AUPRC 0.206), while XGBoost performed similarly (AUROC 0.811; AUPRC 0.206). SHAP corroborated the dominant signals from end-of-life documentation and acute organ failure in the full model; in the restricted model (excluding DNR and palliative care), SHAP highlighted physiologic and frailty-related features (e.g., dysphagia, malnutrition, aspiration risk) that may be more actionable when end-of-life documentation is absent. Conclusions: Combining regression with explainable machine learning enables robust mortality risk stratification in hospitalized AD patients. Restricted models excluding end-of-life indicators provide actionable risk signals when such documentation is absent, while the full model may better support resource allocation and goals-of-care workflows.</t>
  </si>
  <si>
    <t>Alkam, Tursun; Tarshizi, Ebrahim; Van Benschoten, Andrew H.</t>
  </si>
  <si>
    <t>Alkam, T (corresponding author), Univ San Diego, Masters Program Appl Artificial Intelligence, San Diego, CA 92110 USA.</t>
  </si>
  <si>
    <t>talkam@sandiego.edu</t>
  </si>
  <si>
    <t>[Alkam, Tursun; Tarshizi, Ebrahim; Van Benschoten, Andrew H.] Univ San Diego, Masters Program Appl Artificial Intelligence, San Diego, CA 92110 USA</t>
  </si>
  <si>
    <t>University of San Diego</t>
  </si>
  <si>
    <t>Risk Stratification for In-Hospital Mortality in Alzheimer's Disease Using Interpretable Regression and Explainable AI</t>
  </si>
  <si>
    <t>GERIATRICS</t>
  </si>
  <si>
    <t>Alzheimer's disease; in-hospital mortality; XGBoost; SHAP; logistic regression; risk prediction; comorbidities; explainable AI</t>
  </si>
  <si>
    <t>UNITED-STATES; ASSOCIATION; DYSPHAGIA; DEMENTIA; OUTCOMES</t>
  </si>
  <si>
    <t>2308-3417</t>
  </si>
  <si>
    <t>GERIATRICS-BASEL</t>
  </si>
  <si>
    <t>Geriatrics</t>
  </si>
  <si>
    <t>10.3390/geriatrics11020023</t>
  </si>
  <si>
    <t>http://dx.doi.org/10.3390/geriatrics11020023</t>
  </si>
  <si>
    <t>HA8MD</t>
  </si>
  <si>
    <t>41873958</t>
  </si>
  <si>
    <t>WOS:001749657700001</t>
  </si>
  <si>
    <t>Makkena, KR; Natarajan, K</t>
  </si>
  <si>
    <t>Cirrhosis is a form of Chronic Liver Disease (CLD) resulting from sustained liver damage from several causes, including viral infection, autoimmune disorders, cholestatic and metabolic disease Non-Alcoholic Fatty Liver Disease (NAFLD) or heavy alcohol use. Testing for the presence of Liver Cirrhosis (LC) is one of the most critical diagnostics and prognostic assessments for patients. Detecting liver illness in its early stages is challenging as initial symptoms are often mild and difficult to diagnose. Cirrhosis may not present symptoms until an advanced stage, posing a challenge for identification and diagnosis. The lack of explanations for a complex model's decision-making process creates clinician distrust by concealing the reasoning behind its choices. This research sought to design and assess a novel and non-invasive proposed model by utilizing the XGBoost classifier with Explainable Artificial Intelligence (XAI) for diagnosing liver cirrhosis. In this work XAI framework enhances transparency in complex models, offering valuable insights into decision-making, thereby guiding treatment strategies, and improving cirrhosis diagnosis. The experimental results have shown superiority for the proposed method compared with various machine learning models. The proposed method has achieved significantly 91.19% using XGBoost for cirrhosis dataset with K-fold validation(K=10) approach.</t>
  </si>
  <si>
    <t>Makkena, Koteswara Rao; Natarajan, Karthika</t>
  </si>
  <si>
    <t>Natarajan, K (corresponding author), VIT AP Univ, Sch Comp Sci &amp; Engn, Amaravati 522237, Andhra Pradesh, India.</t>
  </si>
  <si>
    <t>karthika.n@vitap.ac.in</t>
  </si>
  <si>
    <t>[Makkena, Koteswara Rao; Natarajan, Karthika] VIT AP Univ, Sch Comp Sci &amp; Engn, Amaravati 522237, Andhra Pradesh, India</t>
  </si>
  <si>
    <t>VIT-AP University</t>
  </si>
  <si>
    <t>Enhancing Liver Cirrhosis Diagnosis Using Machine Learning With Explainable AI and Cross-Validated Hyperparameter Tuning Techniques</t>
  </si>
  <si>
    <t>Predictive models; Correlation; Analytical models; Explainable AI; Liver diseases; Copper; Accuracy; Random forests; Mortality; Biological system modeling; Cirrhosis; grid search; k-fold; stratified k-fold; explainable artificial intelligence (XAI)</t>
  </si>
  <si>
    <t>21PHD7131, KOTESWARA RAO MAKKENA/0000-0001-6748-3420; , karthika/0000-0002-6700-583X</t>
  </si>
  <si>
    <t>93323</t>
  </si>
  <si>
    <t>93335</t>
  </si>
  <si>
    <t>10.1109/ACCESS.2025.3568918</t>
  </si>
  <si>
    <t>http://dx.doi.org/10.1109/ACCESS.2025.3568918</t>
  </si>
  <si>
    <t>3KL9I</t>
  </si>
  <si>
    <t>WOS:001502499300028</t>
  </si>
  <si>
    <t>Sun, F; Isovic, D; Dodig-Crnkovic, G</t>
  </si>
  <si>
    <t>AI systems generate ethical tensions that cannot be addressed through principle-based guidance alone. This paper brings forward an Integrated Axiology-MCDA Framework for AI ethics that distinguishes intrinsic, instrumental, and relational values and uses multi-criteria analysis to operationalize value pluralism in practice. The framework structures ethical evaluation by making value commitments explicit, enabling transparent examination of trade-offs, and supporting context-sensitive judgment. A healthcare hyper-scenario with sensitivity analysis shows how different weight configurations influence the relative acceptability of diagnostic systems and clarifies the thresholds at which accuracy considerations outweigh privacy or fairness. Cross-domain applications in education, criminal justice, and finance further illustrate how domain-specific value tensions require distinct criteria sets and weighting structures. The analysis shows that ethical challenges in AI arise from genuine value pluralism. Explicit value classification enables more accountable decision making across the AI lifecycle.</t>
  </si>
  <si>
    <t>Sun, Fei; Isovic, Damir; Dodig-Crnkovic, Gordana</t>
  </si>
  <si>
    <t>Sun, F (corresponding author), Malardalen Univ, Dept Comp Sci, S-72126 Vasteras, Sweden.</t>
  </si>
  <si>
    <t>damir.isovic@mdu.se; fei.sun@mdu.se; gordana.dodig-crnkovic@chalmers.se</t>
  </si>
  <si>
    <t>[Sun, Fei; Isovic, Damir] Malardalen Univ, Dept Comp Sci, S-72126 Vasteras, Sweden; [Dodig-Crnkovic, Gordana] Chalmers Univ Technol, S-41296 Gothenburg, Sweden</t>
  </si>
  <si>
    <t>Malardalen University; Chalmers University of Technology</t>
  </si>
  <si>
    <t>Operationalizing Pluralist AI Governance with the Integrated Axiology-MCDA Framework</t>
  </si>
  <si>
    <t>AI ethics; axiology; value pluralism; relational values; multi-criteria decision analysis; sensitivity analysis</t>
  </si>
  <si>
    <t>VALUES</t>
  </si>
  <si>
    <t>Dodig-Crnkovic, Gordana/P-8682-2019</t>
  </si>
  <si>
    <t>10.3390/philosophies11030093</t>
  </si>
  <si>
    <t>http://dx.doi.org/10.3390/philosophies11030093</t>
  </si>
  <si>
    <t>KA3MZ</t>
  </si>
  <si>
    <t>WOS:001802233300001</t>
  </si>
  <si>
    <t>Pordel, EM; Akopian, D; Chalela, P; Velez, LF</t>
  </si>
  <si>
    <t>Conversational artificial intelligence (AI) is increasingly being used in healthcare to encourage behavioral modification, information dissemination, and patient engagement. However, its effectiveness depends on high-quality, domain-specific training data. General-purpose datasets are often inadequate in terms of clinical specificity and dialog coherence, particularly in sensitive domains like smoking cessation. This study introduces a curated question-and-answer dataset comprising 3000 Q&amp;A pairs from reputable health resources, including expert-authored guidelines and cessation programs. Each entry is annotated with metadata reflecting informational intent, action-oriented content, and user engagement signals, supporting both single-turn and multi-turn conversational modeling. A compact generative language model, Chat Generative Pre-trained Transformer 4o-mini (ChatGPT-4o-mini), was fine-tuned using this dataset and compared against the pretrained base model using BLEU, ROUGE-L, and BERTScore metrics, assessing syntactic accuracy, lexical coverage, and semantic alignment. The fine-tuned model demonstrated improved response clarity, conversational coherence, and adherence to evidence-based content. This study emphasizes methodological benchmarking and model performance rather than behavioral or clinical outcomes, isolating the model-optimization layer to assess how curated, domain-specific training data influence response quality under controlled conditions. By contributing a reproducible pipeline for dataset construction and evaluation, this work supports safe and effective conversational agents in healthcare contexts and promotes responsible AI practices in digital health applications.Statement of significanceThe success of large language model (LLM)-based conversational agents depends on access to high-quality, domain-specific training data. However, such data is typically absent from models trained on general web corpora. Smoking cessation, as a behavior-change domain with substantial clinical burden and health disparities, requires emotionally attuned and evidence-based messaging to be effective. Rather than introducing a new smoking cessation intervention, this study contributes a reproducible methodological framework for evaluating how curated, evidence-based datasets influence LLM behavior in health education contexts. By isolating the dataset-to-model performance relationship, this work provides a technical foundation that complements prior user-centered intervention studies and supports responsible development of conversational AI systems prior to behavioral deployment. This study contributes a rigorously curated dataset drawn from evidence-based sources, annotated with metadata for motivational framing, tone, and dialogue intent. In parallel, we present a methodology for fine-tuning LLMs and evaluating performance in both single-turn and multi-turn conversational settings.</t>
  </si>
  <si>
    <t>Pordel, Ebrahim Mellatdoust; Akopian, David; Chalela, Patricia; Velez, Luis F.</t>
  </si>
  <si>
    <t>Pordel, EM (corresponding author), Univ Texas San Antonio, Dept Elect &amp; Comp Engn, One UTSA Circle, San Antonio, TX 78249 USA.</t>
  </si>
  <si>
    <t>Ebrahim.MellatdoustPordel@utsa.edu</t>
  </si>
  <si>
    <t>Cancer Prevention and Research Institute of Texas</t>
  </si>
  <si>
    <t>Cancer Prevention and Research Institute of Texas (Cancer Prevention &amp; Research Institute of Texas)</t>
  </si>
  <si>
    <t>This research is supported in part by a grant from the Cancer Prevention and Research Institute of Texas (CPRIT).</t>
  </si>
  <si>
    <t>[Pordel, Ebrahim Mellatdoust; Akopian, David] Univ Texas San Antonio, Dept Elect &amp; Comp Engn, One UTSA Circle, San Antonio, TX 78249 USA; [Chalela, Patricia; Velez, Luis F.] Univ Texas San Antonio, Inst Hlth Promot Res IHPR, UT Hlth San Antonio, 7535 Hillside Dr, San Antonio, TX 78229 USA</t>
  </si>
  <si>
    <t>University of Texas System; University of Texas at San Antonio; University of Texas System; University of Texas at San Antonio</t>
  </si>
  <si>
    <t>Dataset development and performance analysis of a specialized conversational artificial intelligence model for targeted smoking cessation dialogues</t>
  </si>
  <si>
    <t>HEALTH EDUCATION RESEARCH</t>
  </si>
  <si>
    <t>UNITED-STATES</t>
  </si>
  <si>
    <t>0268-1153</t>
  </si>
  <si>
    <t>1465-3648</t>
  </si>
  <si>
    <t>HEALTH EDUC RES</t>
  </si>
  <si>
    <t>Health Educ. Res.</t>
  </si>
  <si>
    <t>cyag019</t>
  </si>
  <si>
    <t>10.1093/her/cyag019</t>
  </si>
  <si>
    <t>http://dx.doi.org/10.1093/her/cyag019</t>
  </si>
  <si>
    <t>Education &amp; Educational Research; Public, Environmental &amp; Occupational Health</t>
  </si>
  <si>
    <t>JL1UA</t>
  </si>
  <si>
    <t>42287707</t>
  </si>
  <si>
    <t>WOS:001791942500001</t>
  </si>
  <si>
    <t>Xu, J; Liu, H; Li, GS; Mi, WJ; Gallagher, M; Feng, YL</t>
  </si>
  <si>
    <t>Background: Model drift is a major challenge for applications of clinical prediction models. We aimed to investigate the effect of two strategies to mitigate model drift based on a previously reported prediction model for acute kidney injury (AKI). Methods: Deidentified electronic medical data of inpatients in Sichuan Provincial People's Hospital from January 1, 2019, to December 31, 2022, were collected. AKI was defined by the KDIGO criteria. The top 50 laboratory variables, alongside with sex, age, and the top 20 prescribed medicines were included as predictive variables. In model optimization, the convolution neural network module was replaced by a self-attention module. Periodical refitting with accumulative data was also conducted before temporally external validations. The performance of the innovated model (ATRN) was compared with the previous model (ATCN) and other four models. Results: A total of 150,373 admissions were identified. The annual incidences of AKI varied between 5.57% and 5.8%. The performance of the models which had used temporal features profoundly declined over time. The ATRN model with module more suitable to capture short-term time dependencies outperformed the other five models both in C-statistics and recall rates perspectives. Periodic refitting the prediction model with accumulative data also helped to effectively mitigate the model drift, especially in models with time series data. Conclusions: Enhancing the model's ability to capture short-term time dependencies in time series data and periodic refitting with accumulative data were both capable of mitigating the model drift. The best improvement of model performance was observed in the combination of these two strategies.</t>
  </si>
  <si>
    <t>Xu, Jie; Liu, Heng; Li, Guisen; Mi, Wenjun; Gallagher, Martin; Feng, Yunlin</t>
  </si>
  <si>
    <t>Feng, YL (corresponding author), Univ Elect Sci &amp; Technol China, Sichuan Prov Peoples Hosp, Dept Nephrol, Chengdu 610072, Peoples R China.; Feng, YL (corresponding author), Univ New South Wales, George Inst Global Hlth, Renal Div, Sydney 2402, Australia.</t>
  </si>
  <si>
    <t>fengyunlin@med.uestc.edu.cn</t>
  </si>
  <si>
    <t>National Natural Science Foundation of China; Sichuan Province Science and Technology Support Program [2023YFSY0027, 2021YFG0307, 2022YFG0319]; Australian Government Research Training Program Scholarship (RTP); Faculty of Medicine</t>
  </si>
  <si>
    <t>National Natural Science Foundation of China (National Natural Science Foundation of China (NSFC)); Sichuan Province Science and Technology Support Program; Australian Government Research Training Program Scholarship (RTP); Faculty of Medicine</t>
  </si>
  <si>
    <t>This work was partly supported by the National Natural Science Foundation of China (nos. 81800613 and 62071098) and Sichuan Province Science and Technology Support Program (nos. 2023YFSY0027, 2021YFG0307, and 2022YFG0319). Yunlin Feng was supported in part by an Australian Government Research Training Program Scholarship (RTP) for study toward a PhD in the Faculty of Medicine.</t>
  </si>
  <si>
    <t>[Xu, Jie; Liu, Heng] Univ Elect Sci &amp; Technol China, Sch Informat &amp; Commun Engn, Chengdu 610072, Peoples R China; [Li, Guisen; Feng, Yunlin] Univ Elect Sci &amp; Technol China, Sichuan Prov Peoples Hosp, Dept Nephrol, Chengdu 610072, Peoples R China; [Mi, Wenjun] Univ Elect Sci &amp; Technol China, Sichuan Prov Peoples Hosp, Med Informat Ctr, Chengdu 610072, Peoples R China; [Gallagher, Martin; Feng, Yunlin] Univ New South Wales, George Inst Global Hlth, Renal Div, Sydney 2402, Australia</t>
  </si>
  <si>
    <t>University of Electronic Science &amp; Technology of China; Sichuan Provincial People's Hospital; University of Electronic Science &amp; Technology of China; University of Electronic Science &amp; Technology of China; Sichuan Provincial People's Hospital; George Institute for Global Health; University of New South Wales Sydney</t>
  </si>
  <si>
    <t>Strategies to Mitigate Model Drift of a Machine Learning Prediction Model for Acute Kidney Injury in General Hospitalization</t>
  </si>
  <si>
    <t>acute kidney injury; machine learning; model drift; prediction model; short-term time dependency</t>
  </si>
  <si>
    <t>Li, Guisen/AAS-9461-2021; /AGM-5863-2022</t>
  </si>
  <si>
    <t>Li, Guisen/0000-0003-1970-9979</t>
  </si>
  <si>
    <t>2240862</t>
  </si>
  <si>
    <t>10.1155/int/2240862</t>
  </si>
  <si>
    <t>http://dx.doi.org/10.1155/int/2240862</t>
  </si>
  <si>
    <t>X9Z0K</t>
  </si>
  <si>
    <t>WOS:001428824100001</t>
  </si>
  <si>
    <t>Lopez-Ramos, LM; Pluktaite, G; Bui, CKT; Amann, J; Haven, T; Madai, VI</t>
  </si>
  <si>
    <t>BackgroundA majority of AI ethics frameworks focus on high-level principles but lack actionable guidance. Effectively implementing AI in projects requires the operationalization of AI ethics, translating principles into requirements. This paper proposes a novel method for operationalizing AI ethics through co-creation workshops.MethodsThe study adopted a qualitative, participatory research approach. Stakeholders from the VALIDATE project, a Horizon Europe action developing an AI-based clinical decision support system for stroke patient stratification, were divided into five diverse teams. The workshops aimed to: (i) determine the low-level ethical requirements stakeholders considered essential for the project, and (ii) identify requirements not included in the EU Trustworthy AI Guidelines. The methodology included storytelling, content analysis to identify ethical issues and dilemmas, eliciting quantifiable requirements using a standardized planning language (Planguage), and a procedural feedback process.ResultsThe workshops identified explainability, privacy, model robustness, model validity, epistemic authority, fairness, and transparency as key ethical issues. Participants drafted low-level requirements related to privacy, explainability, transparency, and validity. Six issues (time sensitivity, validity, prevention of harm to patients, patient-inclusive care, quality of life, and lawsuit prevention) could not be mapped to the EU Guidelines. Participants did not draft requirements in relation to the latter issues. Challenges included the diverse interpretations of concepts, such as validity. Participants generally had favorable impressions of the workshops, although they found formulating requirements in Planguage format more challenging than storytelling and topic prioritization.ConclusionsThe workshops elicited concrete, quantifiable, and actionable requirements, which were useful in developing a project-specific ethical framework. The proposed methodology is resource-efficient and requires fewer AI ethics experts than existing methods while remaining compatible with established guidelines. Procedural feedback results suggest that participants and facilitators would benefit from additional training in the use of Planguage. Potential challenges included the impact of power dynamics among participants on discussions, blind spots due to overlooked issues, and the absence of stroke patients among the participants.</t>
  </si>
  <si>
    <t>Lopez-Ramos, Luis M.; Pluktaite, Gabriele; Bui, Cathrine K. T.; Amann, Julia; Haven, Tamarinde; Madai, Vince I.</t>
  </si>
  <si>
    <t>Madai, VI (corresponding author), Charite Univ Med Berlin, Berlin Inst Hlth, QUEST Ctr Responsible Res, Berlin, Germany.</t>
  </si>
  <si>
    <t>vince_istvan.madai@bih-charite.de</t>
  </si>
  <si>
    <t>Charit - Universittsmedizin Berlin (3093)</t>
  </si>
  <si>
    <t>The authors would like to thank the 20 study participants who devoted their time to participating in the workshops and sharing their stories, knowledge, and opinions: Adam Hilbert, Susanne Bonekamp, Dietmar Frey, John Kelleher, Ronen Leker, Felix Lohrke, Aditya Rastogi, Jana Rieger, Inga Strumke, Malte Von Tottleben, Ingo Werren, and 9 participants who opted to remain anonymous.</t>
  </si>
  <si>
    <t>[Lopez-Ramos, Luis M.] Simula Metropolitan Ctr Digital Engn, Dept Holist Syst, Oslo, Norway; [Pluktaite, Gabriele; Bui, Cathrine K. T.; Madai, Vince I.] Charite Univ Med Berlin, Berlin Inst Hlth, QUEST Ctr Responsible Res, Berlin, Germany; [Amann, Julia] Careum Fdn, Strategy &amp; Innovat, Zurich, Switzerland; [Haven, Tamarinde] Tilburg Univ, Sch Social &amp; Behav Sci, Dept Methodol &amp; Stat, Tilburg, Netherlands</t>
  </si>
  <si>
    <t>Free University of Berlin; Humboldt University of Berlin; Charite Universitatsmedizin Berlin; Berlin Institute of Health; Tilburg University</t>
  </si>
  <si>
    <t>VALIDATE Consortium</t>
  </si>
  <si>
    <t>Operationalizing AI ethics in medicine-a co-creation workshop study</t>
  </si>
  <si>
    <t>AI ethics; Co-creation; Ethical principles; Content analysis</t>
  </si>
  <si>
    <t>REQUIREMENTS</t>
  </si>
  <si>
    <t>Amann, Julia/AAA-4127-2019; Lopez Ramos, Luis Miguel/PLD-1115-2026; Haven, Tamarinde/JHU-4680-2023; Madai, Vince/GYD-7365-2022</t>
  </si>
  <si>
    <t>Haven, Tamarinde/0000-0002-4702-2472; Amann, Julia/0000-0003-2155-5286; Lopez-Ramos, Luis Miguel/0000-0001-8072-3994; Madai, Vince/0000-0002-8552-6954; Pluktaite, Gabriele/0009-0004-1844-9073</t>
  </si>
  <si>
    <t>OCT 29 2025</t>
  </si>
  <si>
    <t>10.1186/s12910-025-01317-y</t>
  </si>
  <si>
    <t>http://dx.doi.org/10.1186/s12910-025-01317-y</t>
  </si>
  <si>
    <t>9DG3K</t>
  </si>
  <si>
    <t>41162976</t>
  </si>
  <si>
    <t>WOS:001603584200001</t>
  </si>
  <si>
    <t>Zhu, XY; Li, W; Yuan, GL; Pan, XY</t>
  </si>
  <si>
    <t>BackgroundCardiovascular disease constitutes the most formidable public health challenge in China, accounting for 48.98% and 47.35% of mortality in rural and urban populations, respectively, affecting approximately 330 million individuals. Existing risk stratification models predominantly derive from Western populations, with the Framingham Risk Equation systematically overestimating cardiovascular risk by 276% in Chinese men and 102% in Chinese women, underscoring the critical imperative for population-specific predictive instruments. Although machine learning methodologies demonstrate considerable promise in cardiovascular risk prognostication, their inherent "black-box" characteristics substantially impede clinical translational implementation.ObjectiveLeveraging longitudinal cohort data from the China Health and Retirement Longitudinal Study (CHARLS) and integrating machine learning with explainable artificial intelligence techniques, we sought to develop and validate a cardiovascular disease long-term risk prediction model tailored to the Chinese middle-aged and elderly population, achieving optimal synthesis of predictive accuracy and clinical interpretability through quantitative risk factor contribution analysis.MethodsWe incorporated four waves of CHARLS surveillance data spanning 2011-2020, with 8,080 participants aged &gt;= 45 years completing 9-year follow-up after rigorous inclusion criteria application. Recursive feature elimination was employed to identify optimal predictors from 90 candidate variables. We systematically evaluated 12 machine learning algorithms encompassing linear, non-linear, ensemble learning, and deep learning methodologies, utilizing stratified random 7:3 partitioning for training and validation cohorts. SHAP (SHapley Additive exPlanations) methodology facilitated comprehensive global and local interpretability analyses, with decision curve analysis assessing clinical net benefit.ResultsAmong 5,699 training cohort participants, 1,248 (21.9%) experienced cardiovascular events during follow-up. Recursive feature elimination identified 18 pivotal predictive factors spanning lipid metabolism, anthropometric parameters, renal function, and glucose homeostasis domains. The gradient boosting machine demonstrated superior comprehensive performance, achieving validation cohort AUC of 0.798 (95% CI: 0.776-0.820), specificity of 98%, and positive predictive value of 78%. SHAP analysis revealed waist circumference, triglycerides, and hypertension history as the three predominant predictive factors, with mean absolute SHAP values significantly exceeding other variables. Individual risk attribution analysis demonstrated substantial heterogeneity: extremely high-risk specimens (predicted probability 0.991) exhibited synergistic multi-factorial risk amplification, with standardized waist circumference contributing + 0.0778 SHAP value and triglycerides (477 mg/dL) contributing + 0.0729; conversely, low-risk specimens (predicted probability - 0.0393) demonstrated triglycerides (45.1 mg/dL) providing the maximal singular protective contribution of -0.166. Decision curve analysis confirmed positive net benefit across the 0-0.95 threshold probability spectrum, systematically surpassing conventional strategies.ConclusionsThe gradient boosting machine model achieved superior discrimination (AUC 0.798, 95% CI 0.785-0.825) compared to Framingham (0.638) and China-PAR (0.654) scores for 9-year cardiovascular disease prediction in Chinese adults aged &gt;= 45 years.Waist circumference, triglycerides, and hypertension emerged as principal predictive features, though SHAP-derived importance reflects statistical contribution rather than causal effects. Decision curve analysis demonstrated clinical utility across threshold probabilities 0.05-0.95, enabling flexible deployment from population screening (98.3% sensitivity) to targeted intervention (98.7% specificity). External validation in independent cohorts is essential to establish generalizability before clinical implementation.Clinical trial number Not applicable.</t>
  </si>
  <si>
    <t>Zhu, Xing-Yu; Li, Wei; Yuan, Guo-Liang; Pan, Xu-Yang</t>
  </si>
  <si>
    <t>Pan, XY (corresponding author), Shuyang Hosp Tradit Chinese Med, Dept Cardiovasc Med, Shuyang 223600, Jiangsu, Peoples R China.</t>
  </si>
  <si>
    <t>panxuyangpanxy@163.com</t>
  </si>
  <si>
    <t>Jiangsu Provincial Traditional Chinese Medicine and Integrated Traditional Chinese and Western Medicine Research Project [CYTF2026129]</t>
  </si>
  <si>
    <t>Jiangsu Provincial Traditional Chinese Medicine and Integrated Traditional Chinese and Western Medicine Research Project</t>
  </si>
  <si>
    <t>This work was supported by the Jiangsu Provincial Traditional Chinese Medicine and Integrated Traditional Chinese and Western Medicine Research Project (Grant No. CYTF2026129).</t>
  </si>
  <si>
    <t>[Zhu, Xing-Yu; Li, Wei; Yuan, Guo-Liang; Pan, Xu-Yang] Shuyang Hosp Tradit Chinese Med, Dept Cardiovasc Med, Shuyang 223600, Jiangsu, Peoples R China</t>
  </si>
  <si>
    <t>Decoding cardiovascular risk in Chinese middle-aged and elderly adults: a 9-year prospective study integrating machine learning with explainable AI based on CHARLS cohort</t>
  </si>
  <si>
    <t>Cardiovascular disease prediction; Machine learning; Explainable artificial intelligence; SHAP analysis; Gradient boosting machine; Chinese middle-aged and elderly population; CHARLS cohort; Risk stratification</t>
  </si>
  <si>
    <t>DISEASE RISK; MISSING DATA; HEALTH</t>
  </si>
  <si>
    <t>10.1186/s12911-026-03389-1</t>
  </si>
  <si>
    <t>http://dx.doi.org/10.1186/s12911-026-03389-1</t>
  </si>
  <si>
    <t>FZ4BY</t>
  </si>
  <si>
    <t>41749231</t>
  </si>
  <si>
    <t>WOS:001731021900001</t>
  </si>
  <si>
    <t>Ahmed, I; Brahmacharimayum, A; Ali, RH; Khan, TA; Ahmad, MO</t>
  </si>
  <si>
    <t>Background: Depression is one of the most prevalent mental health disorders globally, affecting approximately 280 million people and frequently going undiagnosed or misdiagnosed. The growing ubiquity of wearable devices enables continuous monitoring of activity levels, providing a new avenue for data-driven detection and severity assessment of depression. However, existing machine learning models often exhibit lower performance when distinguishing overlapping subtypes of depression and frequently lack explainability, an essential component for clinical acceptance. Objective: This study aimed to develop and evaluate an interpretable machine learning framework for detecting depression and classifying its severity using wearable-actigraphy data, while addressing common challenges such as imbalanced datasets and limited model transparency. Methods: We used the Depresjon dataset and applied Adaptive Synthetic Sampling (ADASYN) to mitigate class imbalance. We extracted multiple statistical features (eg, power spectral density mean and autocorrelation) and demographic attributes (eg, age) from the raw activity data. Five machine learning algorithms (logistic regression, support vector machines, random forest, XGBoost, and neural networks) were assessed via accuracy, precision, recall, F1-score, specificity, and Matthew correlation constant. We further used Shapley Additive Explanations (SHAP) and Local Interpretable Model-agnostic Explanations (LIME) to elucidate prediction drivers. Results: XGBoost achieved the highest overall accuracy of 84.94% for binary classification and 85.91% for multiclass severity. SHAP and LIME revealed power spectral density mean, age, and autocorrelation as top predictors, highlighting circadian disruptions' role in depression. Conclusions: Our interpretable framework reliably identifies depressed versus nondepressed individuals and differentiates mild from moderate depression. The inclusion of SHAP and LIME provides transparent, clinically meaningful insights, emphasizing the potential of explainable artificial intelligence to enhance early detection and intervention strategies in mental health care.</t>
  </si>
  <si>
    <t>Ahmed, Iftikhar; Brahmacharimayum, Anushree; Ali, Raja Hashim; Khan, Talha Ali; Ahmad, Muhammad Ovais</t>
  </si>
  <si>
    <t>Ahmad, MO (corresponding author), Karlstad Univ, Dept Math &amp; Comp Sci, Universitetsgatan 2, S-65188 Karlstad, Sweden.</t>
  </si>
  <si>
    <t>ovais.ahmad@kau.se</t>
  </si>
  <si>
    <t>[Ahmed, Iftikhar; Brahmacharimayum, Anushree; Ali, Raja Hashim; Khan, Talha Ali] Univ Europe Appl Sci, Dept Software Engn, Potsdam, Germany; [Ahmad, Muhammad Ovais] Karlstad Univ, Dept Math &amp; Comp Sci, Universitetsgatan 2, S-65188 Karlstad, Sweden</t>
  </si>
  <si>
    <t>Karlstad University</t>
  </si>
  <si>
    <t>Explainable AI for Depression Detection and Severity Classification From Activity Data: Development and Evaluation Study of an Interpretable Framework</t>
  </si>
  <si>
    <t>artificial intelligence; explainable AI; depression; mental health; machine learning; activity data</t>
  </si>
  <si>
    <t>SYMPTOMS</t>
  </si>
  <si>
    <t>Ahmad, Iftikhar/ABE-5182-2021; Khan, Talha Ali/HGT-8562-2022; Ahmad, Muhammad Ovais/F-7679-2012</t>
  </si>
  <si>
    <t>Ahmad, Iftikhar/0000-0001-7863-3746; Ahmad, Muhammad Ovais/0000-0002-7885-0369; Ali, Raja Hashim/0000-0002-9068-2337</t>
  </si>
  <si>
    <t>e72038</t>
  </si>
  <si>
    <t>10.2196/72038</t>
  </si>
  <si>
    <t>http://dx.doi.org/10.2196/72038</t>
  </si>
  <si>
    <t>7FG0M</t>
  </si>
  <si>
    <t>40934462</t>
  </si>
  <si>
    <t>WOS:001569619000002</t>
  </si>
  <si>
    <t>Dutta, A; Ramamoorthy, A; Lakshmi, MG; Kumar, PK; Ghosh, S</t>
  </si>
  <si>
    <t>The rapid dissemination of graphic and violent imagery in recent times has outpaced existing moderation tools, and yet most public benchmarks focus on only one type of inappropriate content and treat moderation as a simple binary task-Pornography vs. Neutral. This research introduces C4Censor, a lightweight, multi-class image benchmark for fine-grained censorship across four high-risk categories Blood &amp; Gore, Pornography, Terrorism, and Neutral-each subdivided into three challenging subclasses (e.g., Hentai vs. Anime, Counter-Terrorism vs. War-Crimes) with 500 images per subclass, for a total of 6k images. All visuals were scraped from publicly accessible sources-gaming streams (YouTube, Twitch), medical procedure archives, specialty NSFW (not safe for work) collections, X (formerly Twitter) and Telegram channels tracking extremist activity, and curated public websites-and each image was manually annotated at both the coarse (4-way) and fine (12-way) levels. Unlike existing datasets that are either binary or single-domain (e.g., porn vs. Neutral, violence vs. non-violence), C4Censor presents a unified, balanced, and multi-modal challenge. In benchmarking nine state-of-the-art deep-learning models, even top Vision Transformer variants achieved only 62.1% top-1 accuracy, underscoring both the dataset's complexity and the pressing need for more robust censorship algorithms.</t>
  </si>
  <si>
    <t>Dutta, Anurag; Ramamoorthy, A.; Lakshmi, M. Gayathri; Kumar, Pijush Kanti; Ghosh, Soubhik</t>
  </si>
  <si>
    <t>Dutta, A (corresponding author), Govt Coll Engn &amp; Text Technol, Dept Comp Sci &amp; Engn, Kolkata, India.</t>
  </si>
  <si>
    <t>soubhikghosh@cemk.ac.in; anuragdutta@ieee.org; pijush752000@gcetts.ac.in; drramamoorthya@veltech.edu.in; gayathrilakshmi@saveetha.ac.in</t>
  </si>
  <si>
    <t>[Dutta, Anurag] Govt Coll Engn &amp; Text Technol, Dept Comp Sci &amp; Engn, Kolkata, India; [Ramamoorthy, A.] Vel Tech Rangarajan Dr Sagunthala R&amp;D Inst Sci &amp; T, Dept Math, Avadi, India; [Lakshmi, M. Gayathri] Saveetha Engn Coll, Dept Math, Chennai, India; [Kumar, Pijush Kanti] Govt Coll Engn &amp; Text Technol, Dept Informat Technol, Kolkata, India; [Ghosh, Soubhik] Coll Engn &amp; Management, Dept Comp Sci &amp; Engn, Kolaghat, W Bengal, India</t>
  </si>
  <si>
    <t>Vel Tech Rangarajan Dr Sagunthala R&amp;D Institute of Science &amp; Technology</t>
  </si>
  <si>
    <t>C4Censor: A Lightweight Benchmark dataset for Inappropriate Content Detection</t>
  </si>
  <si>
    <t>Classification; Deep learning; Responsible artificial intelligence (RAI)</t>
  </si>
  <si>
    <t>IMAGE</t>
  </si>
  <si>
    <t>LAKSHMI, M GAYATHRI/IST-7578-2023; Dutta, Anurag/JFT-0732-2023; A, Ramamoorthy/IZE-8299-2023</t>
  </si>
  <si>
    <t>LAKSHMI, M GAYATHRI/0000-0003-0401-7638; Dutta, Anurag/0000-0002-5787-3860</t>
  </si>
  <si>
    <t>MAR 9 2026</t>
  </si>
  <si>
    <t>10.1007/s42001-026-00462-7</t>
  </si>
  <si>
    <t>http://dx.doi.org/10.1007/s42001-026-00462-7</t>
  </si>
  <si>
    <t>EW9CO</t>
  </si>
  <si>
    <t>WOS:001711679800001</t>
  </si>
  <si>
    <t>Zhang, ZQ; Yan, C; Malin, BA</t>
  </si>
  <si>
    <t>Objective Synthetic data are increasingly relied upon to share electronic health record (EHR) data while maintaining patient privacy. Current simulation methods can generate longitudinal data, but the results are unreliable for several reasons. First, the synthetic data drifts from the real data distribution over time. Second, the typical approach to quality assessment, which is based on the extent to which real records can be distinguished from synthetic records using a critic model, often fails to recognize poor simulation results. In this article, we introduce a longitudinal simulation framework, called LS-EHR, which addresses these issues. Materials and methods LS-EHR enhances simulation through conditional fuzzing and regularization, rejection sampling, and prior knowledge embedding. We compare LS-EHR to the state-of-the-art using data from 60 000 EHRs from Vanderbilt University Medical Center (VUMC) and the All of Us Research Program. We assess discrimination between real and synthetic data over time. We evaluate the generation process and critic model using the area under the receiver operating characteristic curve (AUROC). For the critic, a higher value indicates a more robust model for quality assessment. For the generation process, a lower value indicates better synthetic data quality. Results The LS-EHR critic improves discrimination AUROC from 0.655 to 0.909 and 0.692 to 0.918 for VUMC and All of Us data, respectively. By using the new critic, the LS-EHR generation model reduces the AUROC from 0.909 to 0.758 and 0.918 to 0.806. Conclusion LS-EHR can substantially improve the usability of simulated longitudinal EHR data.</t>
  </si>
  <si>
    <t>Zhang, Ziqi; Yan, Chao; Malin, Bradley A.</t>
  </si>
  <si>
    <t>Zhang, ZQ (corresponding author), Vanderbilt Univ, Dept Comp Sci, 2525 West End Ave, Nashville, TN 37235 USA.</t>
  </si>
  <si>
    <t>ziqi.zhang@vanderbilt.edu</t>
  </si>
  <si>
    <t>NIH [U2COD023196, UL1TR002243]; National Center for Advancing Translational Sciences [UL1TR002243] Funding Source: NIH RePORTER</t>
  </si>
  <si>
    <t>NIH (United States Department of Health &amp; Human Services, National Institutes of Health (NIH) - USA); National Center for Advancing Translational Sciences (United States Department of Health &amp; Human Services, National Institutes of Health (NIH) - USA, NIH National Center for Advancing Translational Sciences (NCATS))</t>
  </si>
  <si>
    <t>This work was supported by the NIH (U2COD023196 and UL1TR002243).</t>
  </si>
  <si>
    <t>[Zhang, Ziqi; Malin, Bradley A.] Vanderbilt Univ, Dept Comp Sci, 2525 West End Ave, Nashville, TN 37235 USA; [Yan, Chao; Malin, Bradley A.] Vanderbilt Univ, Dept Biomed Informat, Med Ctr, Nashville, TN 37240 USA; [Malin, Bradley A.] Vanderbilt Univ, Dept Biostat, Med Ctr, Nashville, TN 37240 USA</t>
  </si>
  <si>
    <t>Vanderbilt University; Vanderbilt University; Vanderbilt University</t>
  </si>
  <si>
    <t>Keeping synthetic patients on track: feedback mechanisms to mitigate performance drift in longitudinal health data simulation</t>
  </si>
  <si>
    <t>synthetic data; longitudinal simulation; electronic health records (EHRs); generative adversarial networks (GANs); privacy</t>
  </si>
  <si>
    <t>Malin, Bradley/KJR-0424-2024; Zhang, Ziqi/HHN-7875-2022</t>
  </si>
  <si>
    <t>Yan, Chao/0000-0002-6719-1388; Malin, Bradley/0000-0003-3040-5175</t>
  </si>
  <si>
    <t>OCT 7 2022</t>
  </si>
  <si>
    <t>1890</t>
  </si>
  <si>
    <t>1898</t>
  </si>
  <si>
    <t>10.1093/jamia/ocac131</t>
  </si>
  <si>
    <t>http://dx.doi.org/10.1093/jamia/ocac131</t>
  </si>
  <si>
    <t>5E7TM</t>
  </si>
  <si>
    <t>35927974</t>
  </si>
  <si>
    <t>WOS:000836140200001</t>
  </si>
  <si>
    <t>Li, FF; Caldeira, LL; Jaiswal, A; Hokamp, NG; Beyan, O; Kutafina, E</t>
  </si>
  <si>
    <t>Background The choice of image reconstruction approach, such as Iterative Model Reconstruction (IMR) and iDose4, is critical in computed tomography (CT) as distribution shifts between them can introduce systematic bias in clinical AI models, posing a barrier to efficient, scalable AI deployment in radiology. While Image-to-Image (I2I) translation offers a path toward harmonization, efficient and translation-feasible AI in radiology demands that such approaches be validated not only on image quality metrics but also on downstream clinical task performance.Methods We compared three harmonization strategies: CycleGAN, Denoising Diffusion Models, and a conventional Gaussian filter, using a paired CT dataset. Performance was evaluated using task-agnostic metrics, including Structural Similarity Index Measure (SSIM), Peak Signal-to-Noise Ratio (PSNR), Frechet Inception Distance (FID), and Sliced Wasserstein Distance (SWD). Crucially, we assessed clinical utility by measuring the downstream impact on multi-organ segmentation using Mean Relative Volume Error (RVE), focusing on consistency across reconstructed modes.Results Our findings reveal a significant discrepancy between visual fidelity and clinical utility. While Diffusion and CycleGAN models achieve competitive feature-level similarity, they introduce catastrophic systematic biases in downstream segmentation, particularly in adipose tissues (Body Composition Analysis, BCA), where volume errors can reach -100%, indicating a failure to preserve critical anatomical fat structures. In contrast, the computationally efficient Gaussian filter served as the most robust baseline, maintaining minimal RVE and the highest consistency between IMR and iDose4 modes.Conclusions The results suggest that in the context of efficient AI for radiology imaging, where efficiency encompasses not only computational cost but also reliability of clinical outputs, task-agnostic image quality metrics are insufficient proxies for downstream clinical performance. High-parameter generative models may introduce structural losses that remain invisible to such metrics yet critically affect clinical utility. The underperformance of generative approaches observed here is likely attributable to 3D slice inconsistencies during volumetric reconstruction and suboptimal model adaptation, rather than to an inherent limitation of I2I methods, which retain significant potential for mitigating reconstruction-related bias in radiology AI. Future work developing harmonization pipelines must therefore prioritize task-specific, clinically grounded validation as the primary benchmark-and carefully consider whether computationally simpler approaches, such as conventional filtering, may already provide comparably stable harmonization for specific use cases, before resorting to high-parameter generative solutions.</t>
  </si>
  <si>
    <t>Li, Feifei; Caldeira, Liliana Lourenco; Jaiswal, Astha; Hokamp, Nils Grosse; Beyan, Oya; Kutafina, Ekaterina</t>
  </si>
  <si>
    <t>Li, FF (corresponding author), Univ Cologne, Univ Hosp Cologne, Inst Biomed Informat, Fac Med, Cologne, Germany.</t>
  </si>
  <si>
    <t>fli6@smail.uni-koeln.de</t>
  </si>
  <si>
    <t>Deutsche Forschungsgemeinschaft</t>
  </si>
  <si>
    <t>Deutsche Forschungsgemeinschaft (German Research Foundation (DFG))</t>
  </si>
  <si>
    <t>The author(s) declared that financial support was received for this work and/or its publication. This work has received funding through the German Research Foundation (DFG) project NFDI4DS (No. 460234259).</t>
  </si>
  <si>
    <t>[Li, Feifei; Beyan, Oya; Kutafina, Ekaterina] Univ Cologne, Univ Hosp Cologne, Inst Biomed Informat, Fac Med, Cologne, Germany; [Caldeira, Liliana Lourenco; Jaiswal, Astha; Hokamp, Nils Grosse] Univ Cologne, Univ Hosp Cologne, Inst Diagnost &amp; Intervent Radiol, Fac Med, Cologne, Germany; [Beyan, Oya] FIT, Fraunhofer Inst Appl Informat Technol, FAIR Data &amp; Distributed Analyt Dept, Aachen, Germany</t>
  </si>
  <si>
    <t>University of Cologne; University of Cologne</t>
  </si>
  <si>
    <t>Potential of Image2Image translation in reducing AI bias attributed to differences in CT reconstruction methods: proof-of-concept study on a paired dataset</t>
  </si>
  <si>
    <t>FRONTIERS IN RADIOLOGY</t>
  </si>
  <si>
    <t>bias; CT reconstruction; generative AI; Image2Image translation; machine learning</t>
  </si>
  <si>
    <t>Große Hokamp, Nils/QMR-5937-2026</t>
  </si>
  <si>
    <t>2673-8740</t>
  </si>
  <si>
    <t>FRONT RADIOL</t>
  </si>
  <si>
    <t>Front. Radiol.</t>
  </si>
  <si>
    <t>1875867</t>
  </si>
  <si>
    <t>10.3389/fradi.2026.1875867</t>
  </si>
  <si>
    <t>http://dx.doi.org/10.3389/fradi.2026.1875867</t>
  </si>
  <si>
    <t>LD7UI</t>
  </si>
  <si>
    <t>42490963</t>
  </si>
  <si>
    <t>WOS:001822191800001</t>
  </si>
  <si>
    <t>Bae, SW; Suffoletto, B; Zhang, TZ; Chung, T; Ozolcer, M; Islam, MR; Dey, AK</t>
  </si>
  <si>
    <t>Background: Digital just-in-time adaptive interventions can reduce binge-drinking events (BDEs; consuming &gt;= 4 drinks for women and &gt;= 5 drinks for men per occasion) in young adults but need to be optimized for timing and content. Delivering just-in-time support messages in the hours prior to BDEs could improve intervention impact.Objective: We aimed to determine the feasibility of developing a machine learning (ML) model to accurately predict future, that is, same-day BDEs 1 to 6 hours prior BDEs, using smartphone sensor data and to identify the most informative phone sensor features associated with BDEs on weekends and weekdays to determine the key features that explain prediction model performance.Methods: We collected phone sensor data from 75 young adults (aged 21 to 25 years; mean 22.4, SD 1.9 years) with risky drinking behavior who reported their drinking behavior over 14 weeks. The participants in this secondary analysis were enrolled in a clinical trial. We developed ML models testing different algorithms (eg, extreme gradient boosting [XGBoost] and decision tree) to predict same-day BDEs (vs low-risk drinking events and non-drinking periods) using smartphone sensor data (eg, accelerometer and GPS). We tested various "prediction distance" time windows (more proximal: 1 hour; distant: 6 hours) from drinking onset. We also tested various analysis time windows (ie, the amount of data to be analyzed), ranging from 1 to 12 hours prior to drinking onset, because this determines the amount of data that needs to be stored on the phone to compute the model. Explainable artificial intelligence was used to explore interactions among the most informative phone sensor features contributing to the prediction of BDEs.Results: The XGBoost model performed the best in predicting imminent same-day BDEs, with 95% accuracy on weekends and 94.3% accuracy on weekdays (F1-score=0.95 and 0.94, respectively). This XGBoost model needed 12 and 9 hours of phone sensor data at 3-and 6-hour prediction distance from the onset of drinking on weekends and weekdays, respectively, prior to predicting same-day BDEs. The most informative phone sensor features for BDE prediction were time (eg, time of day) and GPS-derived features, such as the radius of gyration (an indicator of travel). Interactions among key features (eg, time of day and GPS-derived features) contributed to the prediction of same-day BDEs. Conclusions: We demonstrated the feasibility and potential use of smartphone sensor data and ML for accurately predicting imminent (same-day) BDEs in young adults. The prediction model provides "windows of opportunity," and with the adoptionof explainable artificial intelligence, we identified "key contributing features" to trigger just-in-time adaptive intervention prior to the onset of BDEs, which has the potential to reduce the likelihood of BDEs in young adults.Trial Registration: ClinicalTrials.gov NCT02918565; https://clinicaltrials.gov/ct2/show/NCT02918565</t>
  </si>
  <si>
    <t>Bae, Sang Won; Suffoletto, Brian; Zhang, Tongze; Chung, Tammy; Ozolcer, Melik; Islam, Mohammad Rahul; Dey, Anind K.</t>
  </si>
  <si>
    <t>Bae, SW (corresponding author), Stevens Inst Technol, Sch Syst &amp; Enterprises, Human Comp Interact &amp; Human Ctr AI Syst Lab, AI Healthcare Lab, 1 Castle Point Terrace, Hoboken, NJ 07030 USA.</t>
  </si>
  <si>
    <t>National Institute on Alcohol Abuse and Alcoholism [R01AA023650/R21AA030153]; Stevens Startup grant [1201606]; Stevens Provost scholarship [0467954]; National Institute on Alcohol Abuse and Alcoholism [R21AA030153] Funding Source: NIH RePORTER</t>
  </si>
  <si>
    <t>National Institute on Alcohol Abuse and Alcoholism (United States Department of Health &amp; Human Services, National Institutes of Health (NIH) - USA, NIH National Institute on Alcohol Abuse &amp; Alcoholism (NIAAA)); Stevens Startup grant; Stevens Provost scholarship; National Institute on Alcohol Abuse and Alcoholism (United States Department of Health &amp; Human Services, National Institutes of Health (NIH) - USA, NIH National Institute on Alcohol Abuse &amp; Alcoholism (NIAAA))</t>
  </si>
  <si>
    <t>This study was supported by the National Institute on Alcohol Abuse and Alcoholism (R01AA023650/R21AA030153) . This study was supported by the Stevens Startup grant (1201606) awarded to the first author (SWB) and the Stevens Provost scholarship (0467954) awarded to TZ. The authors are grateful for the financial support provided by these awards, which enabled the research to be conducted. The authors thank the individuals who participated in the study.</t>
  </si>
  <si>
    <t>[Bae, Sang Won; Zhang, Tongze; Ozolcer, Melik; Islam, Mohammad Rahul] Stevens Inst Technol, Sch Syst &amp; Enterprises, Human Comp Interact &amp; Human Ctr AI Syst Lab, AI Healthcare Lab, Hoboken, NJ USA; [Suffoletto, Brian] Stanford Univ, Dept Emergency Med, Stanford, CA USA; [Chung, Tammy] Rutgers State Univ, Inst Hlth Healthcare Policy &amp; Aging Res, Newark, NJ USA; [Dey, Anind K.] Univ Washington, Informat Sch, Seattle, WA USA; [Bae, Sang Won] Stevens Inst Technol, Sch Syst &amp; Enterprises, Human Comp Interact &amp; Human Ctr AI Syst Lab, AI Healthcare Lab, 1 Castle Point Terrace, Hoboken, NJ 07030 USA</t>
  </si>
  <si>
    <t>Stevens Institute of Technology; Stanford University; Stanford Medicine; Rutgers University System; Rutgers University Newark; Rutgers University New Brunswick; University of Washington; University of Washington Seattle; Stevens Institute of Technology</t>
  </si>
  <si>
    <t>Leveraging Mobile Phone Sensors, Machine Learning, and Explainable Artificial Intelligence to Predict Imminent Same-Day Binge-drinking Events to Support Just-in-time Adaptive Interventions: Algorithm Development and Validation Study</t>
  </si>
  <si>
    <t>alcohol consumption; binge-drinking event; BDE; behavioral prediction model; machine learning; smartphone sensors; passive sensing; explainable artificial intelligence; XAI; just-in-time adaptive interventions; JITAIs; mobile phone</t>
  </si>
  <si>
    <t>BEHAVIOR-CHANGE TECHNIQUES; YOUNG-ADULTS; ALCOHOL-USE; ASSESSMENTS</t>
  </si>
  <si>
    <t>Suffoletto, Brian/M-4800-2019; Bae, Sang Won/ABF-7315-2020; Dey, Anind K/B-1312-2008</t>
  </si>
  <si>
    <t>Suffoletto, Brian/0000-0002-9628-5260; Bae, Sang Won/0000-0002-2047-1358; Ozolcer, Melik/0000-0003-4251-0204; Zhang, Tongze/0000-0002-3375-7136; Dey, Anind K/0000-0002-3004-0770</t>
  </si>
  <si>
    <t>10.2196/39862</t>
  </si>
  <si>
    <t>http://dx.doi.org/10.2196/39862</t>
  </si>
  <si>
    <t>H8ON2</t>
  </si>
  <si>
    <t>36809294</t>
  </si>
  <si>
    <t>WOS:000998490100049</t>
  </si>
  <si>
    <t>Njei, B; Kanmounye, US</t>
  </si>
  <si>
    <t>Background: Metabolic dysfunction-associated steatotic liver disease is highly prevalent in adults with type 2 diabetes, and advanced fibrosis is its strongest prognostic marker. However, existing noninvasive tools may underperform in diabetes care and are inconsistently used in practice. Objective: This study aims to evaluate thefeasibility, usability, and preliminary diagnostic effectiveness of FibroX, an explainable artificial intelligence tool for identifying metabolic dysfunction-associated steatotic liver disease-associated advanced fibrosis in adults with type 2 diabetes. Methods: This 12-month health care provider-level randomized crossover pilottrial will enroll at least 36 primary careclinicians managing adults with type 2 diabetes. Participants will complete 2 simulated care periods: one with FibroX-enabled care and one with usual care, separated by a 1-week washout. FibroX generates individualized advanced fibrosis risk estimates from routine clinical data, provides guideline-aligned triage categories, and displays case-level explanatory outputs using Shapley Additive Explanations. FibroX is an investigational tool and is not currently used in routine clinical practice. Primary outcomes arefeasibility and usability, while secondary and exploratory outcomesinclude workflow efficiency, preliminary diagnostic performance, and implementation measures.&lt;br /&gt; Results: Institutional review board approval has been obtained. The protocol was registered on ClinicalTrials.gov (NCT07305324) on December 1, 2025. At the time of submission, recruitment had not yet begun. The study is currently unfunded. Preparatory activities, including platform development and case validation, are ongoing. Recruitment is expected to begin in June 2026, with primary completion anticipated in May 2027 and results expected to be available in late 2027. Conclusions:This pilot study will provide preliminary evidence on the feasibility, usability, and diagnostic performance of an explainable artificial intelligence tool for fibrosis risk stratification in diabetes care and will inform the design of a future larger trial.</t>
  </si>
  <si>
    <t>Njei, Basile; Kanmounye, Ulrick Sidney</t>
  </si>
  <si>
    <t>Njei, B (corresponding author), Yale Univ, Dept Med, Sect Digest Dis, 333 Cedar St, New Haven, CT 06510 USA.</t>
  </si>
  <si>
    <t>basilenjei@gmail.com</t>
  </si>
  <si>
    <t>[Njei, Basile] Yale Univ, Dept Med, Sect Digest Dis, 333 Cedar St, New Haven, CT 06510 USA; [Njei, Basile] Euclid Univ, Engelhardt Sch Global Hlth &amp; Bioeth, Bangui, Cent Afr Republ; [Njei, Basile] VA Connecticut Healthcare, West Haven, CT USA; [Njei, Basile] Ohio Univ, Heritage Coll Osteopath Med, Athens, OH USA; [Njei, Basile] Yale New Haven Hlth, Yale Liver Ctr, New Haven, CT USA; [Njei, Basile] Yale Univ, Int Med Program, New Haven, CT USA; [Kanmounye, Ulrick Sidney] Assoc Future African Neurosurg, Yaounde, Cameroon</t>
  </si>
  <si>
    <t>Yale University; US Department of Veterans Affairs; Veterans Health Administration (VHA); VA Connecticut Healthcare System; University System of Ohio; Ohio University; Yale University; Yale University</t>
  </si>
  <si>
    <t>An Explainable AI Tool (FibroX) for Detecting Advanced Liver Fibrosis in Adults With Type 2 Diabetes: Protocol for a Pilot Crossover Trial</t>
  </si>
  <si>
    <t>JMIR RESEARCH PROTOCOLS</t>
  </si>
  <si>
    <t>artificial intelligence; AI; liver fibrosis; metabolic dysfunction-associated steatotic liver disease; MASLD; pilot; randomized controlled trial; type 2 diabetes</t>
  </si>
  <si>
    <t>ELASTOGRAPHY; ALGORITHMS; DISEASE</t>
  </si>
  <si>
    <t>Kanmounye, Ulrick/AAY-6123-2020; Njei, Basile/IZD-5998-2023</t>
  </si>
  <si>
    <t>1929-0748</t>
  </si>
  <si>
    <t>JMIR RES PROTOC</t>
  </si>
  <si>
    <t>JMIR RES. Protoc.</t>
  </si>
  <si>
    <t>e90456</t>
  </si>
  <si>
    <t>10.2196/90456</t>
  </si>
  <si>
    <t>http://dx.doi.org/10.2196/90456</t>
  </si>
  <si>
    <t>Health Care Sciences &amp; Services; Public, Environmental &amp; Occupational Health</t>
  </si>
  <si>
    <t>IY1IQ</t>
  </si>
  <si>
    <t>41974444</t>
  </si>
  <si>
    <t>WOS:001783091600005</t>
  </si>
  <si>
    <t>Rahman, R; Alam, MGR; Reza, MT; Huq, A; Jeon, G; Uddin, MZ; Hassan, MM</t>
  </si>
  <si>
    <t>Ultrasound imaging is a valuable tool for assessing the development of the fetal during pregnancy. However, interpreting ultrasound images manually can be time-consuming and subject to variability. Automated image categorization using machine learning algorithms can streamline the interpretation process by identifying stages of fetal development present in ultrasound images. In particular, deep learning architectures have shown promise in medical image analysis, enabling accurate automated diagnosis. The objective of this research is to identify fetal planes from ultrasound images with higher precision. To achieve this, we trained several convolutional neural network (CNN) architectures on a dataset of 12400 images. Our study focuses on the impact of enhanced image quality by adopting Histogram Equalization and Fuzzy Logic-based contrast enhancement on fetal plane detection using the Evidential Dempster-Shafer Based CNN Architecture, PReLUNet, SqueezeNET, and Swin Transformer. The results of each classifier were noteworthy, with PreLUNet achieving an accuracy of 91.03%, SqueezeNET reaching 91.03% accuracy, Swin Transformer reaching an accuracy of 88.90%, and the Evidential classifier achieving an accuracy of 83.54%. We evaluated the results in terms of both training and testing accuracies. Additionally, we used LIME and GradCam to examine the decision-making process of the classifiers, providing explainability for their outputs. Our findings demonstrate the potential for automated image categorization in large-scale retrospective assessments of fetal development using ultrasound imaging.</t>
  </si>
  <si>
    <t>Rahman, Rafeed; Alam, Md. Golam Rabiul; Reza, Md. Tanzim; Huq, Aminul; Jeon, Gwanggil; Uddin, Md. Zia; Hassan, Mohammad Mehedi</t>
  </si>
  <si>
    <t>Jeon, G (corresponding author), Incheon Natl Univ, Dept Embedded Syst Engn, Incheon, South Korea.; Hassan, MM (corresponding author), King Saud Univ, Coll Comp &amp; Informat Sci, Dept Informat Syst, Riyadh 11543, Saudi Arabia.</t>
  </si>
  <si>
    <t>rafeedrahmansham2015@gmail.com; gjeon@inu.ac.kr; rezatanzim@gmail.com; mmhassan@ksu.edu.sa; rabiul.alam@bracu.ac.bd; zia.uddin@sintef.no; aminul.huq@bracu.ac.bd</t>
  </si>
  <si>
    <t>The authors are grateful to King Saud University, Riyadh, Saudi Arabia for funding this work through Researchers Supporting Project Number- RSP2023R18.</t>
  </si>
  <si>
    <t>[Rahman, Rafeed; Alam, Md. Golam Rabiul; Reza, Md. Tanzim; Huq, Aminul] BRAC Univ, Dept Comp Sci &amp; Engn, Dhaka, Bangladesh; [Jeon, Gwanggil] Incheon Natl Univ, Dept Embedded Syst Engn, Incheon, South Korea; [Uddin, Md. Zia] Software &amp; Serv Innovat, SINTEF Digital, N-0373 Oslo, Norway; [Hassan, Mohammad Mehedi] King Saud Univ, Coll Comp &amp; Informat Sci, Dept Informat Syst, Riyadh 11543, Saudi Arabia</t>
  </si>
  <si>
    <t>Bangladesh Rural Advancement Committee BRAC; BRAC University; Incheon National University; SINTEF; King Saud University</t>
  </si>
  <si>
    <t>Demystifying evidential Dempster Shafer-based CNN architecture for fetal plane detection from 2D ultrasound images leveraging fuzzy-contrast enhancement and explainable AI</t>
  </si>
  <si>
    <t>ULTRASONICS</t>
  </si>
  <si>
    <t>PreLUNet; Evidential Dempster-Shafer CNN; Swin Transformer; Histogram Equalization; Fuzzy Logic Contrast</t>
  </si>
  <si>
    <t>BRAIN-TUMOR DETECTION; DEEP; SEGMENTATION</t>
  </si>
  <si>
    <t>Huq, Aminul/IWD-7595-2023; Hassan, Mohammad Mehedi/D-4946-2016; Uddin, Zia/AAC-1309-2020; ALAM, GOLAM RABIUL/L-4373-2013</t>
  </si>
  <si>
    <t>Hassan, Mohammad Mehedi/0000-0002-3479-3606; Uddin, Zia/0000-0002-5215-1834; ALAM, GOLAM RABIUL/0000-0002-9054-7557</t>
  </si>
  <si>
    <t>0041-624X</t>
  </si>
  <si>
    <t>1874-9968</t>
  </si>
  <si>
    <t>Ultrasonics</t>
  </si>
  <si>
    <t>JUL 2023</t>
  </si>
  <si>
    <t>107017</t>
  </si>
  <si>
    <t>10.1016/j.ultras.2023.107017</t>
  </si>
  <si>
    <t>http://dx.doi.org/10.1016/j.ultras.2023.107017</t>
  </si>
  <si>
    <t>Acoustics; Radiology, Nuclear Medicine &amp; Medical Imaging</t>
  </si>
  <si>
    <t>I7EU7</t>
  </si>
  <si>
    <t>37148701</t>
  </si>
  <si>
    <t>WOS:001004389700001</t>
  </si>
  <si>
    <t>Mwogosi, A</t>
  </si>
  <si>
    <t>Objectives This study examines the ethical and privacy challenges of integrating generative artificial intelligence (AI) into electronic health record (EHR) systems, focusing on Tanzania's healthcare context. It critically analyses the extent to which Tanzania's Policy Framework for Artificial Intelligence in the Health Sector (2022) addresses these challenges and proposes regulatory and practical safeguards for responsible generative AI deployment.Methods A systematic scoping review was conducted using PubMed, IEEE Xplore, Scopus and Google Scholar to identify relevant studies published between 2014 and 2024. The Preferred Reporting Items for Systematic Reviews and Meta-Analyses extension for Scoping Reviews (PRISMA-ScR) guidelines informed the search and selection process. Fourteen studies met the inclusion criteria and were thematically analysed to identify key ethical and privacy concerns of generative AI in healthcare. Moreover, a policy analysis of Tanzania's AI framework was conducted to assess its alignment with global best practices and regulatory preparedness.Results The review identified six key ethical and privacy challenges associated with generative AI in EHR systems: data privacy and security risks, algorithmic bias and fairness concerns, transparency and accountability issues, consent and autonomy challenges, human oversight gaps and risks of data re-identification. The policy analysis revealed that while Tanzania's AI framework aligns with national health priorities and promotes capacity building and ethical governance, it lacks generative AI-specific guidelines, regulatory clarity and resource mobilisation strategies necessary for healthcare settings.Conclusion Integrating generative AI into Tanzania's EHR systems presents transformative opportunities and significant ethical and privacy risks. Tanzania's policy framework should incorporate AI-specific ethical guidelines, operationalise regulatory mechanisms, foster stakeholder engagement through participatory co-design and strengthen infrastructural investments. These measures will promote ethical integrity, enhance patient trust and position Tanzania as a regional leader in responsible AI use in healthcare.</t>
  </si>
  <si>
    <t>Mwogosi, Augustino</t>
  </si>
  <si>
    <t>Mwogosi, A (corresponding author), Univ Dodoma, Dept Informat Syst &amp; Technol, POB 259,1 Benjamin Mkapa Rd Iyumbu, Dodoma, Tanzania.</t>
  </si>
  <si>
    <t>mwogosia@gmail.com</t>
  </si>
  <si>
    <t>University of Dodoma</t>
  </si>
  <si>
    <t>The author would like to express gratitude to the University of Dodoma for its support and encouragement throughout the development of this study. Special thanks are extended to the Department of Information Systems and Technology for providing the necessary resources and a conducive environment for this research.</t>
  </si>
  <si>
    <t>[Mwogosi, Augustino] Univ Dodoma, Dept Informat Syst &amp; Technol, POB 259,1 Benjamin Mkapa Rd Iyumbu, Dodoma, Tanzania</t>
  </si>
  <si>
    <t>Ethical and privacy challenges of integrating generative AI into EHR systems in Tanzania: A scoping review with a policy perspective</t>
  </si>
  <si>
    <t>Generative AI; electronic health records; ethical challenges; privacy concerns; data security; regulatory frameworks</t>
  </si>
  <si>
    <t>ARTIFICIAL-INTELLIGENCE; BARRIERS</t>
  </si>
  <si>
    <t>Mwogosi, Augustino/KHT-3063-2024</t>
  </si>
  <si>
    <t>Mwogosi, Augustino/0000-0002-0159-6163</t>
  </si>
  <si>
    <t>20552076251344385</t>
  </si>
  <si>
    <t>10.1177/20552076251344385</t>
  </si>
  <si>
    <t>http://dx.doi.org/10.1177/20552076251344385</t>
  </si>
  <si>
    <t>2UJ6Y</t>
  </si>
  <si>
    <t>40400763</t>
  </si>
  <si>
    <t>WOS:001491540200001</t>
  </si>
  <si>
    <t>Sowmya, P; Vasudeva</t>
  </si>
  <si>
    <t>The increasing deployment of chatbots across sectors such as education, healthcare, and customer service has raised the need for user interactions with the chatbot be safe, fair, responsible and respectful. These expectations from a chatbot could be collectively named as ethical behaviour or ethical concerns in AI applications. Human beings by default are expected to possess moral values, ethics and fairness. Indeed, critical AI applications should also be aligned with these qualities as they deal with real time scenarios and people. Ethical concerns include human agency and oversight, technical robustness and safety, transparency, non-discrimination and fairness, accountability, societal well-being, privacy and data governance. This paper explores the ethical implications of chatbots that exhibit varying responses due to fluctuations in dataset intents and patterns. Inconsistent behaviour can undermine user trust, introduce bias, and compromise decision-making, especially when the chatbot is used in sensitive domains. The study investigates how changes in the structure, labelling, or balance of intent patterns influence chatbot performance, potentially leading to unequal treatment of users or miscommunication on a university chatbot. Ethical principles in context to correctly classifying intent proves that chatbot is technically robust with a accuracy rate of 98% and a safety score of 87.65%, proves diversity and fairness with a fairness score of 84.5%, and existing frame works IBM AIF Fairness 360 and Microsoft RAI Toolkit is used for comparison with accuracy of 99.5% and 99.12% respectively and data governance achieved with a data quality score of 96.8% and contributes Societal and environmental well being with a sustainability score 84%. Recommendations are proposed for implementing auditability, explainability, and robust validation processes to ensure that chatbot systems remain ethically compliant even under dynamic or evolving datasets. The research underscores the need for continuous monitoring and ethical auditing mechanisms to safeguard against unintended harms and promote responsible AI deployment. To add on value two additional domains healthcare and customer service chatbot are used for comparison.</t>
  </si>
  <si>
    <t>Sowmya, P.; Vasudeva</t>
  </si>
  <si>
    <t>Sowmya, P (corresponding author), NITTE Deemed Be Univ, NMAM Inst Technol NMAMIT, Dept Comp Sci &amp; Engn, Nitte 574110, Karnataka, India.</t>
  </si>
  <si>
    <t>sowmyap217@gmail.com</t>
  </si>
  <si>
    <t>NITTE (Deemed to be University)</t>
  </si>
  <si>
    <t>This work was supported by NITTE (Deemed to be University).</t>
  </si>
  <si>
    <t>[Sowmya, P.] NITTE Deemed Be Univ, NMAM Inst Technol NMAMIT, Dept Comp Sci &amp; Engn, Nitte 574110, Karnataka, India; [Vasudeva] NITTE Deemed Be Univ, NMAM Inst Technol NMAMIT, Dept Informat Sci &amp; Engn, Mangaluru 574110, Karnataka, India</t>
  </si>
  <si>
    <t>NITTE (Deemed to be University); NITTE (Deemed to be University)</t>
  </si>
  <si>
    <t>Trust and Ethics in Chatbots: A Framework for Responsible AI Interactions</t>
  </si>
  <si>
    <t>Ethics; Chatbots; Artificial intelligence; Europe; Guidelines; Data privacy; Customer services; Accuracy; Safety; Privacy; chatbot; trustworthiness; ethical principles; sustainability</t>
  </si>
  <si>
    <t>-, Vasudeva/CAG-9300-2022</t>
  </si>
  <si>
    <t>P, Sowmya/0009-0008-0892-9312</t>
  </si>
  <si>
    <t>9004</t>
  </si>
  <si>
    <t>9020</t>
  </si>
  <si>
    <t>10.1109/ACCESS.2026.3653763</t>
  </si>
  <si>
    <t>http://dx.doi.org/10.1109/ACCESS.2026.3653763</t>
  </si>
  <si>
    <t>CJ0MW</t>
  </si>
  <si>
    <t>WOS:001666956500002</t>
  </si>
  <si>
    <t>Khoury, P; Srinivasan, R; Kakumanu, S; Ochoa, S; Keswani, A; Sparks, R; Rider, NL</t>
  </si>
  <si>
    <t>Artificial and augmented intelligence (AI) and machine learning (ML) methods are expanding into the health care space. Big data are increasingly used in patient care applications, diagnostics, and treatment decisions in allergy and immunology. How these technologies will be evaluated, approved, and assessed for their impact is an important consideration for researchers and practitioners alike. With the potential of ML, deep learning, natural language processing, and other assistive methods to redefine health care usage, a scaffold for the impact of AI technology on research and patient care in allergy and immunology is needed. An American Academy of Asthma Allergy and Immunology Health Information Technology and Education subcommittee workgroup was convened to perform a scoping review of AI within health care as well as the specialty of allergy and immunology to address impacts on allergy and immunology practice and research as well as potential challenges including education, AI governance, ethical and equity considerations, and potential opportunities for the specialty. There are numerous potential clinical applications of AI in allergy and immunology that range from disease diagnosis to multidimensional data reduction in electronic health records or immunologic datasets. For appropriate application and interpretation of AI, specialists should be involved in the design, validation, and implementation of AI in allergy and immunology. Challenges include incorporation of data science and bioinformatics into training of future allergists-immunologists. Published by Elsevier Inc. on behalf of the American Academy of Allergy, Asthma &amp; Immunology</t>
  </si>
  <si>
    <t>Khoury, Paneez; Srinivasan, Renganathan; Kakumanu, Sujani; Ochoa, Sebastian; Keswani, Anjeni; Sparks, Rachel; Rider, Nicholas L.</t>
  </si>
  <si>
    <t>Khoury, P (corresponding author), NIH, 10 Ctr Dr,Bldg 10,12C103, Bethesda, MD 20892 USA.</t>
  </si>
  <si>
    <t>khouryp@nih.gov</t>
  </si>
  <si>
    <t>Division of Intramural Research, National Institutes of Allergic and Infectious Diseases, National Institutes of Health; National Institute of Allergy and Infectious Diseases [ZIEAI001148] Funding Source: NIH RePORTER</t>
  </si>
  <si>
    <t>Division of Intramural Research, National Institutes of Allergic and Infectious Diseases, National Institutes of Health; National Institute of Allergy and Infectious Diseases (United States Department of Health &amp; Human Services, National Institutes of Health (NIH) - USA, NIH National Institute of Allergy &amp; Infectious Diseases (NIAID))</t>
  </si>
  <si>
    <t>The work was funded in part by the Division of Intramural Research, National Institutes of Allergic and Infectious Diseases, National Institutes of Health.</t>
  </si>
  <si>
    <t>[Khoury, Paneez] NIAID, Lab Allerg Dis, 9000 Rockville Pike, Bethesda, MD 20892 USA; [Srinivasan, Renganathan] Vancouver Clin, Vancouver, WA USA; [Kakumanu, Sujani] Univ Wisconsin, Sch Med &amp; Publ Hlth, Div Allergy Pulm &amp; Crit Care Med, Madison, WI USA; [Kakumanu, Sujani] William S Middleton Vet Mem Hosp, Madison, WI USA; [Ochoa, Sebastian; Sparks, Rachel] NIAID, 9000 Rockville Pike, Bethesda, MD 20892 USA; [Ochoa, Sebastian] NIAID, Lab Clin Immunol &amp; Microbiol, 9000 Rockville Pike, Bethesda, MD 20892 USA; [Keswani, Anjeni] George Washington Univ, Sch Med &amp; Hlth Sci, Div Allergy Immunol, Washington, DC 20052 USA; [Sparks, Rachel] NIAID, Lab Immune Syst Biol, 9000 Rockville Pike, Bethesda, MD 20892 USA; [Rider, Nicholas L.] Texas Childrens Hosp, Baylor Coll Med, Sect Immunol Allergy &amp; Retrovirol, Houston, TX 77030 USA; [Rider, Nicholas L.] Texas Childrens Hosp, Baylor Coll Med, William T Shearer Ctr Human Immunobiol, Houston, TX 77030 USA</t>
  </si>
  <si>
    <t>National Institutes of Health (NIH) - USA; NIH National Institute of Allergy &amp; Infectious Diseases (NIAID); University of Wisconsin System; University of Wisconsin Madison; National Institutes of Health (NIH) - USA; NIH National Institute of Allergy &amp; Infectious Diseases (NIAID); National Institutes of Health (NIH) - USA; NIH National Institute of Allergy &amp; Infectious Diseases (NIAID); George Washington University; National Institutes of Health (NIH) - USA; NIH National Institute of Allergy &amp; Infectious Diseases (NIAID); Baylor College of Medicine; Baylor College Medical Hospital; Baylor College of Medicine; Baylor College Medical Hospital</t>
  </si>
  <si>
    <t>A Framework for Augmented Intelligence in Allergy and Immunology Practice and Research-A Work Group Report of the AAAAI Health Informatics, Technology, and Education Committee</t>
  </si>
  <si>
    <t>JOURNAL OF ALLERGY AND CLINICAL IMMUNOLOGY-IN PRACTICE</t>
  </si>
  <si>
    <t>Artificial intelligence; Asthma; Primary immunodeficiency; Atopic dermatitis; Augmented intelligence; Clinical decision support; Electronic health records; Equity; Machine learning; Natural language processing; Medical education</t>
  </si>
  <si>
    <t>ARTIFICIAL-INTELLIGENCE; ASTHMA; CHALLENGES; ALGORITHM; OMICS</t>
  </si>
  <si>
    <t>Khoury, Paneez/ABH-1951-2020</t>
  </si>
  <si>
    <t>Khoury, Paneez/0000-0003-1800-0079</t>
  </si>
  <si>
    <t>2213-2198</t>
  </si>
  <si>
    <t>2213-2201</t>
  </si>
  <si>
    <t>J ALLER CL IMM-PRACT</t>
  </si>
  <si>
    <t>J. Allergy Clin. Immunol.-Pract.</t>
  </si>
  <si>
    <t>MAY 2022</t>
  </si>
  <si>
    <t>1178</t>
  </si>
  <si>
    <t>1188</t>
  </si>
  <si>
    <t>10.1016/j.jaip.2022.01.047</t>
  </si>
  <si>
    <t>http://dx.doi.org/10.1016/j.jaip.2022.01.047</t>
  </si>
  <si>
    <t>3I7EA</t>
  </si>
  <si>
    <t>35300959</t>
  </si>
  <si>
    <t>WOS:000832873900006</t>
  </si>
  <si>
    <t>Bernasconi, L; Grossmann, R</t>
  </si>
  <si>
    <t>This study addresses the current lack of empirical data on the experiences and attitudes of clinical research professionals towards AI-powered clinical trial management tools. Clinical research professionals affiliated with various Swiss and international clinical research networks were invited to participate in an online survey. The survey focused on nine use cases of AI-powered clinical trial management tools. Participants were asked to share their ethical considerations, and their experiences were assessed at both the individual and institutional levels. Answers from 110 participants, primarily from Swiss academic institutions, were included in the data analysis. While participants generally held positive attitudes, mixed views were also common. Governmental attitudes were widely perceived as unclear or cautious, with the associated regulatory opacity possibly contributing to the limited adoption of AI in trial management observed in this study. In addition to a clear AI governance, ethical compliance and training emerged as crucial aspects. There was also broad consensus on the necessity of informing patients about tools' uses and of ensuring an independent certification of the respective tools. The widespread adoption of AI-powered clinical trial management tools remains distant, entangled in a net of complexities that require further empirical investigation. Ethical concerns appear to play a crucial role, driven by distrust and the absence of a clear regulatory framework. Urgent actions are needed at both institutional and governmental levels, including the establishment of a governance framework and training provision.</t>
  </si>
  <si>
    <t>Bernasconi, Lara; Grossmann, Regina</t>
  </si>
  <si>
    <t>Bernasconi, L (corresponding author), Univ Hosp Zurich, Clin Trials Ctr, Ramistr 100 MOU2, CH-8091 Zurich, Switzerland.</t>
  </si>
  <si>
    <t>lara.bernasconi@usz.ch</t>
  </si>
  <si>
    <t>International Clinical Trials Center Network (ICN)</t>
  </si>
  <si>
    <t>We sincerely thank the participating clinical research experts for their kind cooperation. Our gratitude extends to the clinical research networks that facilitated survey distribution. Particularly, we would like to thank the Swiss Clinical Trials Organization (SCTO) and the International Clinical Trials Center Network (ICN). Lastly, we appreciate the valuable feedback provided by the employee from the Clinical Trials Center Zurich involved in survey validation. We acknowledge the use of ChatGPT 3.5 to enhance the article text and correct sentences. No content was generated entirely by the chatbot. Prompts included requests for improvements, reformulations, and simplifications.</t>
  </si>
  <si>
    <t>[Bernasconi, Lara; Grossmann, Regina] Univ Hosp Zurich, Zurich, Switzerland; [Bernasconi, Lara] Univ Zurich, Inst Biomed Eth Hist Med, Zurich, Switzerland</t>
  </si>
  <si>
    <t>University of Zurich; University Zurich Hospital; University of Zurich</t>
  </si>
  <si>
    <t>Navigating the future of clinical trial management - insights on the transformative role of AI</t>
  </si>
  <si>
    <t>RESEARCH ETHICS</t>
  </si>
  <si>
    <t>Clinical research; AI; clinical trial management; ethics; research ethics</t>
  </si>
  <si>
    <t>Bernasconi, Lara/0009-0004-2700-8472; Grossmann, Regina/0000-0003-2339-990X</t>
  </si>
  <si>
    <t>1747-0161</t>
  </si>
  <si>
    <t>2047-6094</t>
  </si>
  <si>
    <t>RES ETHICS-UK</t>
  </si>
  <si>
    <t>Res. Ethics-UK</t>
  </si>
  <si>
    <t>10.1177/17470161241309347</t>
  </si>
  <si>
    <t>http://dx.doi.org/10.1177/17470161241309347</t>
  </si>
  <si>
    <t>Ethics; Medical Ethics; Social Issues</t>
  </si>
  <si>
    <t>Social Sciences - Other Topics; Medical Ethics; Social Issues</t>
  </si>
  <si>
    <t>AP3BL</t>
  </si>
  <si>
    <t>WOS:001388833200001</t>
  </si>
  <si>
    <t>Prelaj, A; Galli, EG; Miskovic, V; Pesenti, M; Viscardi, G; Pedica, B; Mazzeo, L; Bottiglieri, A; Provenzano, L; Spagnoletti, A; Marinacci, R; De Toma, A; Proto, C; Ferrara, R; Brambilla, M; Occhipinti, M; Manglaviti, S; Galli, G; Signorelli, D; Giani, C; Beninato, T; Pircher, CC; Rametta, A; Kosta, S; Zanitti, M; Di Mauro, MR; Rinaldi, A; Di Gregorio, S; Antonia, M; Garassino, MC; de Braud, FGM; Restelli, M; Lo Russo, G; Ganzinelli, M; Trovo, F; Pedrocchi, ALG</t>
  </si>
  <si>
    <t>IntroductionArtificial Intelligence (AI) methods are being increasingly investigated as a means to generate predictive models applicable in the clinical practice. In this study, we developed a model to predict the efficacy of immunotherapy (IO) in patients with advanced non-small cell lung cancer (NSCLC) using eXplainable AI (XAI) Machine Learning (ML) methods. MethodsWe prospectively collected real-world data from patients with an advanced NSCLC condition receiving immune-checkpoint inhibitors (ICIs) either as a single agent or in combination with chemotherapy. With regards to six different outcomes - Disease Control Rate (DCR), Objective Response Rate (ORR), 6 and 24-month Overall Survival (OS6 and OS24), 3-months Progression-Free Survival (PFS3) and Time to Treatment Failure (TTF3) - we evaluated five different classification ML models: CatBoost (CB), Logistic Regression (LR), Neural Network (NN), Random Forest (RF) and Support Vector Machine (SVM). We used the Shapley Additive Explanation (SHAP) values to explain model predictions. ResultsOf 480 patients included in the study 407 received immunotherapy and 73 chemo- and immunotherapy. From all the ML models, CB performed the best for OS6 and TTF3, (accuracy 0.83 and 0.81, respectively). CB and LR reached accuracy of 0.75 and 0.73 for the outcome DCR. SHAP for CB demonstrated that the feature that strongly influences models' prediction for all three outcomes was Neutrophil to Lymphocyte Ratio (NLR). Performance Status (ECOG-PS) was an important feature for the outcomes OS6 and TTF3, while PD-L1, Line of IO and chemo-immunotherapy appeared to be more important in predicting DCR. ConclusionsIn this study we developed a ML algorithm based on real-world data, explained by SHAP techniques, and able to accurately predict the efficacy of immunotherapy in sets of NSCLC patients.</t>
  </si>
  <si>
    <t>Prelaj, Arsela; Galli, Edoardo Gregorio; Miskovic, Vanja; Pesenti, Mattia; Viscardi, Giuseppe; Pedica, Benedetta; Mazzeo, Laura; Bottiglieri, Achille; Provenzano, Leonardo; Spagnoletti, Andrea; Marinacci, Roberto; De Toma, Alessandro; Proto, Claudia; Ferrara, Roberto; Brambilla, Marta; Occhipinti, Mario; Manglaviti, Sara; Galli, Giulia; Signorelli, Diego; Giani, Claudia; Beninato, Teresa; Pircher, Chiara Carlotta; Rametta, Alessandro; Kosta, Sokol; Zanitti, Michele; Di Mauro, Maria Rosa; Rinaldi, Arturo; Di Gregorio, Settimio; Antonia, Martinetti; Garassino, Marina Chiara; de Braud, Filippo G. M.; Restelli, Marcello; Lo Russo, Giuseppe; Ganzinelli, Monica; Trovo, Francesco; Pedrocchi, Alessandra Laura Giulia</t>
  </si>
  <si>
    <t>Prelaj, A (corresponding author), Fdn IRCCS Ist Nazl Tumori, Med Oncol Dept, Milan, Italy.; Prelaj, A (corresponding author), Politecn Milan, Dept Elect Informat &amp; Bioengn, Milan, Italy.</t>
  </si>
  <si>
    <t>arsela.prelaj@istitutotumori.mi.it</t>
  </si>
  <si>
    <t>[Prelaj, Arsela; Galli, Edoardo Gregorio; Viscardi, Giuseppe; Mazzeo, Laura; Bottiglieri, Achille; Provenzano, Leonardo; Spagnoletti, Andrea; De Toma, Alessandro; Proto, Claudia; Ferrara, Roberto; Brambilla, Marta; Occhipinti, Mario; Manglaviti, Sara; Signorelli, Diego; Giani, Claudia; Beninato, Teresa; Pircher, Chiara Carlotta; Rametta, Alessandro; Di Mauro, Maria Rosa; Rinaldi, Arturo; Di Gregorio, Settimio; Antonia, Martinetti; Garassino, Marina Chiara; de Braud, Filippo G. M.; Lo Russo, Giuseppe; Ganzinelli, Monica] Fdn IRCCS Ist Nazl Tumori, Med Oncol Dept, Milan, Italy; [Prelaj, Arsela; Miskovic, Vanja; Pesenti, Mattia; Pedica, Benedetta; Mazzeo, Laura; Marinacci, Roberto; Restelli, Marcello; Trovo, Francesco; Pedrocchi, Alessandra Laura Giulia] Politecn Milan, Dept Elect Informat &amp; Bioengn, Milan, Italy; [Galli, Edoardo Gregorio; Signorelli, Diego] Grande Osped Metropolitano Niguarda, Niguarda Canc Ctr, Milan, Italy; [Galli, Edoardo Gregorio; Mazzeo, Laura; Bottiglieri, Achille; Provenzano, Leonardo; Spagnoletti, Andrea; Giani, Claudia; Beninato, Teresa; Pircher, Chiara Carlotta; Rametta, Alessandro; de Braud, Filippo G. M.] Univ Milan, Oncol Dept, Milan, Italy; [Viscardi, Giuseppe] Univ Campania Luigi Vanvitelli, Dept Precis Med, Med Oncol Unit, Naples, Italy; [Galli, Giulia] Policlin San Matteo Fdn IRCCS, Med Oncol Unit, Pavia, Italy; [Kosta, Sokol; Zanitti, Michele] Aalborg Univ, Dept Elect Syst, Aalborg, Denmark; [Garassino, Marina Chiara] Univ Chicago, Thorac Oncol Program, Sect Hematol Oncol, Chicago, IL USA</t>
  </si>
  <si>
    <t>Fondazione IRCCS Istituto Nazionale Tumori Milan; Polytechnic University of Milan; Ospedale Niguarda Ca' Granda; University of Milan; Universita della Campania Vanvitelli; IRCCS Fondazione San Matteo; Aalborg University; University of Chicago</t>
  </si>
  <si>
    <t>Real-world data to build explainable trustworthy artificial intelligence models for prediction of immunotherapy efficacy in NSCLC patients</t>
  </si>
  <si>
    <t>non-small cell lung cancer; immunotherapy; machine learning; explainable artificial intelligence; treatment</t>
  </si>
  <si>
    <t>LUNG; OUTCOMES; PEMBROLIZUMAB; BIOMARKERS</t>
  </si>
  <si>
    <t>Viscardi, Giuseppe/LSJ-6060-2024; Miskovic, Vanja/LGY-4067-2024; Garassino, Marina Chiara/D-7128-2017; Galli, Giulia/R-9535-2019; Ferrara, Roberto/AAC-2806-2019; Rametta, Alessandro/OJU-6081-2025; Signorelli, Diego/KCY-0819-2024; Manglaviti, Sara/LJL-3989-2024; Kosta, Sokol/F-2711-2016; Trovò, Francesco/AAY-5546-2020; Proto, Claudia/L-2657-2017; Russo, Giuseppe/D-5586-2017; Occhipinti, Mario/LSI-6712-2024; Prelaj, Arsela/ABB-1872-2020; Pedrocchi, Alessandra/AAF-2655-2019; Ganzinelli, Monica/K-4548-2016; Brambilla, Marta/KTI-2001-2024; de Braud, Filippo Guglielmo Maria/B-9997-2017</t>
  </si>
  <si>
    <t>Miskovic, Vanja/0000-0003-1475-0243; Garassino, Marina Chiara/0000-0002-3821-5598; Mazzeo, Laura/0000-0001-9226-8861; Galli, Giulia/0000-0001-7287-4848; Rametta, Alessandro/0009-0008-3978-040X; Manglaviti, Sara/0000-0003-2693-0743; Kosta, Sokol/0000-0002-9441-4508; Zanitti, Michele/0000-0001-6969-2795; Spagnoletti, Andrea/0000-0002-5293-1849; PROVENZANO, LEONARDO/0000-0001-9208-2039; Ganzinelli, Monica/0000-0002-0526-0835; Brambilla, Marta/0000-0003-1148-7056; Bottiglieri, Achille/0000-0002-4345-3355; de Braud, Filippo Guglielmo Maria/0000-0003-0103-730X</t>
  </si>
  <si>
    <t>JAN 23 2023</t>
  </si>
  <si>
    <t>1078822</t>
  </si>
  <si>
    <t>10.3389/fonc.2022.1078822</t>
  </si>
  <si>
    <t>http://dx.doi.org/10.3389/fonc.2022.1078822</t>
  </si>
  <si>
    <t>8M3NG</t>
  </si>
  <si>
    <t>36755856</t>
  </si>
  <si>
    <t>WOS:000924375600001</t>
  </si>
  <si>
    <t>Halimeh, M; Jackson, M; Vieluf, S; Loddenkemper, T; Meisel, C</t>
  </si>
  <si>
    <t>Objective: Objective seizure count estimates are crucial for ambulatory epilepsy management. Wearables have shown promise for the detection of tonic-clonic seizures but may suffer from false alarms and undetected seizures. Seizure signatures recorded by wearables often occur over prolonged periods, including increased levels of electrodermal activity and heart rate long after seizure EEG onset, however, previous detection methods only partially exploited these signatures. Understanding the utility of these prolonged signatures for seizure count estimation and what factors generally determine seizure logging performance, including the role of data quality vs. algorithm performance, is thus crucial for improving wearables-based epilepsy monitoring and determining which patients benefit most from this technology.Methods: In this retrospective study we examined 76 pediatric epilepsy patients during multiday video-EEG monitoring equipped with a wearable (Empatica E4; records of electrodermal activity, EDA, accelerometry, ACC, heart rate, HR; 1983 h total recording time; 45 tonic-clonic seizures). To log seizures on prolonged data trends, we applied deep learning on continuous overlapping 1-hour segments of multimodal data in a leave-one subject-out approach. We systematically examined factors influencing logging performance, including patient age, antiseizure medication (ASM) load, seizure type and duration, and data artifacts. To gain insights into algorithm function and feature importance we applied Uniform Manifold Approximation and Projection (UMAP, to represent the separability of learned features) and SHapley Additive exPlanations (SHAP, to represent the most informative data signatures).Results: Performance for tonic-clonic seizure logging increased systematically with patient age (AUC 0.61 for patients 11 years, AUC 0.77 for patients between 11-15 years, AUC 0.85 for patients 15 years). Across all ages, AUC was 0.75 corresponding to a sensitivity of 0.52 and a false alarm rate of 0.28/24 h. Seizures under high ASM load or with shorter duration were detected worse (P=.025, P=.033, respectively). UMAP visualized discriminatory power at the individual patient level, SHAP analyses identified clonic motor activity and peri/postictal increases in HR and EDA as most informative. In contrast, in missed seizures, these features were absent indicating that recording quality but not the algorithm caused the low sensitivity in these patients.Significance: Our results demonstrate the utility of prolonged, postictal data segments for seizure logging, contribute to algorithm explainability and point to influencing factors, including high ASM dose and short seizure duration. Collectively, these results may help to identify patients who particularly benefit from such technology.</t>
  </si>
  <si>
    <t>Halimeh, Mustafa; Jackson, Michele; Vieluf, Solveig; Loddenkemper, Tobias; Meisel, Christian</t>
  </si>
  <si>
    <t>Meisel, C (corresponding author), Charite Univ Med Berlin, Dept Neurol, Charitepl 1, D-10117 Berlin, Germany.</t>
  </si>
  <si>
    <t>christian@meisel.de</t>
  </si>
  <si>
    <t>Deutsche Forschungsgemeinschaft (DFG, German Research Foundation)</t>
  </si>
  <si>
    <t>CM is part of pending and approved patents related to seizure detection, seizure prediction, and epilepsy diagnosis. TL has received funding from Empatica in the past, has received device donations from Empatica in the past, and is part of pending and approved patents related to seizure detection, seizure prediction, and epilepsy diagnosis. SV is part of a patent covering technology for seizure forecasting. The rest of the authors declare no conflicting interests. The study was supported by the Deutsche Forschungsgemeinschaft (DFG, German Research Foundation) under Germany ' s Excellence Strategy EXC 2049-390688087.</t>
  </si>
  <si>
    <t>[Halimeh, Mustafa; Meisel, Christian] Charite Univ Med Berlin, Dept Neurol, Computat Neurol Lab, Charitepl 1, D-10117 Berlin, Germany; [Jackson, Michele; Vieluf, Solveig; Loddenkemper, Tobias] Harvard Med Sch, Boston Childrens Hosp, Div Epilepsy &amp; Clin Neurophysiol, 300 Longwood Ave, Boston, MA 02115 USA; [Meisel, Christian] Ctr Stroke Res Berlin, Berlin, Germany; [Meisel, Christian] Berlin Inst Hlth, Berlin, Germany; [Meisel, Christian] Charite Univ Med Berlin, NeuroCure Cluster Excellence, Berlin, Germany; [Meisel, Christian] Bernstein Ctr Computat Neurosci, Berlin, Germany; [Meisel, Christian] Charite Univ Med Berlin, Dept Neurol, Charitepl 1, D-10117 Berlin, Germany</t>
  </si>
  <si>
    <t>Free University of Berlin; Humboldt University of Berlin; Charite Universitatsmedizin Berlin; Harvard University; Harvard Medical School; Harvard University Medical Affiliates; Boston Children's Hospital; Free University of Berlin; Humboldt University of Berlin; Charite Universitatsmedizin Berlin; Berlin Institute of Health; Free University of Berlin; Humboldt University of Berlin; Charite Universitatsmedizin Berlin; Free University of Berlin; Humboldt University of Berlin; Charite Universitatsmedizin Berlin</t>
  </si>
  <si>
    <t>Explainable AI for wearable seizure logging: Impact of data quality, patient age, and antiseizure medication on performance</t>
  </si>
  <si>
    <t>SEIZURE-EUROPEAN JOURNAL OF EPILEPSY</t>
  </si>
  <si>
    <t>Epilepsy; Wearables; Autonomous nervous system; Deep learning; Explainable artificial intelligence; Automatic seizure logging; Antiseizure medication; Tonic-clonic seizure</t>
  </si>
  <si>
    <t>ELECTRODERMAL ACTIVITY; EPILEPTIC SEIZURES; HEART-RATE</t>
  </si>
  <si>
    <t>Loddenkemper, Tobias/NGS-6054-2025; Vieluf, Solveig/AAH-9111-2020</t>
  </si>
  <si>
    <t>Loddenkemper, Tobias/0000-0003-2074-0674; Meisel, Christian/0000-0003-2984-5480; Halimeh, Mustafa/0000-0002-5071-9326</t>
  </si>
  <si>
    <t>1059-1311</t>
  </si>
  <si>
    <t>1532-2688</t>
  </si>
  <si>
    <t>SEIZURE-EUR J EPILEP</t>
  </si>
  <si>
    <t>Seizure</t>
  </si>
  <si>
    <t>10.1016/j.seizure.2023.06.002</t>
  </si>
  <si>
    <t>http://dx.doi.org/10.1016/j.seizure.2023.06.002</t>
  </si>
  <si>
    <t>Q1EX4</t>
  </si>
  <si>
    <t>37336056</t>
  </si>
  <si>
    <t>WOS:001055028600001</t>
  </si>
  <si>
    <t>Jacob, NV; Sowmya, V; Gopalakrishnan, EA; Ramachandran, R; Pillai, AV</t>
  </si>
  <si>
    <t>Background and Objective: Prolonged hospitalization and frequent follow-up visits add financial and mental health instability in wound patients along with an increase in the doctor's workload. This study uses 2D RGB wound images captured by smartphones to classify wounds using lightweight Deep learning (DL) models into three stages based on the healing capacity. Methods: A novel Indian wound database, Amrita_wound, along with open datasets AZH and Medetec, is precisely annotated into the three grades. Ten lightweight models deployable in mobile or edge devices, applying the concept of transfer learning, are used in the classification of wounds. The models are also perturbed with enhanced features to boost their prediction capabilities. The statistical significance of perturbation is explored. A cross-corpus analysis is incorporated to evaluate the generalizability and robustness of the models. Grad-CAM, an Explainable AI (XAI) tool, supports all classifiers to increase the transparency of the predictions. Results: A performance of above 80% in precision, F1-score, specificity, and sensitivity is reported across all the grades for both MobileViT X S and FastViT T8 models in the multi-class classification of the Amrita_wound dataset. However, the more compact MobileViT X S outperformed with an average sensitivity of 90% and 89% for other measures. In addition to this, upon testing the unseen data Medetec in a cross-corpus (combination of AZH and Amrita_wound) model, an average F1 score of 68% across all grades is achieved, with 77% for Grade 3. Conclusion: The automated wound grading system can aid patients in interpreting the extent of healing and support doctors in prioritizing wound care based on visible severity features. Grad-CAM images enhance the trust of doctors and patients in depending on AI models by evaluating the integrity of model predictions.</t>
  </si>
  <si>
    <t>Jacob, Naveen Varghese; Sowmya, V; Gopalakrishnan, E. A.; Ramachandran, Riju; Pillai, Anoop Vasudevan</t>
  </si>
  <si>
    <t>Gopalakrishnan, EA (corresponding author), Amrita Vishwa Vidyapeetham, Amrita Sch Artificial Intelligence, Bangalore, India.; Gopalakrishnan, EA (corresponding author), Amrita Vishwa Vidyapeetham, Amrita Sch Comp, Bangalore, India.</t>
  </si>
  <si>
    <t>v_sowmya@cb.amrita; rijurmenon@gmail.com; j_naveenvarghese@cb.students.amrita.edu; ea_gopalakrishnan@blr.amrita; anoopvpillai@gmail.com</t>
  </si>
  <si>
    <t>Ministry of Electronics and Information Technology, Government of India [MEITY-PHD-1700052349038]</t>
  </si>
  <si>
    <t>Ministry of Electronics and Information Technology, Government of India</t>
  </si>
  <si>
    <t>Naveen Varghese Jacob acknowledges the financial support received from the Ministry of Electronics and Information Technology, Government of India, under the Visvesvaraya PhD Scheme for Electronics and IT-Phase II (MEITY-PHD-1700052349038)</t>
  </si>
  <si>
    <t>[Jacob, Naveen Varghese; Sowmya, V] Amrita Vishwa Vidyapeetham, Amrita Sch Artificial Intelligence, Coimbatore, India; [Gopalakrishnan, E. A.] Amrita Vishwa Vidyapeetham, Amrita Sch Artificial Intelligence, Bangalore, India; [Gopalakrishnan, E. A.] Amrita Vishwa Vidyapeetham, Amrita Sch Comp, Bangalore, India; [Ramachandran, Riju; Pillai, Anoop Vasudevan] Amrita Vishwa Vidyapeetham, Amrita Inst Med Sci, Kochi, India</t>
  </si>
  <si>
    <t>Amrita Vishwa Vidyapeetham; Amrita Vishwa Vidyapeetham Coimbatore; Amrita Vishwa Vidyapeetham; Amrita Vishwa Vidyapeetham Bengaluru; Amrita Vishwa Vidyapeetham; Amrita Vishwa Vidyapeetham Bengaluru; Amrita Vishwa Vidyapeetham; Amrita Vishwa Vidyapeetham Kochi</t>
  </si>
  <si>
    <t>An Indian database for grading wound healing and cross-corpus classification using perturbation-based Explainable AI models</t>
  </si>
  <si>
    <t>Wound healing; Wound grading; Lightweight model; Explainable AI; Mobile vision transformer; Cross-corpus</t>
  </si>
  <si>
    <t>V, Sowmya/L-1459-2019; Menon, Riju Ramachandran/AAT-2918-2020; E A, Gopalakrishnan/C-7384-2017; Varghese Jacob, Naveen/KPY-7320-2024</t>
  </si>
  <si>
    <t>V, Sowmya/0000-0003-3745-6944; Menon, Riju Ramachandran/0000-0002-2773-5950; E A, Gopalakrishnan/0000-0003-3689-6083; Varghese Jacob, Naveen/0009-0000-5932-0197</t>
  </si>
  <si>
    <t>271</t>
  </si>
  <si>
    <t>108981</t>
  </si>
  <si>
    <t>10.1016/j.cmpb.2025.108981</t>
  </si>
  <si>
    <t>http://dx.doi.org/10.1016/j.cmpb.2025.108981</t>
  </si>
  <si>
    <t>5VK3I</t>
  </si>
  <si>
    <t>40763622</t>
  </si>
  <si>
    <t>WOS:001545256500001</t>
  </si>
  <si>
    <t>Gunashekar, DD; Bielak, L; Hägele, L; Oerther, B; Benndorf, M; Grosu, AL; Brox, T; Zamboglou, C; Bock, M</t>
  </si>
  <si>
    <t>Automatic prostate tumor segmentation is often unable to identify the lesion even if multi-parametric MRI data is used as input, and the segmentation output is difficult to verify due to the lack of clinically established ground truth images. In this work we use an explainable deep learning model to interpret the predictions of a convolutional neural network (CNN) for prostate tumor segmentation. The CNN uses a U-Net architecture which was trained on multi-parametric MRI data from 122 patients to automatically segment the prostate gland and prostate tumor lesions. In addition, co-registered ground truth data from whole mount histopathology images were available in 15 patients that were used as a test set during CNN testing. To be able to interpret the segmentation results of the CNN, heat maps were generated using the Gradient Weighted Class Activation Map (Grad-CAM) method. The CNN achieved a mean Dice Sorensen Coefficient 0.62 and 0.31 for the prostate gland and the tumor lesions -with the radiologist drawn ground truth and 0.32 with whole-mount histology ground truth for tumor lesions. Dice Sorensen Coefficient between CNN predictions and manual segmentations from MRI and histology data were not significantly different. In the prostate the Grad-CAM heat maps could differentiate between tumor and healthy prostate tissue, which indicates that the image information in the tumor was essential for the CNN segmentation.</t>
  </si>
  <si>
    <t>Gunashekar, Deepa Darshini; Bielak, Lars; Haegele, Leonard; Oerther, Benedict; Benndorf, Matthias; Grosu, Anca-L; Brox, Thomas; Zamboglou, Constantinos; Bock, Michael</t>
  </si>
  <si>
    <t>Gunashekar, DD (corresponding author), Univ Freiburg, Med Ctr Univ Freiburg, Fac Med, Dept Radiol,Med Phys, Freiburg, Germany.</t>
  </si>
  <si>
    <t>deepa.darshini.gunashekar@uniklinik-freiburg.de</t>
  </si>
  <si>
    <t>Klaus Tschira Stiftung GmbH [00.014.2019]; German Science Foundation (DFG) [BO 3025/14-1]</t>
  </si>
  <si>
    <t>Klaus Tschira Stiftung GmbH; German Science Foundation (DFG) (German Research Foundation (DFG))</t>
  </si>
  <si>
    <t>This work was supported by a research grant from the Klaus Tschira Stiftung GmbH (Grant No. 00.014.2019), and by the German Science Foundation (DFG) under research grant BO 3025/14-1.</t>
  </si>
  <si>
    <t>[Gunashekar, Deepa Darshini; Bielak, Lars; Haegele, Leonard; Bock, Michael] Univ Freiburg, Med Ctr Univ Freiburg, Fac Med, Dept Radiol,Med Phys, Freiburg, Germany; [Bielak, Lars; Grosu, Anca-L; Zamboglou, Constantinos; Bock, Michael] German Canc Consortium DKTK, Partner Site Freiburg, Freiburg, Germany; [Oerther, Benedict; Benndorf, Matthias; Grosu, Anca-L; Zamboglou, Constantinos] Univ Freiburg, Med Ctr Univ Freiburg, Fac Med, Dept Radiol, Freiburg, Germany; [Brox, Thomas] Univ Freiburg, Dept Comp Sci, Freiburg, Germany</t>
  </si>
  <si>
    <t>University of Freiburg; Helmholtz Association; German Cancer Research Center (DKFZ); University of Freiburg; University of Freiburg</t>
  </si>
  <si>
    <t>Explainable AI for CNN-based prostate tumor segmentation in multi-parametric MRI correlated to whole mount histopathology</t>
  </si>
  <si>
    <t>RADIATION ONCOLOGY</t>
  </si>
  <si>
    <t>Convolutional neural network; Automatic prostate tumor segmentation; Histological validation</t>
  </si>
  <si>
    <t>CANCER; IMAGES</t>
  </si>
  <si>
    <t>Zamboglou, Constantinos/OOK-3845-2025; Bock, Michael/B-2987-2009</t>
  </si>
  <si>
    <t>Benndorf, Matthias/0000-0002-0407-1266; Bock, Michael/0000-0001-9720-3506</t>
  </si>
  <si>
    <t>1748-717X</t>
  </si>
  <si>
    <t>RADIAT ONCOL</t>
  </si>
  <si>
    <t>Radiat. Oncol.</t>
  </si>
  <si>
    <t>APR 2 2022</t>
  </si>
  <si>
    <t>10.1186/s13014-022-02035-0</t>
  </si>
  <si>
    <t>http://dx.doi.org/10.1186/s13014-022-02035-0</t>
  </si>
  <si>
    <t>0F5JT</t>
  </si>
  <si>
    <t>35366918</t>
  </si>
  <si>
    <t>WOS:000777396500001</t>
  </si>
  <si>
    <t>Belgodere, B; Dognin, P; Ivankay, A; Melnyk, I; Mroueh, Y; Mojsilovic, A; Navratil, J; Nitsure, A; Padhi, I; Rigotti, M; Ross, J; Schiff, Y; Vedpathak, R; Young, RA</t>
  </si>
  <si>
    <t>Real-world data often exhibits bias, imbalance, and privacy risks. Synthetic datasets have emerged to address these issues by enabling a paradigm that relies on generative AI models to generate unbiased, privacy-preserving data while maintaining fidelity to the original data. However, assessing the trustworthiness of synthetic datasets and models is a critical challenge. We introduce a holistic auditing framework that comprehensively evaluates synthetic datasets and AI models. It focuses on preventing bias and discrimination, ensuring fidelity to the source data, and assessing utility, robustness, and privacy preservation. We demonstrate our framework's effectiveness by auditing various generative models across diverse use cases like education, healthcare, banking, and human resources, spanning different data modalities such as tabular, time-series, vision, and natural language. This holistic assessment is essential for compliance with regulatory safeguards. We introduce a trustworthiness index to rank synthetic datasets based on their safeguards trade-offs. Furthermore, we present a trustworthiness-driven model selection and cross-validation process during training, exemplified with "TrustFormers" across various data types. This approach allows for controllable trustworthiness trade-offs in synthetic data creation. Our auditing framework fosters collaboration among stakeholders, including data scientists, governance experts, internal reviewers, external certifiers, and regulators. This transparent reporting should become a standard practice to prevent bias, discrimination, and privacy violations, ensuring compliance with policies and providing accountability, safety, and performance guarantees.</t>
  </si>
  <si>
    <t>Belgodere, Brian; Dognin, Pierre; Ivankay, Adam; Melnyk, Igor; Mroueh, Youssef; Mojsilovic, Aleksandra; Navratil, Jiri; Nitsure, Apoorva; Padhi, Inkit; Rigotti, Mattia; Ross, Jerret; Schiff, Yair; Vedpathak, Radhika; Young, Richard A.</t>
  </si>
  <si>
    <t>Mroueh, Y; Padhi, I (corresponding author), IBM Res, Yorktown Hts, NY 10598 USA.</t>
  </si>
  <si>
    <t>inkpad@ibm.com; mroueh@us.ibm.com</t>
  </si>
  <si>
    <t>IBM Research</t>
  </si>
  <si>
    <t>IBM Research (International Business Machines (IBM))</t>
  </si>
  <si>
    <t>The authors would like to thank IBM Research for supporting this work. Youssef Mroueh would like to thank Payel Das, Kush R. Varshney, and Abdel Hamou-Lhadj for insightful discussions.</t>
  </si>
  <si>
    <t>[Belgodere, Brian; Dognin, Pierre; Ivankay, Adam; Melnyk, Igor; Mroueh, Youssef; Navratil, Jiri; Nitsure, Apoorva; Padhi, Inkit; Rigotti, Mattia; Ross, Jerret; Schiff, Yair; Vedpathak, Radhika] IBM Res, Yorktown Hts, NY 10598 USA; [Mojsilovic, Aleksandra] Google LLC, Mountain View, CA 94043 USA; [Rigotti, Mattia] IBM Zurich, CH-8803 Ruschlikon, Switzerland; [Schiff, Yair] Cornell Univ, New York, NY 10044 USA; [Young, Richard A.] BM Res, ZA-2000 Johannesburg, South Africa</t>
  </si>
  <si>
    <t>International Business Machines (IBM); IBM USA; Alphabet Inc.; Google Incorporated; International Business Machines (IBM); IBM Switzerland; Cornell University</t>
  </si>
  <si>
    <t>Auditing and Generating Synthetic Data With Controllable Trust Trade-Offs</t>
  </si>
  <si>
    <t>IEEE JOURNAL ON EMERGING AND SELECTED TOPICS IN CIRCUITS AND SYSTEMS</t>
  </si>
  <si>
    <t>Trustworthy AI; synthetic data; auditing; auditing; gen- erative AI; gen- erative AI</t>
  </si>
  <si>
    <t>Rigotti, Mattia/H-7252-2019</t>
  </si>
  <si>
    <t>Dognin, Pierre/0000-0001-5688-6005</t>
  </si>
  <si>
    <t>2156-3357</t>
  </si>
  <si>
    <t>2156-3365</t>
  </si>
  <si>
    <t>IEEE J EM SEL TOP C</t>
  </si>
  <si>
    <t>IEEE Jour. Emer. Select. Top. Circu. Syste.</t>
  </si>
  <si>
    <t>773</t>
  </si>
  <si>
    <t>788</t>
  </si>
  <si>
    <t>10.1109/JETCAS.2024.3477976</t>
  </si>
  <si>
    <t>http://dx.doi.org/10.1109/JETCAS.2024.3477976</t>
  </si>
  <si>
    <t>P5D9K</t>
  </si>
  <si>
    <t>WOS:001378122500014</t>
  </si>
  <si>
    <t>Matias, JN; Price, M</t>
  </si>
  <si>
    <t>As AI systems from decision-making algorithms to generative AI are deployed more widely, computer scientists and social scientists alike are being called on to provide trustworthy quantitative evaluations of AI safety and reliability. These calls have included demands from affected parties to be given a seat at the table of AI evaluation. What, if anything, can public involvement add to the science of AI? In this perspective, we summarize the sociotechnical challenge of evaluating AI systems, which often adapt to multiple layers of social context that shape their outcomes. We then offer guidance for improving the science of AI by engaging lived-experience experts in the design, data collection, and interpretation of scientific evaluations. This article reviews common models of public engagement in AI research alongside common concerns about participatory methods, including questions about generalizable knowledge, subjectivity, reliability, and practical logistics. To address these questions, we summarize the literature on participatory science, discuss case studies from AI in healthcare, and share our own experience evaluating AI in areas from policing systems to social media algorithms. Overall, we describe five parts of any quantitative evaluation where public participation can improve the science of AI: equipoise, explanation, measurement, inference, and interpretation. We conclude with reflections on the role that participatory science can play in trustworthy AI by supporting trustworthy science.</t>
  </si>
  <si>
    <t>Matias, J. Nathan; Price, Megan</t>
  </si>
  <si>
    <t>Matias, JN (corresponding author), Cornell Univ, Dept Commun, Citizens &amp; Technol Laand Staff Buy B, Ithaca, NY 14853 USA.; Matias, JN (corresponding author), Coalit Independent Technol Res, San Francisco, CA 94188 USA.</t>
  </si>
  <si>
    <t>nathan.matias@cornell.edu</t>
  </si>
  <si>
    <t>Templeton World Charity Foundation; John D. and Catherine T. MacArthur Foundation; Heising-Simons Foundation; Siegel Family Endowment</t>
  </si>
  <si>
    <t>Templeton World Charity Foundation (Templeton World Charity Foundation); John D. and Catherine T. MacArthur Foundation; Heising-Simons Foundation (ACEV Foundation); Siegel Family Endowment</t>
  </si>
  <si>
    <t>We are grateful to all the community partners who we have learned from in the endeavor of participatory science. We also appreciate Tim Davies and MarianneAubin Le Quere for feedback. This project was supported by grants from the Templeton World Charity Foundation (https://doi.org/10.54224/33008), the John D. and Catherine T. MacArthur Foundation, the Heising-Simons Foundation, and the Siegel Family Endowment.</t>
  </si>
  <si>
    <t>[Matias, J. Nathan] Cornell Univ, Dept Commun, Citizens &amp; Technol Laand Staff Buy B, Ithaca, NY 14853 USA; [Matias, J. Nathan] Coalit Independent Technol Res, San Francisco, CA 94188 USA; [Price, Megan] Los Angeles Grp, Human Rights Data Anal, Los Angeles, CA 90012 USA</t>
  </si>
  <si>
    <t>Cornell University</t>
  </si>
  <si>
    <t>How public involvement can improve the science of AI</t>
  </si>
  <si>
    <t>PROCEEDINGS OF THE NATIONAL ACADEMY OF SCIENCES OF THE UNITED STATES OF AMERICA</t>
  </si>
  <si>
    <t>AI; participatory research; policy; evaluation; citizen science</t>
  </si>
  <si>
    <t>CITIZEN SCIENCE; LIVED EXPERIENCE; ETHICS; BIAS</t>
  </si>
  <si>
    <t>Matias, J. Nathan/0000-0001-8910-0208; Price, Megan/0009-0003-2067-6892</t>
  </si>
  <si>
    <t>NATL ACAD SCIENCES</t>
  </si>
  <si>
    <t>2101 CONSTITUTION AVE NW, WASHINGTON, DC 20418 USA</t>
  </si>
  <si>
    <t>0027-8424</t>
  </si>
  <si>
    <t>1091-6490</t>
  </si>
  <si>
    <t>P NATL ACAD SCI USA</t>
  </si>
  <si>
    <t>Proc. Natl. Acad. Sci. U. S. A.</t>
  </si>
  <si>
    <t>e2421111122</t>
  </si>
  <si>
    <t>10.1073/pnas.2421111122</t>
  </si>
  <si>
    <t>http://dx.doi.org/10.1073/pnas.2421111122</t>
  </si>
  <si>
    <t>AJ9GH</t>
  </si>
  <si>
    <t>41237198</t>
  </si>
  <si>
    <t>WOS:001649887100001</t>
  </si>
  <si>
    <t>Islam, MK; Rahman, MM; Ali, MS; Mahim, SM; Miah, MS</t>
  </si>
  <si>
    <t>In this study, we propose a novel approach called DCNN-ViT-GRU, which combines deep Convolutional Neural Networks (CNNs) with Gated Recurrent Units (GRUs) and the Vision Transformer (ViT) model for the accurate detection and classification of lung abnormalities. By leveraging the strengths of both CNNs and the ViT model, our architecture automatically extracts meaningful features from lung images, leading to improved diagnostic capabilities. The DCNN-ViT-GRU model utilizes a combination of deep CNN and GRU layers, allowing it to effectively capture local and global patterns. This comprehensive feature representation enhances the model's ability to identify various abnormalities in lung images, including lung cancer, COVID-19, and pneumonia. To further enhance the interpretability and transparency of our model, we integrate Explainable Artificial Intelligence (XAI) techniques, including LIME and SHAP. This integration provides valuable insights into the decisionmaking process of the DCNN-ViT-GRU model, enabling clinicians to understand and validate the predictions made by the model. We evaluated the performance of our proposed approach on diverse datasets containing cases of lung abnormalities. Through cross-validation, our DCNN-ViT-GRU model achieved impressive weighted mean accuracy of 99% and 99.86% for two distinct datasets, demonstrating its superior performance. Furthermore, in hold-out validation on separate datasets, the model achieved accuracies of 99.09% and 99.87%, respectively. Integrating the XAI techniques enhances the interpretability of the DCNN-ViT-GRU model and provides clinicians with valuable insights regarding the factors contributing to the diagnosis of lung abnormalities. This approach presents a promising solution for accurate and interpretable lung abnormalities detection and classification, with potential implications for improved patient care and treatment planning.</t>
  </si>
  <si>
    <t>Islam, Md Khairul; Rahman, Md Mahbubur; Ali, Md Shahin; Mahim, S. M.; Miah, Md Sipon</t>
  </si>
  <si>
    <t>Islam, MK (corresponding author), Islamic Univ, Dept Biomed Engn, Kushtia 7003, Bangladesh.; Rahman, MM (corresponding author), Islamic Univ, Dept Informat &amp; Commun Technol, Kushtia 7003, Bangladesh.</t>
  </si>
  <si>
    <t>khairul.ice06@gmail.com; mrahman@ict.iu.ac.bd</t>
  </si>
  <si>
    <t>Bio-Imaging Research Lab, Department of Biomedical Engineering, Islamic University [Kushtia-7003]</t>
  </si>
  <si>
    <t>Bio-Imaging Research Lab, Department of Biomedical Engineering, Islamic University</t>
  </si>
  <si>
    <t>We would like to acknowledge the support provided by the Bio- Imaging Research Lab, Department of Biomedical Engineering, Islamic University, Kushtia-7003, Bangladesh, in carrying out our research successfully.</t>
  </si>
  <si>
    <t>[Islam, Md Khairul; Ali, Md Shahin; Mahim, S. M.] Islamic Univ, Dept Biomed Engn, Kushtia 7003, Bangladesh; [Rahman, Md Mahbubur; Miah, Md Sipon] Islamic Univ, Dept Informat &amp; Commun Technol, Kushtia 7003, Bangladesh; [Miah, Md Sipon] Univ Carlos III Madrid, Dept Signal Theory &amp; Commun, Madrid 28911, Spain</t>
  </si>
  <si>
    <t>Islamic University; Islamic University; Universidad Carlos III de Madrid</t>
  </si>
  <si>
    <t>Enhancing lung abnormalities diagnosis using hybrid DCNN-ViT-GRU model with explainable AI: A deep learning approach</t>
  </si>
  <si>
    <t>Lung cancer; COVID-19; Pre-processing; Feature extraction; DCNN-ViT-GRU; Explainable AI</t>
  </si>
  <si>
    <t>Islam, Khairul/AGF-7094-2022; Ali, Shahin/AEV-7853-2022; Rahman, Mahbubur/AAX-4756-2020; Miah, Sipon/AAK-5397-2020</t>
  </si>
  <si>
    <t>Islam, Khairul/0000-0002-6973-1536; Ali, Shahin/0000-0003-2564-8746; Miah, Sipon/0000-0002-6986-1517</t>
  </si>
  <si>
    <t>104918</t>
  </si>
  <si>
    <t>10.1016/j.imavis.2024.104918</t>
  </si>
  <si>
    <t>http://dx.doi.org/10.1016/j.imavis.2024.104918</t>
  </si>
  <si>
    <t>JJ0T4</t>
  </si>
  <si>
    <t>WOS:001172687000001</t>
  </si>
  <si>
    <t>Machado, J; Sousa, R; Peixoto, H; Abelha, A</t>
  </si>
  <si>
    <t>This article proposes a framework for integrating ethical reasoning into AI systems through Continuous Logic Programming (CLP), emphasizing the improvement of transparency and accountability in automated decision-making. The study highlights requirements for AI that respects human values and societal norms by examining concerns such as algorithmic bias, data privacy, and ethical dilemmas in fields like healthcare and autonomous systems. The proposed CLP-based methodology offers a systematic, elucidative framework for ethical decision-making, allowing AI systems to balance operational efficiency with ethical principles. Important contributions include strategies for the integration of ethical frameworks, stakeholder engagement, and transparency, as well as discussion on artificial moral agents and their function in addressing ethical dilemmas in AI. The paper presents practical examples that illustrate the application of CLP in ethical reasoning, highlighting its ability to bring together AI performance with responsible AI practices.</t>
  </si>
  <si>
    <t>Machado, Jose; Sousa, Regina; Peixoto, Hugo; Abelha, Antonio</t>
  </si>
  <si>
    <t>Machado, J (corresponding author), Univ Minho, ALGORITMI LASI, P-4710057 Braga, Portugal.</t>
  </si>
  <si>
    <t>regina.sousa@algoritmi.uminho.pt; hpeixoto@di.uminho.pt; jmac@di.uminho.pt; abelha@di.uminho.pt</t>
  </si>
  <si>
    <t>FCT-Fundao para a Cincia e Tecnologia [UIDB/00319/2020]</t>
  </si>
  <si>
    <t>FCT-Fundao para a Cincia e Tecnologia (Fundacao para a Ciencia e a Tecnologia (FCT))</t>
  </si>
  <si>
    <t>This work has been supported by FCT-Fundac &amp; atilde;o para a Ciencia e Tecnologia within the R&amp;D Units Project Scope: UIDB/00319/2020.</t>
  </si>
  <si>
    <t>[Machado, Jose; Sousa, Regina; Peixoto, Hugo; Abelha, Antonio] Univ Minho, ALGORITMI LASI, P-4710057 Braga, Portugal</t>
  </si>
  <si>
    <t>Universidade do Minho</t>
  </si>
  <si>
    <t>Ethical Decision-Making in Artificial Intelligence: A Logic Programming Approach</t>
  </si>
  <si>
    <t>computational ethics; logic programming; artificial moral ethics; moral agents</t>
  </si>
  <si>
    <t>Abelha, Antonio/B-6470-2009; Sousa, Regina/IWE-4124-2023; Ferreira Machado, José Manuel/B-5887-2009; Peixoto, Hugo/E-3195-2010</t>
  </si>
  <si>
    <t>Abelha, Antonio/0000-0001-6457-0756; Sousa, Regina/0000-0002-2988-196X; Ferreira Machado, José Manuel/0000-0003-4121-6169; Peixoto, Hugo/0000-0003-3957-2121</t>
  </si>
  <si>
    <t>2707</t>
  </si>
  <si>
    <t>2724</t>
  </si>
  <si>
    <t>10.3390/ai5040130</t>
  </si>
  <si>
    <t>http://dx.doi.org/10.3390/ai5040130</t>
  </si>
  <si>
    <t>Q3Y9N</t>
  </si>
  <si>
    <t>WOS:001384090100001</t>
  </si>
  <si>
    <t>Ito-Jaeger, S; Lane, G; Dowthwaite, L; Webb, H; Patel, M; Rawsthorne, M; Portillo, V; Jirotka, M; Vallejos, EP</t>
  </si>
  <si>
    <t>This paper presents a new methodological approach, TrustScapes, an open access tool designed to identify and visualise stakeholders' concerns and policy recommendations on data protection, algorithmic bias, and online safety for a fairer and more trustworthy online world. We first describe how the tool was co-created with young people and other stakeholders through a series of workshops. We then present two sets of TrustScapes focus groups to illustrate how the tool can be used, and the data analysed. The paper then provides the methodological insights, including the strengths of the TrustScapes and the lessons for future research using TrustScapes. A key strength of this method is that it allows people to visualise their ideas and thoughts on the worksheet, using the keywords and sketches provided. The flexibility in the mode of delivery is another strength of the TrustScapes method. The TrustScapes focus groups can be conducted in a relatively short time (1.5-2 hours), either in person or online depending on the participants' needs, geological locations, and practicality. Our experience with the TrustScapes offers some lessons (related to the data collection and analysis) for researchers who wish to use this method in the future. Finally, we describe how the outcomes from the TrustScapes focus groups should help to inform future policy decisions.</t>
  </si>
  <si>
    <t>Ito-Jaeger, Sachiyo; Lane, Giles; Dowthwaite, Liz; Webb, Helena; Patel, Menisha; Rawsthorne, Mat; Portillo, Virginia; Jirotka, Marina; Vallejos, Elvira Perez</t>
  </si>
  <si>
    <t>Ito-Jaeger, S (corresponding author), NIHR Nottingham Biomed Res Ctr, Nottingham, England.; Ito-Jaeger, S (corresponding author), Univ Nottingham, Fac Med &amp; Hlth Sci, Inst Mental Hlth, Innovat Pk, Triumph Rd, Nottingham NG7 2TU, England.</t>
  </si>
  <si>
    <t>sachiyo.ito-jaeger@nottingham.ac.uk</t>
  </si>
  <si>
    <t>Engineering and Physical Sciences Research Council [EP/N02785X/1]; NIHR Nottingham Biomedical Research Centre; Engineering and Physical Sciences Research Council [EP/N02785X/1] Funding Source: researchfish</t>
  </si>
  <si>
    <t>Engineering and Physical Sciences Research Council (UK Research &amp; Innovation (UKRI), Engineering &amp; Physical Sciences Research Council (EPSRC)); NIHR Nottingham Biomedical Research Centre (University of Nottingham); Engineering and Physical Sciences Research Council (UK Research &amp; Innovation (UKRI), Engineering &amp; Physical Sciences Research Council (EPSRC))</t>
  </si>
  <si>
    <t>The author(s) disclosed receipt of the following financial support for the research, authorship, and/or publication of this article: This work was supported by the Engineering and Physical Sciences Research Council (EP/N02785X/1). Sachiyo Ito-Jaeger and Elvira Perez Vallejos acknowledge the financial support of the NIHR Nottingham Biomedical Research Centre.</t>
  </si>
  <si>
    <t>[Ito-Jaeger, Sachiyo; Vallejos, Elvira Perez] NIHR Nottingham Biomed Res Ctr, Nottingham, England; [Ito-Jaeger, Sachiyo; Vallejos, Elvira Perez] Univ Nottingham, Fac Med &amp; Hlth Sci, Nottingham, England; [Lane, Giles] Proboscis, London, England; [Dowthwaite, Liz; Webb, Helena; Portillo, Virginia; Vallejos, Elvira Perez] Univ Nottingham, Sch Comp Sci, Nottingham, England; [Patel, Menisha] Kings Coll London, Kings Business Sch, London, England; [Rawsthorne, Mat] HD Labs, Stockport, England; [Jirotka, Marina] Univ Oxford, Dept Comp Sci, Oxford, England; [Ito-Jaeger, Sachiyo] Univ Nottingham, Fac Med &amp; Hlth Sci, Inst Mental Hlth, Innovat Pk, Triumph Rd, Nottingham NG7 2TU, England</t>
  </si>
  <si>
    <t>University of Nottingham; University of Nottingham; University of London; King's College London; University of Oxford; University of Nottingham</t>
  </si>
  <si>
    <t>TrustScapes: A Visualisation Tool to Capture Stakeholders' Concerns and Recommendations About Data Protection, Algorithmic Bias, and Online Safety</t>
  </si>
  <si>
    <t>trust; stakeholder engagement; co-creation; algorithmic bias; data protection; online safety; responsible research and innovation; patient and public involvement</t>
  </si>
  <si>
    <t>ILLUSTRATIONS; IMPACT; INFORMATION</t>
  </si>
  <si>
    <t>Lane, Giles/G-8792-2019; Webb, Helena/HMV-9820-2023; Ito-Jaeger, Sachiyo/ABA-8589-2021</t>
  </si>
  <si>
    <t>Dowthwaite, Liz/0000-0001-9269-2849; Lane, Giles/0000-0001-5222-4469; Portillo, Virginia/0000-0002-1981-3840; Ito-Jaeger, Sachiyo/0000-0001-9664-7797; Rawsthorne, Mat/0000-0002-7481-693X; Perez Vallejos, Elvira/0000-0002-0258-9440</t>
  </si>
  <si>
    <t>JUN 24 2023</t>
  </si>
  <si>
    <t>16094069231186965</t>
  </si>
  <si>
    <t>10.1177/16094069231186965</t>
  </si>
  <si>
    <t>http://dx.doi.org/10.1177/16094069231186965</t>
  </si>
  <si>
    <t>L4KX5</t>
  </si>
  <si>
    <t>WOS:001022976400001</t>
  </si>
  <si>
    <t>Rajendra, JB; Thuraisingam, AS</t>
  </si>
  <si>
    <t>As artificial intelligence (AI) systems are increasingly applied in critical domains such as healthcare, finance, and criminal justice, the need for explainability and meaningful human oversight has become a pressing legal and ethical concern. The inherent opacity of complex AI models, often described as the 'black box problem,' raises significant challenges in ensuring accountability, fairness, and due process when automated decisions impact individual rights and opportunities. This paper critically examines the legal frameworks governing AI explainability and human intervention across selected jurisdictions, including the European Union, the United States, the United Kingdom, Singapore, and Malaysia. It analyses the contrasting regulatory approaches, such as the enforceable rights under the EU AI Act and GDPR, compared with the more fragmented and sectoral models in the United States. The paper explores sector-specific instances of algorithmic discrimination in lending, diagnostic errors in healthcare, and wrongful arrests linked to facial recognition to illustrate the regulatory gaps and practical risks of insufficient transparency. It identifies key challenges such as limited enforcement mechanisms, legal ambiguity, the trade-off between accuracy and interpretability, and cross-jurisdictional inconsistencies. The paper concludes with policy recommendations that include strengthening statutory obligations for explainability, establishing algorithmic audit frameworks, developing transparency registries, and promoting greater international coordination in AI governance.</t>
  </si>
  <si>
    <t>Rajendra, Josephine Bhavani; Thuraisingam, Ambikai S.</t>
  </si>
  <si>
    <t>Rajendra, JB (corresponding author), Taylors Univ, Fac Business &amp; Law, Sch Law &amp; Governance, Subang Jaya, Selangor, Malaysia.</t>
  </si>
  <si>
    <t>josephine.rajendra@taylors.edu.my</t>
  </si>
  <si>
    <t>[Rajendra, Josephine Bhavani; Thuraisingam, Ambikai S.] Taylors Univ, Fac Business &amp; Law, Sch Law &amp; Governance, Subang Jaya, Selangor, Malaysia</t>
  </si>
  <si>
    <t>Taylor's University</t>
  </si>
  <si>
    <t>The role of explainability and human intervention in AI decisions: jurisdictional and regulatory aspects</t>
  </si>
  <si>
    <t>INFORMATION &amp; COMMUNICATIONS TECHNOLOGY LAW</t>
  </si>
  <si>
    <t>Explainability; human oversight; algorithmic accountability; AI ethics; regulatory compliance</t>
  </si>
  <si>
    <t>1360-0834</t>
  </si>
  <si>
    <t>1469-8404</t>
  </si>
  <si>
    <t>INF COMMUN TECHNOL L</t>
  </si>
  <si>
    <t>Inf. Commun. Technol. Law</t>
  </si>
  <si>
    <t>MAY 4 2026</t>
  </si>
  <si>
    <t>152</t>
  </si>
  <si>
    <t>10.1080/13600834.2025.2537514</t>
  </si>
  <si>
    <t>http://dx.doi.org/10.1080/13600834.2025.2537514</t>
  </si>
  <si>
    <t>HG8SX</t>
  </si>
  <si>
    <t>WOS:001537692500001</t>
  </si>
  <si>
    <t>Liu, R; Zhou, ZH; Song, YY; Jiang, ZY; Liu, YF</t>
  </si>
  <si>
    <t>Purpose: Deep generative models in MRI are hindered by "hallucinations" and a lack of safety mechanisms. This study introduces a physics-driven framework for trustworthy Virtual Fat Suppression (VFS), enabling automated quality control and active risk tiering. Methods: A differentiable Bloch layer was embedded into an RRDB-RaGAN architecture to enforce physics-based signal consistency during synthesis. An uncertainty-guided training strategy with artifact-enriched supervision was further introduced to support a three-tier risk model for auto-pass, human review, and rejection. The framework was evaluated using quantitative fidelity metrics, real-world severe artifact detection, and blinded clinical reader assessment. Results: In real-world severe artifact detection, the image-level uncertainty score achieved an AUC of 0.9053 and a recall of 81.82% at a false-positive rate of 4.69%. In blinded clinical evaluation, agreement between AI-predicted and reader-mapped risk tiers was substantial (quadratic weighted Cohen's kappa = 0.7938), and images assigned to the Low-Risk tier achieved a mean Likert score of 4.70 +/- 0.61. Conclusion: By coupling physics-constrained synthesis with uncertainty-based risk governance, the proposed framework provides a practical and auditable safety layer for virtual fat suppression in clinical MRI workflows.</t>
  </si>
  <si>
    <t>Liu, Rong; Zhou, Zenghan; Song, Yingying; Jiang, Zongyan; Liu, Yuanfeng</t>
  </si>
  <si>
    <t>Liu, R (corresponding author), Wuhan Univ Sci &amp; Technol, Wuhan Puren Hosp, 1 Benxi St,Jianshe Fourth Rd, Wuhan 430080, Hubei, Peoples R China.</t>
  </si>
  <si>
    <t>dr_liurong@whu.edu.cn</t>
  </si>
  <si>
    <t>Natural Science Foundation of Hubei Province [2025AFD856]; Hubei Key Laboratory of Mine Environmental Pollution Control and Remediation [JF2024-K02]</t>
  </si>
  <si>
    <t>Natural Science Foundation of Hubei Province (Natural Science Foundation of Hubei Province); Hubei Key Laboratory of Mine Environmental Pollution Control and Remediation</t>
  </si>
  <si>
    <t>This study was supported by the Natural Science Foundation of Hubei Province (Grant No. 2025AFD856) and the Hubei Key Laboratory of Mine Environmental Pollution Control and Remediation (Grant No. JF2024-K02) .</t>
  </si>
  <si>
    <t>[Liu, Rong; Zhou, Zenghan; Song, Yingying; Jiang, Zongyan] Wuhan Univ Sci &amp; Technol, Wuhan Puren Hosp, 1 Benxi St,Jianshe Fourth Rd, Wuhan 430080, Hubei, Peoples R China; [Liu, Rong; Zhou, Zenghan; Liu, Yuanfeng] Wuhan Univ Sci &amp; Technol, Inst Med Innovat &amp; Transformat, Puren Hosp, 1 Benxi Rd,Jianshe Fourth Rd, Wuhan 430080, Hubei, Peoples R China; [Liu, Rong; Liu, Yuanfeng] Wuhan Liu Sanwu Tradit Chinese Med Orthoped Hosp, 388,Xingkeli,Wenchang Ave,Zhucheng St, Wuhan 431400, Hubei, Peoples R China</t>
  </si>
  <si>
    <t>Wuhan University of Science &amp; Technology; Wuhan University of Science &amp; Technology</t>
  </si>
  <si>
    <t>Toward safe deployment of deep learning in MRI: A physics-driven uncertainty framework for automated quality control and risk Tiering in virtual fat suppression</t>
  </si>
  <si>
    <t>MAGNETIC RESONANCE IMAGING</t>
  </si>
  <si>
    <t>Trustworthy AI; Uncertainty quantification; Physics-informed deep learning; Automated quality control; Magnetic resonance imaging</t>
  </si>
  <si>
    <t>ARTIFACTS</t>
  </si>
  <si>
    <t>Zhou, ZengHan/0009-0003-6424-6624</t>
  </si>
  <si>
    <t>0730-725X</t>
  </si>
  <si>
    <t>1873-5894</t>
  </si>
  <si>
    <t>MAGN RESON IMAGING</t>
  </si>
  <si>
    <t>Magn. Reson. Imaging</t>
  </si>
  <si>
    <t>110700</t>
  </si>
  <si>
    <t>10.1016/j.mri.2026.110700</t>
  </si>
  <si>
    <t>http://dx.doi.org/10.1016/j.mri.2026.110700</t>
  </si>
  <si>
    <t>IB6VJ</t>
  </si>
  <si>
    <t>42103174</t>
  </si>
  <si>
    <t>WOS:001767861000001</t>
  </si>
  <si>
    <t>Prabhu, O; Navada, SG</t>
  </si>
  <si>
    <t>Sentiment analysis, a critical task in natural language processing (NLP), has seen remarkable advancements with transformer-based models like BERT. However, the opacity of these models poses challenges in domains requiring transparency and interpretability. This paper addresses this gap by fine-tuning ModernBERT, an enhanced variant of BERT, on the IMDb movie review dataset for sentiment classification, achieving state-of-the-art performance. To improve interpretability, we integrate explainable AI (XAI) techniques, including SHAP (SHapley Additive exPlanations) and LIME (Local Interpretable Model-agnostic Explanations), which provide insights into the model's decision-making process. Our methodology incorporates layerwise learning rate decay to optimize fine-tuning, ensuring that lower layers retain general knowledge while higher layers adapt to the sentiment analysis task. Comprehensive evaluations demonstrate the model's outstanding performance, achieving an accuracy of 95.78%, precision of 95.10%, recall of 96.52%, and an F1-score of 95.81%. The ROC curve further confirms the model's robustness, achieving an AUC of 0.9904. SHAP and LIME analyses reveal the contribution of key words and phrases to sentiment predictions, enhancing transparency and trustworthiness. By combining high performance with interpretability, this work paves the way for transparent and trustworthy AI in sentiment analysis, benefiting domains like healthcare, market research, and social media monitoring.</t>
  </si>
  <si>
    <t>Prabhu, Omkar; Navada, Sandhyalaxmi G.</t>
  </si>
  <si>
    <t>Navada, SG (corresponding author), Manipal Acad Higher Educ, Manipal Inst Technol, Manipal, India.</t>
  </si>
  <si>
    <t>sandhya.girish@manipal.edu</t>
  </si>
  <si>
    <t>[Prabhu, Omkar; Navada, Sandhyalaxmi G.] Manipal Acad Higher Educ, Manipal Inst Technol, Manipal, India</t>
  </si>
  <si>
    <t>ModernBERT-XAI: a synergistic approach to sentiment analysis with layer-wise learning and SHAP-LIME interpretability</t>
  </si>
  <si>
    <t>SYSTEMS SCIENCE &amp; CONTROL ENGINEERING</t>
  </si>
  <si>
    <t>Sentiment analysis; Explainable AI; IMDb dataset; ModernBERT; SHAP and LIME</t>
  </si>
  <si>
    <t>Navada, Sandhyalaxmi G/0000-0002-2305-9297; Prabhu, Omkar/0009-0002-0990-7365</t>
  </si>
  <si>
    <t>2164-2583</t>
  </si>
  <si>
    <t>SYST SCI CONTROL ENG</t>
  </si>
  <si>
    <t>Syst. Sci. Control Eng.</t>
  </si>
  <si>
    <t>2600795</t>
  </si>
  <si>
    <t>10.1080/21642583.2025.2600795</t>
  </si>
  <si>
    <t>http://dx.doi.org/10.1080/21642583.2025.2600795</t>
  </si>
  <si>
    <t>X4601</t>
  </si>
  <si>
    <t>WOS:001640629600001</t>
  </si>
  <si>
    <t>Fatima, A; Masood, S</t>
  </si>
  <si>
    <t>Parkinson's Disease (PD) is a severe neurodegenerative disorder with significant societal impact due to the lack of effective diagnostic tools for early detection, leading to challenges in treatment efficacy. This study addresses this gap by leveraging gene expression data as a potential avenue for early PD diagnosis. Five datasets were obtained from the GEO database and consolidated into a unified dataset for a comprehensive analysis. Various feature selection methodologies were employed to pinpoint PD-associated genes, followed by testing multiple classification algorithms, including logistic regression, support vector machine, decision tree, random forest, extreme gradient boosting, and stacking. Feature selection techniques such as recursive feature elimination, minimum redundancy maximum relevance, elasticnet, XGBoost, and Lasso were applied to differentiate PD patients from healthy controls. Furthermore, an in-depth analysis was also conducted on a specific feature selection and classification algorithm combination to enhance performance metrics. The interpretability of the models was enhanced using Shapley Additive Explanations (SHAP) for LR and Stacking methods. SHAP identifies the most important genes and aids in discovering potential biomarkers for PD. Identifying potential biomarkers can be crucial for early diagnosis, prognosis, and treatment strategies. The results demonstrated superior performance compared to existing methods, achieving an accuracy of 86.75 %, precision of 87.71 %, recall of 84.88 %, and AUC of 86.75 % using stacking with RFE feature selection on 355 features. These findings showcase promising advancements in early PD diagnosis using gene expression data as identifying potential genes responsible for PD disease helps plan better treatment strategies.</t>
  </si>
  <si>
    <t>Fatima, Ana; Masood, Sarfaraz</t>
  </si>
  <si>
    <t>Fatima, A (corresponding author), Jamia Millia Islamia, Dept Comp Engn, New Delhi 110025, India.</t>
  </si>
  <si>
    <t>ana2008811@st.jmi.ac.in; smasood@jmi.ac.in</t>
  </si>
  <si>
    <t>[Fatima, Ana; Masood, Sarfaraz] Jamia Millia Islamia, Dept Comp Engn, New Delhi 110025, India</t>
  </si>
  <si>
    <t>Jamia Millia Islamia</t>
  </si>
  <si>
    <t>Integrative Analysis of Gene Expression Profiles of Parkinson's Disease Using Feature Selection Approaches and Explainable AI</t>
  </si>
  <si>
    <t>Gene expression data; Machine learning; Parkinson's disease; Blood-based biomarker; Explainable AI</t>
  </si>
  <si>
    <t>CLASSIFICATION; PREDICTION; DIAGNOSIS; MACHINE</t>
  </si>
  <si>
    <t>Masood, Sarfaraz/AAR-6023-2021</t>
  </si>
  <si>
    <t>Fatima, Ana/0009-0005-3470-7375</t>
  </si>
  <si>
    <t>19333</t>
  </si>
  <si>
    <t>19346</t>
  </si>
  <si>
    <t>10.1007/s13369-025-10148-3</t>
  </si>
  <si>
    <t>http://dx.doi.org/10.1007/s13369-025-10148-3</t>
  </si>
  <si>
    <t>D6206</t>
  </si>
  <si>
    <t>WOS:001473759000001</t>
  </si>
  <si>
    <t>Kucukakcali, Z; Cicek, IB; Akbulut, S</t>
  </si>
  <si>
    <t>Background/Objectives: This study aims to build an interpretable and accurate predictive model for myocardial infarction (MI) using Explainable Boosting Machines (EBM), a state-of-the-art Explainable Artificial Intelligence (XAI) technique. The objective is to identify and rank clinically relevant biomarkers that contribute to MI diagnosis while maintaining transparency to support clinical decision making. Methods: The dataset comprises 1319 patient records collected in 2018 from a cardiology center in the Erbil region of Iraq. Each record includes eight routinely measured clinical and biochemical features, such as troponin, CK-MB, and glucose levels, and a binary outcome variable indicating the presence or absence of MI. After preprocessing (e.g., one-hot encoding, normalization), the EBM model was trained using 80% of the data and tested on the remaining 20%. Model performance was evaluated using standard metrics including AUC, accuracy, sensitivity, specificity, F1 score, and Matthews correlation coefficient. Feature importance was assessed to identify key predictors. Partial dependence analyses provided insights into how each variable affected model predictions. Results: The EBM model demonstrated excellent diagnostic performance, achieving an AUC of 0.980, an accuracy of 96.6%, sensitivity of 96.8%, and specificity of 96.2%. Troponin and CK-MB were identified as the top predictors, confirming their established clinical relevance in MI diagnosis. In contrast, demographic and hemodynamic variables such as age and blood pressure contributed minimally. Partial dependence plots revealed non-linear effects of key biomarkers. Local explanation plots demonstrated the model's ability to make confident, interpretable predictions for both positive and negative cases. Conclusions: The findings highlight the potential of EBM as a clinically useful and ethical AI approach for MI diagnosis. By combining high predictive accuracy with transparency, EBM supports biomarker prioritization and clinical risk stratification, thus aligning with precision medicine and responsible AI principles. Future research should validate the model on multi-center datasets and explore additional features for broader clinical use.</t>
  </si>
  <si>
    <t>Kucukakcali, Zeynep; Cicek, Ipek Balikci; Akbulut, Sami</t>
  </si>
  <si>
    <t>Akbulut, S (corresponding author), Inonu Univ, Fac Med, Dept Biostat &amp; Med Informat, TR-44280 Malatya, Turkiye.; Akbulut, S (corresponding author), Inonu Univ, Fac Med, Dept Surg, TR-44280 Malatya, Turkiye.</t>
  </si>
  <si>
    <t>akbulutsami@gmail.com</t>
  </si>
  <si>
    <t>[Kucukakcali, Zeynep; Cicek, Ipek Balikci; Akbulut, Sami] Inonu Univ, Fac Med, Dept Biostat &amp; Med Informat, TR-44280 Malatya, Turkiye; [Akbulut, Sami] Inonu Univ, Fac Med, Dept Surg, TR-44280 Malatya, Turkiye</t>
  </si>
  <si>
    <t>Inonu University; Inonu University</t>
  </si>
  <si>
    <t>Interpretable Prediction of Myocardial Infarction Using Explainable Boosting Machines: A Biomarker-Based Machine Learning Approach</t>
  </si>
  <si>
    <t>myocardial infarction; biomarkers; machine learning; explainable artificial intelligence; explainable boosting machine; clinical decision support</t>
  </si>
  <si>
    <t>HEART-FAILURE; CARDIOVASCULAR-DISEASE; NATRIURETIC PEPTIDE; CK-MB; DIAGNOSIS; ASSOCIATION; CARDIOLOGY; SOCIETY</t>
  </si>
  <si>
    <t>BALIKCI CICEK, IPEK/ABI-8070-2020; Akbulut, Sami/L-9568-2014; KÜÇÜKAKÇALI, ZEYNEP/ABI-8072-2020</t>
  </si>
  <si>
    <t>BALIKCI CICEK, IPEK/0000-0002-3805-9214; Akbulut, Sami/0000-0002-6864-7711; KÜÇÜKAKÇALI, ZEYNEP/0000-0001-7956-9272</t>
  </si>
  <si>
    <t>SEP 1 2025</t>
  </si>
  <si>
    <t>2219</t>
  </si>
  <si>
    <t>10.3390/diagnostics15172219</t>
  </si>
  <si>
    <t>http://dx.doi.org/10.3390/diagnostics15172219</t>
  </si>
  <si>
    <t>7FZ0A</t>
  </si>
  <si>
    <t>40941706</t>
  </si>
  <si>
    <t>WOS:001570111900001</t>
  </si>
  <si>
    <t>Elbatanouny, H; Hussain, A; Al-Shabi, M; Khan, W; Mahmoud, S</t>
  </si>
  <si>
    <t>Freezing of gait (FOG) is a common symptom of Parkinson's disease (PD), characterized by sudden and temporary episodes of immobility, often resulting in falls and reduced quality of life. Early and accurate prediction of FOG can greatly improve patient outcomes by allowing timely intervention and tailored treatment strategies. This article presents a personalized system for the early prediction of gait freezing in PD patients using explainable artificial intelligence (XAI). The proposed system follows a subject-dependent approach, training models specifically for individual patients to enhance prediction accuracy. It utilized multiple explainability techniques to ensure transparency in the decision-making process, achieving an average accuracy of 98.67 +/- 0.75% using the random forest (RF) model and a latency of 75.0 +/- 31.1 ms across six patients. Feature importance analysis, including SHapley Additive exPlanations (SHAP) and local interpretable model-agnostic explanation (LIME) plots, revealed significant influences of features like the maximum value of the x-axis, the maximum of the accelerometer signal from the x-axis and the standard deviation of the gyroscope signal from the y-axis in classifying gait states.</t>
  </si>
  <si>
    <t>Elbatanouny, Hagar; Hussain, Abir; Al-Shabi, Mohammad; Khan, Wasiq; Mahmoud, Soliman</t>
  </si>
  <si>
    <t>Khan, W (corresponding author), Liverpool John Moores Univ, Dept Comp Sci, Liverpool, England.</t>
  </si>
  <si>
    <t>solimanm@sharjah.ac.ae; abir.hussain@sharjah.ac.ae; U22102889@sharjah.ac.ae; malshabi@sharjah.ac.ae; W.Khan@ljmu.ac.uk</t>
  </si>
  <si>
    <t>[Elbatanouny, Hagar; Hussain, Abir] Univ Sharjah, Dept Elect Engn, Sharjah, U Arab Emirates; [Al-Shabi, Mohammad] Univ Sharjah, Dept Mech &amp; Nucl Engn, Sharjah, U Arab Emirates; [Khan, Wasiq] Liverpool John Moores Univ, Dept Comp Sci, Liverpool, England; [Mahmoud, Soliman] Univ Sharjah, Sharjah, U Arab Emirates</t>
  </si>
  <si>
    <t>University of Sharjah; University of Sharjah; University of Liverpool; Liverpool John Moores University; University of Sharjah</t>
  </si>
  <si>
    <t>Personalized prediction system for early prediction of freezing of gait in Parkinson's disease using explainable AI</t>
  </si>
  <si>
    <t>ROYAL SOCIETY OPEN SCIENCE</t>
  </si>
  <si>
    <t>freezing of gait; Parkinson's disease; machine learning; explainable AI; personalized Parkinson's disease</t>
  </si>
  <si>
    <t>alShabi, Mohammad/T-8696-2019</t>
  </si>
  <si>
    <t>Hussain, Abir/0000-0001-8413-0045</t>
  </si>
  <si>
    <t>ROYAL SOC</t>
  </si>
  <si>
    <t>6-9 CARLTON HOUSE TERRACE, LONDON SW1Y 5AG, ENGLAND</t>
  </si>
  <si>
    <t>2054-5703</t>
  </si>
  <si>
    <t>ROY SOC OPEN SCI</t>
  </si>
  <si>
    <t>R. Soc. Open Sci.</t>
  </si>
  <si>
    <t>250818</t>
  </si>
  <si>
    <t>10.1098/rsos.250818</t>
  </si>
  <si>
    <t>http://dx.doi.org/10.1098/rsos.250818</t>
  </si>
  <si>
    <t>DO3ED</t>
  </si>
  <si>
    <t>WOS:001688172800014</t>
  </si>
  <si>
    <t>Chornenky, D; Haddad, TC; Stetson, PD; Goodman, CS</t>
  </si>
  <si>
    <t>Experts convened at the NCCN 2025 Annual Conference to discuss the rapidly evolving landscape of artificial intelligence (AI) in cancer care, focusing on governance, opportunities, and challenges. Moderated by Clifford S. Goodman, PhD, the panel explored what makes AI unique in oncology, citing data intensity, multimodal data integration, the rapid pace of drug discovery, and high patient engagement. Current applications highlighted include administrative task reduction through record summarization and ambient listening tools, which are already improving efficiency and reducing clinician burden. Looking ahead, panelists foresee AI playing significant roles in precision medicine, predicting protein folding for drug design, optimizing treatment plans, improving remote patient monitoring for proactive care, enabling cancer interception through early detection, and potentially driving research discovery. However, challenges such as model accuracy, data quality, regulatory lag, ensuring trustworthiness, patient privacy, and ethical considerations remain critical. Robust, multidisciplinary governance frameworks, user engagement from inception, transparency, and a focus on demonstrating value are essential for successful and responsible AI adoption in oncology.</t>
  </si>
  <si>
    <t>Chornenky, Dennis; Haddad, Tufia C.; Stetson, Peter D.; Goodman, Clifford S.</t>
  </si>
  <si>
    <t>Chornenky, D (corresponding author), Domelabs AI, 5021 Vernon Ave S, 302, Edina, MN 55436 USA.</t>
  </si>
  <si>
    <t>stetsonp@mskcc.org; haddad.tufia@mayo.edu; dennis@domelabs.ai; cliff.s.goodman@gmail.com</t>
  </si>
  <si>
    <t>[Chornenky, Dennis] Domelabs AI, 5021 Vernon Ave S, 302, Edina, MN 55436 USA; [Haddad, Tufia C.] Mayo Clin, Comprehens Canc Ctr, 200 First St SW, Rochester, MN 55905 USA; [Stetson, Peter D.] Mem Sloan Kettering Canc Ctr, 633 Third Av,Suite 220N, New York, NY 10017 USA; [Goodman, Clifford S.] Clifford Goodman LLC, 5616 Marengo Rd, Bethesda, MD 20816 USA</t>
  </si>
  <si>
    <t>Mayo Clinic; Memorial Sloan Kettering Cancer Center</t>
  </si>
  <si>
    <t>Artificial Intelligence in Cancer Care: Opportunities, Challenges, and Governance</t>
  </si>
  <si>
    <t>e255006</t>
  </si>
  <si>
    <t>10.6004/jnccn.2025.5006</t>
  </si>
  <si>
    <t>http://dx.doi.org/10.6004/jnccn.2025.5006</t>
  </si>
  <si>
    <t>4IE4M</t>
  </si>
  <si>
    <t>WOS:001518604800017</t>
  </si>
  <si>
    <t>Çoban, F; Kutlu, H; Kalyenci, B; Sulhan, H; Çift, A</t>
  </si>
  <si>
    <t>ObjectivePercutaneous nephrolithotomy is the gold standard for treating large kidney stones. However, traditional scoring systems and logistic regression-based models have limited predictive power due to their reliance on linear assumptions. This study developed a machine learning and explainable artificial intelligence-based model incorporating multiple methodological approaches to predict surgical failure after percutaneous nephrolithotomy and compared it with classical methods.Materials and methodsA retrospective analysis was conducted on 287 patients who underwent percutaneous nephrolithotomy between January 2018 and January 2022. Demographic, laboratory, and imaging parameters (stone-to-skin distance, stone dimensions, stone count, etc.) were evaluated. Six different feature selection methods were employed (LASSO, RFE, SHAP, permutation importance, model-based importance, effect size). Multiple machine learning algorithms were tested with cross-validation; model interpretability was achieved through SHAP and LIME analyses. Performance was compared with logistic regression and existing scoring systems (GSS, CROES).ResultsIn logistic regression analysis, presence of multiple stones was identified as an independent risk factor (OR: 1.66), while stone-to-skin distance was a protective factor (OR: 0.68). Among machine learning models, the Voting Classifier demonstrated the highest performance (AUC = 0.839, accuracy = 84.5%, F1 = 0.842), significantly outperforming both logistic regression (AUC = 0.812) and classical scoring systems such as GSS and CROES (AUC = 0.615-0.653). SHAP analysis revealed stone-to-skin distance and stone length in the anterior-posterior dimension as the most influential variables in model predictions.ConclusionThe explainable artificial intelligence-based multi-methodological approach provided higher accuracy and better interpretability in predicting percutaneous nephrolithotomy failure compared to classical methods. This clinically applicable and explainable decision support model offers innovative contributions to urological practice for pre-percutaneous nephrolithotomy risk stratification. Multicenter, prospective external validation studies are needed for generalizability of the findings.</t>
  </si>
  <si>
    <t>Coban, Ferhat; Kutlu, Huseyin; Kalyenci, Bedreddin; Sulhan, Hasan; Cift, Ali</t>
  </si>
  <si>
    <t>Çoban, F (corresponding author), Adiyaman Univ, Fac Med, Dept Urol, Adiyaman, Turkiye.; Çoban, F (corresponding author), Adiyaman Univ Cent, Campus Fac Med Deans Off, Altinsehir Ctr Adiyaman, Turkiye.</t>
  </si>
  <si>
    <t>coban_ferhat@hotmail.com; dr.alicift@gmail.com; bedreddin84@windowslive.com; hkutlu@adiyaman.edu.tr; hasan2302sulhan@gmail.com</t>
  </si>
  <si>
    <t>[Coban, Ferhat; Kalyenci, Bedreddin; Sulhan, Hasan; Cift, Ali] Adiyaman Univ, Fac Med, Dept Urol, Adiyaman, Turkiye; [Kutlu, Huseyin] Adiyaman Univ, Besni Vocat Sch, Comp Using Dept, Adiyaman, Turkiye; [Coban, Ferhat] Adiyaman Univ Cent, Campus Fac Med Deans Off, Altinsehir Ctr Adiyaman, Turkiye</t>
  </si>
  <si>
    <t>From conventional scores to explainable AI: a six-method comparative framework for failure prediction in percutaneous nephrolithotomy</t>
  </si>
  <si>
    <t>Percutaneous nephrolithotomy; Explainable artificial intelligence; Stone skin distance; Multi-methodological</t>
  </si>
  <si>
    <t>GUYS STONE SCORE; EXTERNAL VALIDATION; OUTCOMES; SYSTEM; NOMOGRAM</t>
  </si>
  <si>
    <t>ÇOBAN, FERHAT/MGT-0669-2025; Çift, Ali/AAH-7103-2019; KUTLU, HÜSEYİN/HIR-8270-2022; Kalyenci, Bedreddin/KFR-7662-2024; Sulhan, Hasan/OVY-5179-2025</t>
  </si>
  <si>
    <t>ÇOBAN, FERHAT/0000-0003-1248-1940; Kalyenci, Bedreddin/0000-0002-9175-2755; Sulhan, Hasan/0000-0001-7344-4508</t>
  </si>
  <si>
    <t>NOV 2 2025</t>
  </si>
  <si>
    <t>664</t>
  </si>
  <si>
    <t>10.1007/s00345-025-06064-8</t>
  </si>
  <si>
    <t>http://dx.doi.org/10.1007/s00345-025-06064-8</t>
  </si>
  <si>
    <t>9IN2G</t>
  </si>
  <si>
    <t>41177877</t>
  </si>
  <si>
    <t>WOS:001607174900001</t>
  </si>
  <si>
    <t>Haedecke, E; Mock, M; Akila, M</t>
  </si>
  <si>
    <t>We present ScrutinAI, a Visual Analytics tool to leverage semantic understanding for deep neural network (DNN) prediction analysis, focusing on models for object detection and semantic segmentation. Typical fields of application for such models, e.g., autonomous driving or healthcare, have a high demand for uncovering and mitigating data-and model-inherent shortcomings. Our approach helps analysts and/or auditors use their semantic understanding to identify and investigate potential weaknesses in DNN models. ScrutinAI includes interactive visualizations of the model's inputs and outputs, interactive plots with linked brushing, data filtering with textual queries on descriptive meta data and an interactive similarity based image retrieval feature. The different views and data filtering options enable global and local inspection of DNN predictions. Overall, the tool fosters hypothesis driven knowledge generation which aids in understanding the model's inner reasoning. Insights gained during the analysis process mitigate the "black-box character"of the DNN and thus support model improvement and the generation of a safety argumentation for AI applications. We present two case studies on the investigation of DNN models for pedestrian detection from the automotive domain.&amp; COPY; 2023 The Authors. Published by Elsevier Ltd. This is an open access article under the CC BY license (http://creativecommons.org/licenses/by/4.0/).</t>
  </si>
  <si>
    <t>Haedecke, Elena; Mock, Michael; Akila, Maram</t>
  </si>
  <si>
    <t>Haedecke, E (corresponding author), Univ Bonn, D-53113 Bonn, Germany.</t>
  </si>
  <si>
    <t>elena.haedecke@iais.fraunhofer.de</t>
  </si>
  <si>
    <t>German Federal Ministry for Economic Affairs and Climate Action [19A19005X]; Ministry of Economic Affairs, Industry, Climate Action and Energy of the State of North Rhine-Westphalia [005-2011-0048]</t>
  </si>
  <si>
    <t>German Federal Ministry for Economic Affairs and Climate Action; Ministry of Economic Affairs, Industry, Climate Action and Energy of the State of North Rhine-Westphalia</t>
  </si>
  <si>
    <t>This work was supported by the German Federal Ministry for Economic Affairs and Climate Action [19A19005X] and by the Ministry of Economic Affairs, Industry, Climate Action and Energy of the State of North Rhine-Westphalia [005-2011-0048]. We would like to thank Natalia Andrienko and Gennady Andrienko for inspiring discussions, Sebastian Houben for reviewing an earlier draft version, Sujan Gannamaneni for generating the meta data and Markus Laubenthal for his support in the implementation of the similarity search.</t>
  </si>
  <si>
    <t>[Haedecke, Elena] Univ Bonn, D-53113 Bonn, Germany; [Haedecke, Elena; Mock, Michael; Akila, Maram] Fraunhofer IAIS, D-53757 St Augustin, Germany</t>
  </si>
  <si>
    <t>University of Bonn</t>
  </si>
  <si>
    <t>ScrutinAI: A visual analytics tool supporting semantic assessments of object detection models</t>
  </si>
  <si>
    <t>COMPUTERS &amp; GRAPHICS-UK</t>
  </si>
  <si>
    <t>13th International EuroVis Workshop on Visual Analytics (EuroVA)</t>
  </si>
  <si>
    <t>JUN 13, 2022</t>
  </si>
  <si>
    <t>ITALY</t>
  </si>
  <si>
    <t>Visual analytics; Human-centered machine learning; Deep neural networks; Trustworthy AI; Transparency</t>
  </si>
  <si>
    <t>Haedecke, Elena/0000-0003-1018-1709</t>
  </si>
  <si>
    <t>0097-8493</t>
  </si>
  <si>
    <t>1873-7684</t>
  </si>
  <si>
    <t>COMPUT GRAPH-UK</t>
  </si>
  <si>
    <t>Comput. Graph.-UK</t>
  </si>
  <si>
    <t>265</t>
  </si>
  <si>
    <t>10.1016/j.cag.2023.06.010</t>
  </si>
  <si>
    <t>http://dx.doi.org/10.1016/j.cag.2023.06.010</t>
  </si>
  <si>
    <t>M0JQ5</t>
  </si>
  <si>
    <t>WOS:001027060600001</t>
  </si>
  <si>
    <t>Santo, DSE; Bezerra, TL; Gomes, MCVL; Fonseca, PAD; Joviano-Santos, JV</t>
  </si>
  <si>
    <t>Artificial intelligence (AI) tools such as ChatGPT are rapidly being adopted in medical education, yet evidence regarding their impact on learners' history-taking (anamnesis) skills remains limited. This gap is particularly relevant in women's health education, where high-quality anamnesis is essential for addressing sensitive, context-dependent concerns and for ensuring the safety of two interrelated patients: mother and fetus. Methods: This study comprised two phases. First, semi-structured virtual interviews were administered to students and faculty to assess their familiarity with ChatGPT and access to digital technologies. Second, an in-person classroom intervention was implemented within the Women's Health discipline, integrating ChatGPT into history-taking instruction. Students' anamnesis performance was evaluated before and after ChatGPT-assisted learning. Additionally, a novel instructional activity was introduced in which ChatGPT generated cases classified as plausible, intermediate, or physiologically impossible, serving as prompts for guided discussion focused on diagnostic pitfalls, critical appraisal, and clinical reasoning. Results: In the virtual phase, faculty (n = 62) and students (n = 115) completed the questionnaires. The classroom intervention involved 40 medical students participating as part of routine Women's Health teaching activities, with faculty oversight to ensure pedagogical alignment and responsible AI use. A pronounced discrepancy emerged between students' familiarity with ChatGPT (99.1%) and lower levels of familiarity among faculty. Anamnesis performance improved significantly after ChatGPT-assisted learning (p &lt; 0.0001). Students reported increased confidence and perceived enhancement of history-taking quality, and all participants viewed ChatGPT as a valuable educational resource. The AI-generated cases effectively stimulated discussion and reinforced clinical reasoning processes. Findings contributed to the development of a practical guideline for the responsible integration of ChatGPT into Women's Health education. Conclusions: ChatGPT can enhance anamnesis and promote critical reasoning through structured interaction with AI-generated cases. However, its effective and responsible use depends on targeted faculty development to ensure alignment with pedagogical goals, appropriate oversight, and consistent integration into curriculum.</t>
  </si>
  <si>
    <t>Espirito Santo, Daniela S.; Lott Bezerra, Thiago; Viana Lopes Gomes, Maria Clara; Augusto de Souza Fonseca, Pablo; Joviano-Santos, Julliane, V</t>
  </si>
  <si>
    <t>Fonseca, PAD (corresponding author), Univ Leon, Inst Ganaderia Montana, CSIC, Finca Marzanas S-N, Grulleros 24346, Leon, Spain.</t>
  </si>
  <si>
    <t>p.fonseca@csic.es</t>
  </si>
  <si>
    <t>Fundao de Amparo Pesquisa do Estado de Minas Gerais</t>
  </si>
  <si>
    <t>Fundac &amp; atilde;o Educacional Lucas Machado (FELUMA), Fundac &amp; atilde;o de Amparo a Pesquisa do Estado de Minas Gerais (FAPEMIG), and Conselho Nacional de Desenvolvimento Cientifico e Tecnologico (CNPq). Julliane V Joviano-Santos is Bolsista de produtividade FAPEMIG - CNPq - Brasil (APQ-06678-24-FAPEMIG. BPQ-100/2024). FAPEMIG (grant number: APQ-03584-25 to Julliane V Joviano-Santos).</t>
  </si>
  <si>
    <t>[Espirito Santo, Daniela S.; Joviano-Santos, Julliane, V] Fac Ciencias Med Minas Gerais, Postgrad Program Hlth Sci, Belo Horizonte, MG, Brazil; [Espirito Santo, Daniela S.; Lott Bezerra, Thiago; Viana Lopes Gomes, Maria Clara; Joviano-Santos, Julliane, V] Fac Ciencias Med Minas Gerais, Belo Horizonte, MG, Brazil; [Augusto de Souza Fonseca, Pablo] Univ Leon, Inst Ganaderia Montana, CSIC, Finca Marzanas S-N, Grulleros 24346, Leon, Spain</t>
  </si>
  <si>
    <t>Consejo Superior de Investigaciones Cientificas (CSIC); Universidad de Leon; CSIC-ULE - Instituto de Ganaderia de Montana (IGM)</t>
  </si>
  <si>
    <t>AI-assisted learning: ChatGPT for anamnesis in women's health education</t>
  </si>
  <si>
    <t>MEDICAL EDUCATION ONLINE</t>
  </si>
  <si>
    <t>ChatGPT; large language models; woman health; anamnesis; education</t>
  </si>
  <si>
    <t>ARTIFICIAL-INTELLIGENCE; DOCUMENTATION; INFORMATION; PATIENT</t>
  </si>
  <si>
    <t>Di Santo, Daniela/HGB-6967-2022; V Joviano-Santos, Julliane/S-4749-2018</t>
  </si>
  <si>
    <t>V Joviano-Santos, Julliane/0000-0002-5788-6223</t>
  </si>
  <si>
    <t>1087-2981</t>
  </si>
  <si>
    <t>MED EDUC ONLINE</t>
  </si>
  <si>
    <t>Med. Educ. Online</t>
  </si>
  <si>
    <t>2655562</t>
  </si>
  <si>
    <t>10.1080/10872981.2026.2655562</t>
  </si>
  <si>
    <t>http://dx.doi.org/10.1080/10872981.2026.2655562</t>
  </si>
  <si>
    <t>GC1WD</t>
  </si>
  <si>
    <t>41932848</t>
  </si>
  <si>
    <t>WOS:001732904000001</t>
  </si>
  <si>
    <t>gold; Green Accepted</t>
  </si>
  <si>
    <t>Erdat, EC; Senler, FÇ</t>
  </si>
  <si>
    <t>BackgroundIntegrating artificial intelligence (AI), especially large language models (LLM) into oncology has potential benefits, yet medical oncologists' knowledge, attitudes, and ethical concerns remain unclear. Understanding these perspectives is particularly relevant in T &amp; uuml;rkiye, which has approximately 1340 practicing oncologists.MethodsA cross-sectional, online survey was distributed via the Turkish Society of Medical Oncology's channels from October 16 to November 27, 2024. Data on demographics, AI usage, self-assessed knowledge, attitudes, ethical/regulatory perceptions, and educational needs were collected. Quantitative analyses were performed using descriptive statistics and graphics were generated using R v.4.3.1, and qualitative analysis of open-ended responses was conducted manually.ResultsOf 147 respondents (representing about 11% of Turkish oncologists), 77.5% reported prior AI use, mainly LLMs, yet only 9.5% had formal AI education. While most supported integrating AI into prognosis estimation, research, and decision support, concerns persisted regarding patient-physician relationships and social perception. Ethical reservations centered on patient management, scholarly writing, and research design. Over 79% deemed current regulations inadequate and advocated ethical audits, legal frameworks, and patient consent. Nearly all were willing to receive AI training, reflecting a substantial educational gap.ConclusionsTurkish medical oncologists exhibit cautious optimism toward AI but highlight critical gaps in training, clear regulations, and ethical safeguards. Addressing these needs could guide responsible AI integration. Limitations include a single-country perspective. Further research is warranted to generalize findings and assess evolving attitudes as AI advances.Trial RegistrationNot applicable due to cross-sectional survey design.</t>
  </si>
  <si>
    <t>Erdat, Efe Cem; Senler, Filiz Cay</t>
  </si>
  <si>
    <t>Erdat, EC (corresponding author), Ankara Univ, Dept Med Oncol, Fac Med, Balkiraz Mh Tip Fak Cad 1 Mamak, Ankara, Turkiye.</t>
  </si>
  <si>
    <t>Filiz.Cay.Senler@medicine.ankara.edu.tr; cemerdat@gmail.com</t>
  </si>
  <si>
    <t>[Erdat, Efe Cem; Senler, Filiz Cay] Ankara Univ, Dept Med Oncol, Fac Med, Balkiraz Mh Tip Fak Cad 1 Mamak, Ankara, Turkiye</t>
  </si>
  <si>
    <t>Turkish medical oncologists' perspectives on integrating artificial intelligence: knowledge, attitudes, and ethical considerations</t>
  </si>
  <si>
    <t>Medical oncology; Artificial intelligence; Ethical considerations; Surveys</t>
  </si>
  <si>
    <t>Şenler, Filiz/AAI-1824-2019; Erdat, Efe Cem/GQQ-6233-2022</t>
  </si>
  <si>
    <t>JUL 4 2025</t>
  </si>
  <si>
    <t>10.1186/s12910-025-01249-7</t>
  </si>
  <si>
    <t>http://dx.doi.org/10.1186/s12910-025-01249-7</t>
  </si>
  <si>
    <t>4OS2Z</t>
  </si>
  <si>
    <t>40615865</t>
  </si>
  <si>
    <t>WOS:001523042600002</t>
  </si>
  <si>
    <t>Dovigi, E; Wongvibulsin, S; Lee, I; Novoa, R; Cai, Z; Rotemberg, V; Daneshjou, R</t>
  </si>
  <si>
    <t>Despite the proliferation of artificial intelligence (AI) tools, numerous challenges remain in the development and evaluation of AI-related technologies. Furthermore, a practice gap exists in how to responsibly implement AI effectively, ethically, and legally in dermatology. Part 2 of this CME review series will explain the key technical challenges and principles of trustworthy and responsible AI as well as describe the ethical challenges and review resources to help guide safe, effective, and ethical AI in dermatology. This content will empower learners to critically analyze these tools and determine whether an AI solution is appropriate for their specific clinical need, patient, and practice setting. ( J Am Acad Dermatol 2026;94:11-9.)</t>
  </si>
  <si>
    <t>Dovigi, Edwin; Wongvibulsin, Shannon; Lee, Ivy; Novoa, Rob; Cai, Zhuo; Rotemberg, Veronica; Daneshjou, Roxana</t>
  </si>
  <si>
    <t>Lee, I (corresponding author), Comprehens Dermatol Ctr, 625 South Fair Oaks,Suite 200, Pasadena, CA 91105 USA.</t>
  </si>
  <si>
    <t>ivyannlee@gmail.com</t>
  </si>
  <si>
    <t>[Dovigi, Edwin] Univ Pittsburgh, Med Ctr, Dept Dermatol, Pittsburgh, PA USA; [Wongvibulsin, Shannon] Univ Calif Los Angeles, David Geffen Sch Med, Div Dermatol, Los Angeles, CA USA; [Lee, Ivy; Cai, Zhuo] Comprehens Dermatol Ctr, 625 South Fair Oaks,Suite 200, Pasadena, CA 91105 USA; [Novoa, Rob; Daneshjou, Roxana] Stanford Univ, Dept Dermatol, Stanford, CA USA; [Rotemberg, Veronica] Mem Sloan Kettering Canc Ctr, Dermatol Serv, New York, NY USA</t>
  </si>
  <si>
    <t>Pennsylvania Commonwealth System of Higher Education (PCSHE); University of Pittsburgh; University of California System; University of California Los Angeles; University of California Los Angeles Medical Center; David Geffen School of Medicine at UCLA; Stanford Medicine; Stanford University; Memorial Sloan Kettering Cancer Center</t>
  </si>
  <si>
    <t>Augmented intelligence and dermatologydPart II: Bias, benchmarks, guidelines, ethics, regulation, and future directions</t>
  </si>
  <si>
    <t>JOURNAL OF THE AMERICAN ACADEMY OF DERMATOLOGY</t>
  </si>
  <si>
    <t>artificial intelligence; augmented intelligence; dermatology; ethics; digital health.</t>
  </si>
  <si>
    <t>Daneshjou, Roxana/ABE-7764-2021</t>
  </si>
  <si>
    <t>0190-9622</t>
  </si>
  <si>
    <t>1097-6787</t>
  </si>
  <si>
    <t>J AM ACAD DERMATOL</t>
  </si>
  <si>
    <t>J. Am. Acad. Dermatol.</t>
  </si>
  <si>
    <t>10.1016/j.jaad.2024.10.132</t>
  </si>
  <si>
    <t>http://dx.doi.org/10.1016/j.jaad.2024.10.132</t>
  </si>
  <si>
    <t>Dermatology</t>
  </si>
  <si>
    <t>AD3NI</t>
  </si>
  <si>
    <t>40090590</t>
  </si>
  <si>
    <t>WOS:001645443200001</t>
  </si>
  <si>
    <t>Accurate and timely detection and classification of lung abnormalities are crucial for effective diagnosis and treatment planning. In recent years, Deep Learning (DL) techniques have shown remarkable performance in medical image analysis. This paper presents a novel and promising approach, namely DCNN-GRU, for improving the detection and classification of lung abnormalities. Our proposed model combines the capabilities of a Deep Convolutional Neural Network (DCNN) with a Gated Recurrent Unit (GRU) while incorporating Explainable AI techniques. Specifically, the DCNN-GRU model leverages the power of CNNs to automatically extract meaningful features from lung images, capturing both local and global patterns. The extracted features are fed into a GRU, which effectively models temporal dependencies and captures sequential information inherent in lung images. This integration allows the model to understand complex lung abnormalities accurately. Additionally, we emphasize the integration of Explainable Artificial Intelligence (XAI) techniques like LIME, SHAP, and Grad -CAM to enhance the interpretability and transparency of our model. To evaluate the proposed approach, we conducted experiments on COVID-19 and Lung cancer using two different datasets. The model achieved a promising accuracy of 99.30% and 98.97% for COVID-19, and lung cancer, respectively. Furthermore, the model significantly reduces training time compared to existing approaches. The results demonstrate that our model outperforms existing approaches, achieving a high accuracy rate in detection and classification tasks. Furthermore, the XAI provides valuable insights into the model's decision -making process, aiding clinicians in understanding and validating the predictions.</t>
  </si>
  <si>
    <t>Islam, MK (corresponding author), Islamic Univ, Dept Biomed Engn, Kushtia 7003, Bangladesh.</t>
  </si>
  <si>
    <t>khairul.ice06@gmail.com; mrahman@ict.iu.ac.bd; mahimbme@gmail.com; shahinbme.iu@gmail.com; mdsiponmiah@gmail.com</t>
  </si>
  <si>
    <t>Bio-Imaging Research Lab, Department of Biomedical Engineering, Islamic University, Kushtia, Bangladesh</t>
  </si>
  <si>
    <t>[Islam, Md Khairul; Ali, Md Shahin; Mahim, S. M.] Islamic Univ, Dept Biomed Engn, Kushtia 7003, Bangladesh; [Rahman, Md Mahbubur; Miah, Md Sipon] Islamic Univ, Dept Informat &amp; Commun Technol, Kushtia 7003, Bangladesh; [Miah, Md Sipon] Univ Carlos III Madrid, Dept Signal Theory &amp; Commun, Leganes 28911, Madrid, Spain</t>
  </si>
  <si>
    <t>Enhancing lung abnormalities detection and classification using a Deep Convolutional Neural Network and GRU with explainable AI: A promising approach for accurate diagnosis</t>
  </si>
  <si>
    <t>MACHINE LEARNING WITH APPLICATIONS</t>
  </si>
  <si>
    <t>Lung abnormalities; COVID-19; Pre-processing; DCNN-GRU; XAI</t>
  </si>
  <si>
    <t>Islam, Khairul/AGF-7094-2022; Rahman, Mahbubur/AAX-4756-2020; Ali, Shahin/AEV-7853-2022; Miah, Sipon/AAK-5397-2020</t>
  </si>
  <si>
    <t>2666-8270</t>
  </si>
  <si>
    <t>MACH LEARN APPL</t>
  </si>
  <si>
    <t>Mach. Learn. Appl.</t>
  </si>
  <si>
    <t>DEC 15 2023</t>
  </si>
  <si>
    <t>100492</t>
  </si>
  <si>
    <t>10.1016/j.mlwa.2023.100492</t>
  </si>
  <si>
    <t>http://dx.doi.org/10.1016/j.mlwa.2023.100492</t>
  </si>
  <si>
    <t>QN1R1</t>
  </si>
  <si>
    <t>WOS:001221464500006</t>
  </si>
  <si>
    <t>Guo, LR; Liu, SM</t>
  </si>
  <si>
    <t>Background The integration of artificial intelligence (AI) into health care is critically dependent on vast quantities of patient data, igniting an urgent global debate on data ownership, privacy, and governance. While numerous perspectives exist, the empirical structure and evolution of this scholarly discourse remain uncharacterized. We aimed to systematically map the conceptual landscape of research on AI and health data governance to identify its core themes, temporal trends, and key focus areas.Methods We conducted a scoping review according to PRISMA guidelines, searching PubMed, Scopus, and Web of Science for peer-reviewed articles published between January 1, 2018, and May 31, 2025. We performed a descriptive analysis of publication trends. Using Latent Dirichlet Allocation (LDA), we applied computational topic modelling to the abstracts, which serve as concise summaries of each article's core contributions, to identify latent thematic structures. Topic trends were analyzed using linear regression.Findings Forty-three articles met the inclusion criteria. The volume of publications has increased substantially since 2018. Our LDA analysis identified five distinct research topics: (1) AI Applications &amp; Ownership, (2) AI Models &amp; Data Privacy, (3) Data Sharing Platforms &amp; Technology, (4) Ethical &amp; Legal Concerns, and (5) AI Development &amp; Implementation. Over the study period, research on Ethical &amp; Legal Concerns showed a statistically significant increasing trend in prevalence (slope = 0.023, P = .008), becoming the most dominant topic in recent years.Interpretation The scholarly discourse on AI and health data has matured, shifting from foundational questions of technical implementation towards a dominant focus on complex ethical and legal challenges. This data-driven evidence signals an urgent need for clinical leaders and policymakers to move beyond theoretical discussions and implement robust, practical governance frameworks. Failure to address this governance gap risks impeding trustworthy AI innovation and eroding public trust, thereby limiting the potential of AI to improve patient outcomes equitably.This study mapped the global research landscape regarding how patient data are managed (governed) as artificial intelligence (AI) becomes more common in health care. By reviewing 43 major research articles published between 2018 and 2025, we used a computer model to identify 5 main areas of focus: AI applications, data privacy, sharing platforms, ethical/legal concerns, and implementation. Our findings show a major shift in the scientific community: while early research focused on the technical how-to of building AI, recent work is now dominated by complex questions about ethics, law, and fairness. We identified a governance gap where AI technology is advancing faster than the rules needed to manage it safely. Furthermore, most research comes from North America and Europe, leaving a gap in perspectives from other parts of the world. We conclude that clinical leaders and policymakers should move beyond technical talk and create practical, ethical rules for data use to ensure the public can trust AI-driven medical tools.</t>
  </si>
  <si>
    <t>Guo, L. Raymond; Liu, Shuimei</t>
  </si>
  <si>
    <t>Liu, SM (corresponding author), China Univ Polit Sci &amp; Law, Sch Juris Master, 25 Xitucheng Rd, Beijing 100088, Peoples R China.</t>
  </si>
  <si>
    <t>shuiliu0802@alumni.iu.edu</t>
  </si>
  <si>
    <t>[Guo, L. Raymond] West Virginia Univ, Sch Pharm, Morgantown, WV 26506 USA; [Liu, Shuimei] China Univ Polit Sci &amp; Law, Sch Juris Master, 25 Xitucheng Rd, Beijing 100088, Peoples R China</t>
  </si>
  <si>
    <t>West Virginia University; China University of Political Science &amp; Law</t>
  </si>
  <si>
    <t>The governance of health data in the AI era: a scoping review and computational topic model of the global research landscape</t>
  </si>
  <si>
    <t>artificial intelligence; data ownership; data governance; health information management; topic model</t>
  </si>
  <si>
    <t>Liu, Shuimei/LTE-6158-2024</t>
  </si>
  <si>
    <t>ooag074</t>
  </si>
  <si>
    <t>10.1093/jamiaopen/ooag074</t>
  </si>
  <si>
    <t>http://dx.doi.org/10.1093/jamiaopen/ooag074</t>
  </si>
  <si>
    <t>IH7WX</t>
  </si>
  <si>
    <t>42181700</t>
  </si>
  <si>
    <t>WOS:001772001600001</t>
  </si>
  <si>
    <t>Kramer, J; Jamil, M; Wells, BJ; Seidel, M; Ampe, J; Nair, V; Gagen, M; Corn, P; Bovi, A; Taylor, Y; Isreal, M; McWilliams, A</t>
  </si>
  <si>
    <t>Objectives: Health systems are rapidly expanding their use of artificial intelligence (AI) across the care continuum. However, best practices for explaining AI to patients to build trust and support positive experiences remain unclear. Methods: We conducted three waves of interviews with adult patients across a large health system, with each phase building upon prior findings. Phase 1 (N = 5) explored expectations for responsible AI use and communication preferences, which helped inform development of the system's AI evaluation framework. Phase 2 (N = 5) assessed patients' informational needs following framework implementation and guided creation of draft patient-facing materials. Phase 3 (N = 8) used cognitive walkthroughs to evaluate these materials, which covered the system's approach to responsible AI and solution-specific applications. Transcripts were analyzed using thematic analysis and inductive and deductive coding. Results: Across phases, four themes emerged. Patients wanted (1) clear explanations of how AI supports clinical decision-making without replacing clinicians, (2) concrete examples of AI tasks, (3) clear rationales for adoption, and (4) transparent information about safety, privacy, and data protections. Phase 3 yielded actionable guidance for improving communications, including reducing technical or surveillance-oriented language, simplifying descriptions of AI functions, and centering patient safety and experience. Patients emphasized the need for straightforward explanations of data use and whether AI-supported care is optional, and the availability of plain-language, visually supported materials tailored to diverse literacy and language needs. Conclusions: Patients value clear and transparent communication about how AI supports care, particularly regarding safety, data use, and patient choice. Our findings offer practical guidance for developing patient-centered AI communication. Public interest summary: Artificial intelligence (AI) is becoming increasingly common in healthcare, but many patients are unsure and/or have concerns about what it means for their care. In this study, we interviewed patients from across a large health system to learn what information they want when AI tools are used by their care teams. Patients wanted simple explanations of what AI tools do, examples of how they are used, clear reasons for why they were adopted, and details about how AI supports their doctors and nurses but does not replace them. Trust also depended on patients knowing how their data are protected, who oversees the AI tools, and whether AI-supported care was optional. Patients highlighted the importance of straightforward materials that avoid jargon, offer visual aids, and are accessible to people of different backgrounds and abilities. These findings may help health systems explain AI in ways that improve patient understanding and trust.</t>
  </si>
  <si>
    <t>Kramer, Justin; Jamil, Melinda; Wells, Brian J.; Seidel, Michael; Ampe, Jeremy; Nair, Vishnu; Gagen, Mary; Corn, Patricia; Bovi, Amy; Taylor, Yhenneko; Isreal, McKenzie; McWilliams, Andrew</t>
  </si>
  <si>
    <t>Kramer, J (corresponding author), 1920 1st St, 6th Floor, Winston Salem, NC 27104 USA.</t>
  </si>
  <si>
    <t>justin.kramer@wfusm.edu</t>
  </si>
  <si>
    <t>Duke Endowment [AWD00002292]</t>
  </si>
  <si>
    <t>Duke Endowment</t>
  </si>
  <si>
    <t>This study was supported by the Duke Endowment; award number AWD00002292.</t>
  </si>
  <si>
    <t>[Kramer, Justin] Wake Forest Univ, Sch Med, Dept Family &amp; Community Med, Winston Salem, NC USA; [Kramer, Justin; Taylor, Yhenneko; Isreal, McKenzie] Atrium Hlth, Ctr Hlth Syst Sci, Charlotte, NC USA; [Jamil, Melinda] Advocate Hlth, Human Factors Engn, Charlotte, NC USA; [Wells, Brian J.] Wake Forest Univ, Sch Med, Dept Biostat &amp; Data Sci, Winston Salem, NC USA; [Seidel, Michael; Ampe, Jeremy] Advocate Hlth, Consumer Experience, Charlotte, NC USA; [Nair, Vishnu] Johns Hopkins Univ, Sch Med, Baltimore, MD USA; [Gagen, Mary] Advocate Hlth, Adv Analyt, Enterprise Data Sci, Charlotte, NC USA; [Corn, Patricia] Advocate Hlth, Compliance &amp; Integr, Winston Salem, NC USA; [Bovi, Amy] Advocate Hlth, Conflict Eth &amp; Influence Program, Milwaukee, WI USA; [Taylor, Yhenneko] Wake Forest Univ, Sch Med, Dept Social Sci &amp; Hlth Policy, Winston Salem, NC USA; [McWilliams, Andrew] Atrium Hlth, Informat Technol, Med Informat, Charlotte, NC USA; [McWilliams, Andrew] Atrium Hlth, Div Hosp Med, Dept Internal Med, Charlotte, NC USA</t>
  </si>
  <si>
    <t>Wake Forest University; Wake Forest University; Johns Hopkins University; Johns Hopkins Medicine; Wake Forest University</t>
  </si>
  <si>
    <t>Building trust through transparency: Patient priorities, preferences, and guidance for effective AI disclosure</t>
  </si>
  <si>
    <t>HEALTH POLICY AND TECHNOLOGY</t>
  </si>
  <si>
    <t>Artificial intelligence; Qualitative; Ai; Patients; Usability</t>
  </si>
  <si>
    <t>INTERVIEWS</t>
  </si>
  <si>
    <t>2211-8837</t>
  </si>
  <si>
    <t>HEALTH POLICY TECHN</t>
  </si>
  <si>
    <t>Health Policy Technol.</t>
  </si>
  <si>
    <t>101260</t>
  </si>
  <si>
    <t>10.1016/j.hlpt.2026.101260</t>
  </si>
  <si>
    <t>http://dx.doi.org/10.1016/j.hlpt.2026.101260</t>
  </si>
  <si>
    <t>JS7UT</t>
  </si>
  <si>
    <t>WOS:001797100500001</t>
  </si>
  <si>
    <t>Ding, QZ; Wang, CD; Zhang, Z; Liao, JJ; Tang, LF; Lu, JJ; Tan, ZB</t>
  </si>
  <si>
    <t>Background: For individual patients with early-stage non-small cell lung cancer (NSCLC), robust evidence to guide treatment selection between surgery and stereotactic body radiotherapy (SBRT) remains limited. This study aimed to develop machine learning-driven predictive models using the Surveillance, Epidemiology, and End Results (SEER) database to evaluate the efficacy of these treatments, thereby providing a data-driven foundation for personalized treatment decisions. Methods: Stage I or IIA NSCLC patients diagnosed between 2012 and 2018 were identified from the SEER database. Six machine learning models, spanning from classical to advanced approaches, were employed to predict 1-, 3-, and 5-year survival, with their performance assessed using seven metrics. The SHAP (SHapley Additive exPlanations) interpretability method was employed to explain the optimal predictive model, focusing on analyzing the differences between surgical and radiotherapy treatments under various factors, providing valuable insights to optimizing treatment strategies. Patients diagnosed between 2019 and 2021 were selected as an external validation cohort to assess the generalizability and robustness of the previously developed models. Results: A total of 26,566 patients were included in the training and internal testing cohort of the study. LightGBM (light gradient boosting machine) outperformed other models across most metrics for survival predictions. The SHAP interpretability analysis revealed that tumor location, tumor size, pathology, and treatment type were significant factors for 3-and 5-year predictions. Furthermore, at 3-and 5-year intervals, the efficacy of radiotherapy was comparable to surgery for left upper lobe tumors, while radiotherapy appeared slightly inferior to surgery for right lower lobe tumors. Meanwhile, for tumors &lt;1.5 cm or 3.5-5 cm, lobectomy exhibited the best efficacy, while for tumors measuring 1.5-3.5 cm, the efficacy of lobectomy seemed to be slightly inferior to radiotherapy and sublobar resection. For adenocarcinoma and squamous cell carcinoma, radiotherapy and lobectomy could be regarded as the preferred treatment methods, respectively. Besides, for patients &lt;45 or &gt;75 years old, sublobar resection showed the best efficacy at the 5-year interval. The external validation cohort of 11,927 patients further confirmed the effectiveness of the models in predicting 1-, 3-, and 5-year survival outcomes, reinforcing their reliability and applicability in clinical decision-making. Conclusions: This study provides valuable insights into treatment decision-making for stages I and IIA NSCLC. The LightGBM model is a reliable tool for survival prediction for early-stage NSCLC. By utilizing this model, it can be concluded that tumor location, tumor size, pathological type and age are vital factors significantly influencing the choice of treatment methods.</t>
  </si>
  <si>
    <t>Ding, Qunzhe; Wang, Chendong; Zhang, Zhe; Liao, Junjie; Tang, Lufan; Lu, Jiade Jay; Tan, Zhibo</t>
  </si>
  <si>
    <t>Lu, JJ; Tan, ZB (corresponding author), Heyou Int Hlth Syst, Heyou Hosp, Proton &amp; Heavy Ion Ctr, Dept Radiat Oncol, 1 Heren Rd, Foshan 528306, Peoples R China.</t>
  </si>
  <si>
    <t>tanzhibo@gmail.com; jiadelu@yahoo.com</t>
  </si>
  <si>
    <t>[Ding, Qunzhe] Wuhan Univ, Sch Informat Management, Wuhan, Peoples R China; [Wang, Chendong] Huazhong Univ Sci &amp; Technol, Tongji Hosp, Tongji Med Coll, Hepat Surg Ctr, Wuhan, Peoples R China; [Zhang, Zhe] Peking Univ, Shenzhen Hosp, Dept Radiat Oncol, Shenzhen, Peoples R China; [Liao, Junjie; Tang, Lufan; Lu, Jiade Jay; Tan, Zhibo] Heyou Int Hlth Syst, Heyou Hosp, Proton &amp; Heavy Ion Ctr, Dept Radiat Oncol, 1 Heren Rd, Foshan 528306, Peoples R China</t>
  </si>
  <si>
    <t>Wuhan University; Huazhong University of Science &amp; Technology; Peking University</t>
  </si>
  <si>
    <t>An explainable AI approach to surgical and radiotherapy interventions for optimized treatment decision-making in early-stage non-small cell lung cancer</t>
  </si>
  <si>
    <t>TRANSLATIONAL LUNG CANCER RESEARCH</t>
  </si>
  <si>
    <t>Non-small cell lung cancer (NSCLC); machine learning; stereotactic body radiotherapy (SBRT); surgery; SHAP interpretability</t>
  </si>
  <si>
    <t>STEREOTACTIC ABLATIVE RADIOTHERAPY; OUTCOMES</t>
  </si>
  <si>
    <t>DING, QUNZHE/HLX-9286-2023; TAN, ZHIBO/JXM-8057-2024</t>
  </si>
  <si>
    <t>Zhang, Zhe/0000-0002-6748-3356</t>
  </si>
  <si>
    <t>2218-6751</t>
  </si>
  <si>
    <t>2226-4477</t>
  </si>
  <si>
    <t>TRANSL LUNG CANCER R</t>
  </si>
  <si>
    <t>Transl. Lung Cancer Res.</t>
  </si>
  <si>
    <t>JUN 30 2025</t>
  </si>
  <si>
    <t>2011</t>
  </si>
  <si>
    <t>2030</t>
  </si>
  <si>
    <t>10.21037/tlcr-2025-152</t>
  </si>
  <si>
    <t>http://dx.doi.org/10.21037/tlcr-2025-152</t>
  </si>
  <si>
    <t>Oncology; Respiratory System</t>
  </si>
  <si>
    <t>5DY0W</t>
  </si>
  <si>
    <t>40673105</t>
  </si>
  <si>
    <t>WOS:001533390600010</t>
  </si>
  <si>
    <t>Alwali, A</t>
  </si>
  <si>
    <t>Purpose - This study aims to diagnose the transformation of ethics into procedural compliance within institutional contexts and to propose a practice-oriented reconstruction termed "Real Ethics," which preserves moral deliberation while maintaining essential safeguards, using clinical and AI ethics as emblematic cases within a broader institutional analysis.Design/methodology/approach - The research employs a conceptual analysis informed by the works of Weber, Habermas, MacIntyre, Taylor, Tronto and Foucault, in conjunction with selected literature from clinical ethics, Institutional Review Boards, public health and artificial intelligence (AI) governance.Findings - The findings indicate that institutional ethics frequently transitions from reasoned judgment to a focus on auditability and risk management, resulting in moral outsourcing, epistemic exclusion and moral distress. While procedural tools are crucial, they must serve as adaptable scaffolds firmly rooted in deliberative processes.Originality/value - This study offers a unified institutional diagnosis of the proceduralization of ethics across multiple professional fields drawing on clinical and AI ethics as paradigmatic cases and presents actionable design principles for sustaining ethical agency across diverse institutional contexts.</t>
  </si>
  <si>
    <t>Alwali, Abduljaleel</t>
  </si>
  <si>
    <t>Alwali, A (corresponding author), United Arab Emirates Univ, Coll Humanities &amp; social Sci, Dept Cognit Sci, Al Ain, U Arab Emirates.</t>
  </si>
  <si>
    <t>jalilwali@hotmail.com</t>
  </si>
  <si>
    <t>[Alwali, Abduljaleel] United Arab Emirates Univ, Coll Humanities &amp; social Sci, Dept Cognit Sci, Al Ain, U Arab Emirates</t>
  </si>
  <si>
    <t>United Arab Emirates University</t>
  </si>
  <si>
    <t>Between bureaucracy and moral truth: reclaiming ethical authenticity in contemporary institutional ethics: clinical and AI ethics as emblematic cases</t>
  </si>
  <si>
    <t>JOURNAL OF INFORMATION COMMUNICATION &amp; ETHICS IN SOCIETY</t>
  </si>
  <si>
    <t>Procedural ethics; Institutional ethics; Clinical ethics; AI ethics; Ethical deliberation; Moral agency</t>
  </si>
  <si>
    <t>Alwali, Abduljaleel/Q-6385-2017</t>
  </si>
  <si>
    <t>1477-996X</t>
  </si>
  <si>
    <t>1758-8871</t>
  </si>
  <si>
    <t>J INF COMMUN ETHICS</t>
  </si>
  <si>
    <t>J. Inf. Commun. Ethics Soc.</t>
  </si>
  <si>
    <t>10.1108/JICES-12-2025-0393</t>
  </si>
  <si>
    <t>http://dx.doi.org/10.1108/JICES-12-2025-0393</t>
  </si>
  <si>
    <t>Ethics</t>
  </si>
  <si>
    <t>GT0BB</t>
  </si>
  <si>
    <t>WOS:001744334300001</t>
  </si>
  <si>
    <t>Arnold, C; Xu, LZ; Saffarizadeh, K; Madiraju, P</t>
  </si>
  <si>
    <t>While charitable and medical crowdfunding has become a vital resource for individuals facing financial hardships, it also raises significant ethical and trust-related concerns. Generative AI (GenAI) offers opportunities to enhance fundraising effectiveness, but its misuse could undermine donor confidence and exacerbate existing trust issues. Grounded in trust theory and algorithm aversion, this research examines the complexities of integrating GenAI into crowdfunding. Study 1 employed paragraph vectors, the NRC Emotional Lexicon, and LIWC to analyze linguistic and sentiment differences between human-written and AI-rewritten GoFundMe campaigns (N = 1,800). Study 2 used a human-in-the-loop approach in a between-subjects randomised experiment (N = 601) to assess how AI authorship and disclosure influenced cognitive and affective trust among donors. Findings revealed that AI-rewritten messages were more analytical, goal-directed, and emotionally expressive but appeared overly polished and less authentic. Notably, disclosing AI involvement significantly reduced both cognitive and affective trust. This 'trust dilemma' underscores the ethical complexities of GenAI in crowdfunding, emphasising the need for transparency and regulatory frameworks to ensure responsible AI integration in socially sensitive domains.</t>
  </si>
  <si>
    <t>Arnold, Caroline; Xu, Larry Zhiming; Saffarizadeh, Kambiz; Madiraju, Praveen</t>
  </si>
  <si>
    <t>Xu, LZ (corresponding author), Marquette Univ, 1131 W Wisconsin Ave, Milwaukee, WI 53233 USA.</t>
  </si>
  <si>
    <t>zhiming.xu@marquette.edu</t>
  </si>
  <si>
    <t>National Science Foundation of the United States [1950826]; Northwestern Mutual Data Science Institute</t>
  </si>
  <si>
    <t>National Science Foundation of the United States (National Science Foundation (NSF)); Northwestern Mutual Data Science Institute</t>
  </si>
  <si>
    <t>The project was supported by the U.S. National Science Foundation under grant number #1950826 and a research grant from Northwestern Mutual Data Science Institute.</t>
  </si>
  <si>
    <t>[Arnold, Caroline] Primera Engineers, Chicago, IL USA; [Arnold, Caroline] Northwestern Univ, McCormick Sch Engn, Evanston, IL USA; [Xu, Larry Zhiming] Marquette Univ, Dept Strateg Commun, Milwaukee, WI 53233 USA; [Xu, Larry Zhiming] Marquette Univ, Dept Supply Chain &amp; Syst Intelligence, Milwaukee, WI 53233 USA; [Saffarizadeh, Kambiz] Univ Texas Arlington, Dept Informat Syst &amp; Operat Management, Arlington, TX USA; [Madiraju, Praveen] Marquette Univ, Dept Comp Sci, Milwaukee, WI 53233 USA</t>
  </si>
  <si>
    <t>Northwestern University; Marquette University; Marquette University; University of Texas System; University of Texas Arlington; Marquette University</t>
  </si>
  <si>
    <t>To believe or not to believe? Generative AI and the 'trust dilemma' in charitable and medical crowdfunding</t>
  </si>
  <si>
    <t>Crowdfunding; medical crowdfunding; donation-based crowdfunding; AI; trust; ChatGPT</t>
  </si>
  <si>
    <t>ARTIFICIAL-INTELLIGENCE; AUTOMATION; PEOPLE</t>
  </si>
  <si>
    <t>Xu, Larry Zhiming/AHA-5056-2022; Saffarizadeh, Kambiz/MFI-1039-2025</t>
  </si>
  <si>
    <t>2742</t>
  </si>
  <si>
    <t>2761</t>
  </si>
  <si>
    <t>10.1080/0144929X.2025.2590099</t>
  </si>
  <si>
    <t>http://dx.doi.org/10.1080/0144929X.2025.2590099</t>
  </si>
  <si>
    <t>KL2BD</t>
  </si>
  <si>
    <t>WOS:001618735800001</t>
  </si>
  <si>
    <t>Fraser, H; Villarino, JMBY</t>
  </si>
  <si>
    <t>This paper critically evaluates the European Commission's proposed AI Act's approach to risk management and risk acceptability for high-risk artificial intelligence systems that pose risks to fundamental rights and safety. The Act aims to promote "trustworthy" AI with a proportionate regulatory burden. Its provisions on risk acceptability require residual risks from high-risk systems to be reduced or eliminated "as far as possible", having regard for the "state of the art". This criterion, especially if interpreted narrowly, is unworkable and promotes neither proportionate regulatory burden nor trustworthiness. By contrast, the Parliament's most recent draft amendments to the risk management provisions introduce "reasonableness" and cost-benefit analyses and are more transparent regarding the value-laden and contextual nature of risk acceptability judgments. This paper argues that the Parliament's approach is more workable and better balances the goals of proportionality and trustworthiness. It explains what reasonableness in risk acceptability judgments would entail, drawing on principles from negligence law and European medical devices regulation. It also contends that the approach to risk acceptability judgments needs a firm foundation of civic legitimacy, including detailed guidance or involvement from regulators and meaningful input from affected stakeholders.</t>
  </si>
  <si>
    <t>Fraser, Henry; Bello y Villarino, Jose-Miguel</t>
  </si>
  <si>
    <t>Fraser, H (corresponding author), Queensland Univ Technol, Australian Res Council Ctr Excellence Automated De, Brisbane, Qld, Australia.</t>
  </si>
  <si>
    <t>h5.fraser@qut.edu.au</t>
  </si>
  <si>
    <t>Australian Research Council [CE200100005]; Australian Research Council [CE200100005] Funding Source: Australian Research Council</t>
  </si>
  <si>
    <t>Australian Research Council (Australian Research Council); Australian Research Council</t>
  </si>
  <si>
    <t>We are funded by Australian Research Council grant number CE200100005</t>
  </si>
  <si>
    <t>[Fraser, Henry] Queensland Univ Technol, Australian Res Council Ctr Excellence Automated De, Brisbane, Qld, Australia; [Bello y Villarino, Jose-Miguel] Univ Sydney, Australian Res Council Ctr Excellence ADM S, Sydney, NSW, Australia</t>
  </si>
  <si>
    <t>Queensland University of Technology (QUT); University of Sydney</t>
  </si>
  <si>
    <t>Acceptable Risks in Europe's Proposed AI Act: Reasonableness and Other Principles for Deciding How Much Risk Management Is Enough</t>
  </si>
  <si>
    <t>EUROPEAN JOURNAL OF RISK REGULATION</t>
  </si>
  <si>
    <t>Acceptable residual risk; artificial intelligence; as far as possible; EU AI Act; reasonable</t>
  </si>
  <si>
    <t>Bello y Villarino, José-Miguel/0000-0003-1038-5330</t>
  </si>
  <si>
    <t>1867-299X</t>
  </si>
  <si>
    <t>2190-8249</t>
  </si>
  <si>
    <t>EUR J RISK REGUL</t>
  </si>
  <si>
    <t>Eur. J. Risk Regul.</t>
  </si>
  <si>
    <t>431</t>
  </si>
  <si>
    <t>446</t>
  </si>
  <si>
    <t>PII S1867299X23000570</t>
  </si>
  <si>
    <t>10.1017/err.2023.57</t>
  </si>
  <si>
    <t>http://dx.doi.org/10.1017/err.2023.57</t>
  </si>
  <si>
    <t>P8D2T</t>
  </si>
  <si>
    <t>WOS:001051001000001</t>
  </si>
  <si>
    <t>Garcia, RLF; Kwok, L</t>
  </si>
  <si>
    <t>Purpose This study aims to address three questions: RQ1 - What significant changes has generative artificial intelligence (GenAI) brought to human resource (HR) functions? RQ2 - How can HR professionals sustain a critical role in an organization when GenAI is transforming traditional HR functions? RQ3 - What research questions can be addressed to support organizations and HR professionals in a new GenAI-empowered work environment? Design/methodology/approach As a critical reflection of the authors' corporate HR experience and research expertise, a narrative review of purposefully selective relevant literature, industry white papers and news updates across the six stages of the employee lifecycle was carried out to answer RQ1. A provoking reflection was further synthesized to answer RQ2 and RQ3. Findings Three categories of HR duties (those likely and unlikely to be replaced by GenAI and those likely to emerge due to GenAI implications) were synthesized, leading to the advancement of three propositions. Recommendations for HR professionals, organizations and future research were summarized. Research limitations/implications This paper presents a series of specific research questions, inspiring new research ideas that help organizations improve HR work with GenAI-empowered tools while mitigating its negative impacts. Practical implications This paper proposes detailed recommendations to help HR professionals maintain their critical roles within the organization. In addition to hospitality and tourism businesses, for-profit or nonprofit organizations across all sectors can refer to the answers to RQ1 to restructure their HR departments. Social implications Beyond the HR profession, this work signals a broader societal shift in job functions and structures, urging individuals and organizations to rethink what is needed in the new GenAI-empowered work environments. It also raises awareness of the need for human oversight and responsible AI governance in redesigning future work and organizational structures. Originality/value This paper synthesizes GenAI's significant impact on various HR functions across the six stages of the employee lifecycle. It offers specific practical recommendations and research ideas to help organizations leverage GenAI's power in HR operations.</t>
  </si>
  <si>
    <t>Garcia, R. L. Fernando; Kwok, Linchi</t>
  </si>
  <si>
    <t>Kwok, L (corresponding author), Calif State Polytech Univ Pomona, Collins Coll Hospitality Management, Pomona, CA 91768 USA.</t>
  </si>
  <si>
    <t>lkwok@cpp.edu; rl.fernando.garcia@outlook.com</t>
  </si>
  <si>
    <t>[Garcia, R. L. Fernando] Our Lady Fatima Univ, Dept Management, Valenzuela City, Philippines; [Kwok, Linchi] Calif State Polytech Univ Pomona, Collins Coll Hospitality Management, Pomona, CA 91768 USA</t>
  </si>
  <si>
    <t>Our Lady of Fatima University; California State Polytechnic University Pomona; California State University System; California State Polytechnic University Pomona</t>
  </si>
  <si>
    <t>Generative artificial intelligence in human resource management: a critical reflection on impacts, resilience and roles</t>
  </si>
  <si>
    <t>INTERNATIONAL JOURNAL OF CONTEMPORARY HOSPITALITY MANAGEMENT</t>
  </si>
  <si>
    <t>Critical reflection; Artificial intelligence; Generative AI; Human resource management; Information technology; Employee lifecycle</t>
  </si>
  <si>
    <t>WILL</t>
  </si>
  <si>
    <t>Kwok, Linchi/D-4089-2015</t>
  </si>
  <si>
    <t>Kwok, Linchi/0000-0001-8838-2485</t>
  </si>
  <si>
    <t>0959-6119</t>
  </si>
  <si>
    <t>1757-1049</t>
  </si>
  <si>
    <t>INT J CONTEMP HOSP M</t>
  </si>
  <si>
    <t>Int. J. Contemp. Hosp. Manag.</t>
  </si>
  <si>
    <t>3136</t>
  </si>
  <si>
    <t>3158</t>
  </si>
  <si>
    <t>10.1108/IJCHM-01-2025-0159</t>
  </si>
  <si>
    <t>http://dx.doi.org/10.1108/IJCHM-01-2025-0159</t>
  </si>
  <si>
    <t>Hospitality, Leisure, Sport &amp; Tourism; Management</t>
  </si>
  <si>
    <t>Social Sciences - Other Topics; Business &amp; Economics</t>
  </si>
  <si>
    <t>9QU3W</t>
  </si>
  <si>
    <t>WOS:001556468400001</t>
  </si>
  <si>
    <t>Moreno-Sánchez, PA; Arroyo-Fernández, R; Bravo-Esteban, E; Ferri-Morales, A; van Gils, M</t>
  </si>
  <si>
    <t>Background and objective: Fibromyalgia is a chronic disease that causes pain and affects patients' quality of life. Current treatments focus on pharmacological therapies for pain reduction. However, patients' psychological well-being is also affected, with depression and pain catastrophizing being common. This research addresses the clinicians' need to assess the influence of mental health factors on FM severity compared to pain factors. Methods: A co-development study between FM clinicians and data scientists analyzed data from 166 FMdiagnosed patients to assess the influence of mental health factors on FM severity in comparison to pain factors. The study used the Polysymptomatic Distress Scale (PDS) and Fibromyalgia Impact Questionnaire (FIQ) as FM severity indicators and collected 15 variables including regarding demographics, pain intensity perceived, and mental health factors. The team used an author's developed framework to identify the optimal FM severity classifier and explainability by selecting a number of features that lead to obtaining the best classification result. Machine learning classifiers employed in the framework were: decision trees, logistic regression, support vector machines, random forests, AdaBoost, extra trees, and RUSBoost. Explainability analyses were conducted using the following explainable AI techniques: SHapley Additive exPlanations (SHAP), Partial Dependence Plot (PDP), and Mean Decrease Impurity (MDI). Results: A balanced random forest with 6 features achieved the best performance with PDS (AUC_ROC, mean = 0.81, std = 0.07). Being FIQ the target variable, due to the imbalance in FM severity levels, a binary and a multiclass classification approaches were considered achieving the optimal performance, respectively, a logistic regression classifier (AUC_ROC, mean = 0.83, std = 0.08) with 6 selected features, and a random forest (AUC_ROC, mean = 0.91, std = 0.04) with 8 selected features. Next, the explainability analysis determined mental health factors were found to be more relevant than pain perceived factors for FM severity. Conclusions: This study's findings, validated by clinicians, are potentially aligned with FM international guidelines that promote non-pharmacological interventions such as promoting mental well-being of FM patients.</t>
  </si>
  <si>
    <t>Moreno-Sanchez, Pedro A.; Arroyo-Fernandez, Ruben; Bravo-Esteban, Elisabeth; Ferri-Morales, Asuncion; van Gils, Mark</t>
  </si>
  <si>
    <t>Moreno-Sánchez, PA (corresponding author), Tampere Univ, Fac Med &amp; Hlth Technol, Seinajoki 60320, Finland.</t>
  </si>
  <si>
    <t>mark.vangils@tuni.fi; Ruben.Arroyo@uclm.es; Elisabeth.Bravo@uclm.es; pedro.morenosanchez@tuni.fi; Asuncion.Ferri@uclm.es</t>
  </si>
  <si>
    <t>[Moreno-Sanchez, Pedro A.; van Gils, Mark] Tampere Univ, Fac Med &amp; Hlth Technol, Seinajoki 60320, Finland; [Arroyo-Fernandez, Ruben; Bravo-Esteban, Elisabeth; Ferri-Morales, Asuncion] Univ Castilla La Mancha, Fac Physiotherapy &amp; Nursing, Toledo 45071, Spain</t>
  </si>
  <si>
    <t>Tampere University; Universidad de Castilla-La Mancha</t>
  </si>
  <si>
    <t>Assessing the relevance of mental health factors in fibromyalgia severity: A data-driven case study using explainable AI</t>
  </si>
  <si>
    <t>Fibromyalgia severity; Explainable AI; Classification machine learning; Mental health; Pain</t>
  </si>
  <si>
    <t>PAIN; QUESTIONNAIRE; DEPRESSION; VERSION</t>
  </si>
  <si>
    <t>Arroyo Fernández, Rubén/GLR-8065-2022; Moreno-Sanchez, Pedro A/L-2354-2017; Ferri Morales, Asunción/I-1959-2015</t>
  </si>
  <si>
    <t>van Gils, Mark/0000-0002-0029-1771; Arroyo Fernández, Rubén/0000-0001-6831-2244; Moreno-Sanchez, Pedro A/0000-0003-3987-1789; Ferri Morales, Asunción/0000-0001-5638-4718</t>
  </si>
  <si>
    <t>105280</t>
  </si>
  <si>
    <t>10.1016/j.ijmedinf.2023.105280</t>
  </si>
  <si>
    <t>http://dx.doi.org/10.1016/j.ijmedinf.2023.105280</t>
  </si>
  <si>
    <t>Z4SS3</t>
  </si>
  <si>
    <t>37952406</t>
  </si>
  <si>
    <t>WOS:001111997400001</t>
  </si>
  <si>
    <t>Bracic, A; Spector-Bagdady, K; Towle, S; Zhang, R; James, CA; Price, WN II</t>
  </si>
  <si>
    <t>Importance Artificial intelligence (AI) is increasingly used in clinical care, but widespread adoption requires patient trust. Trust may be enhanced through systemic governance mechanisms or frontline clinicians providing a human in the loop for AI oversight. However, it is unclear how different approaches specifically influence patient trust in the use of medical AI. Objective To determine the extent to which patient trust in and choice of medical scenarios involving AI are associated with governance mechanisms, clinician presence, performance, and data quality. Design, Setting, and Participants This preregistered conjoint survey study was conducted online among a diverse national sample of English-speaking US adults with access to the internet between December 11, 2024, and January 1, 2025. Respondents were presented with hypothetical AI-assisted diagnosis scenarios and paired visits featuring 6 purely randomized attributes: the presence of a clinician, AI performance (relative to general practitioners and specialists), governance (US Food and Drug Administration approval, Mayo Clinic certification, local hospital certification), and AI data quality. Respondents chose their preferred visit, provided up to a single-sentence open-ended response explaining their choice, and then rated their trust in the diagnosis they would receive in each of the 2 visit choices presented to them. Respondents repeated the exercise 6 times, evaluating 12 hypothetical visits in total, yielding 36 000 observations (12 per respondent). Main Outcomes and Measures The primary outcomes were patient choice of a hypothetical medical encounter and patient trust in that encounter, measured on a 1 (would not trust at all) to 5 (would trust a great deal) response scale. Average marginal component effects (AMCEs) were estimated using linear regression. Qualitative responses were coded to elucidate reasoning. Results A total of 3000 participants completed the survey (1644 [54.8%] women; mean [SD] age, 48 [16] years), including 382 Black respondents (12.7%), 504 Hispanic respondents (16.8%), and 1855 White respondents (61.9%), with most respondents having some college or more (1989 respondents [66.3%]), and 1270 respondents (42.4%) having income between $50 000 and $99 000. The factor associated with the largest change in likelihood of patient choice was AI performance; performance at or above the specialist level was associated with increasing the probability of selecting a visit by 24.8% (95% CI, 23.4%-26.2%; P &lt; .00025) and 32.5% (95% CI, 31.0%-33.9%; P &lt; .00025), respectively. The presence of a clinician was associated with increasing the probability of selecting a visit by 18.4% (95% CI, 17.3%-19.5%; P &lt; .00025). Respondents who received information on representative AI training data also were more likely to prefer that visit scenario. Respondents preferred all forms of AI governance compared with none. Qualitative responses emphasized AI performance and clinician presence as primary factors in choice of visit. Conclusions and Relevance In this survey study of patient trust in and choice of medical AI, AI performance, clinician presence, disclosure of representative data, and systemic governance were associated with increased respondent trust in and preference for clinical encounters. These findings suggest that ensuring resource-appropriate combinations of these tools is an important step in helping AI achieve its transformative potential for the health system.</t>
  </si>
  <si>
    <t>Bracic, Ana; Spector-Bagdady, Kayte; Towle, Sophie; Zhang, Rina; James, Cornelius A.; Price II, W. Nicholson</t>
  </si>
  <si>
    <t>Price, WN II (corresponding author), Univ Michigan, Law Sch, 801 Monroe St,921 Legal Res, Ann Arbor, MI 48109 USA.; Price, WN II (corresponding author), Univ Copenhagen, Fac Law, Ctr Adv Studies Biosci Innovat Law, Copenhagen, Denmark.</t>
  </si>
  <si>
    <t>wnp@umich.edu</t>
  </si>
  <si>
    <t>Michigan Institute for Data AI in Society; Michigan Institute for Clinical and Health Research; Institute for Healthcare Policy and Innovation of the University of Michigan (Prof Spector-Bagdady); National Center for Advancing Translational Sciences [UL1TR002240, R01TR004244]; Novo Nordisk Foundation [NNF23SA0087056]; Greenwall Foundation's Faculty Scholars Program (Prof Spector-Bagdady)</t>
  </si>
  <si>
    <t>Michigan Institute for Data AI in Society; Michigan Institute for Clinical and Health Research; Institute for Healthcare Policy and Innovation of the University of Michigan (Prof Spector-Bagdady); National Center for Advancing Translational Sciences (United States Department of Health &amp; Human Services, National Institutes of Health (NIH) - USA, NIH National Center for Advancing Translational Sciences (NCATS)); Novo Nordisk Foundation (Novo Nordisk Foundation); Greenwall Foundation's Faculty Scholars Program (Prof Spector-Bagdady)</t>
  </si>
  <si>
    <t>This work was funded in part by the Michigan Institute for Data &amp; AI in Society, the Michigan Institute for Clinical and Health Research and the Institute for Healthcare Policy and Innovation of the University of Michigan (Prof Spector-Bagdady), the National Center for Advancing Translational Sciences (grant No. UL1TR002240 and R01TR004244; Prof Spector-Bagdady), the Novo Nordisk Foundation (NNF23SA0087056) (Dr Price), and the Greenwall Foundation's Faculty Scholars Program (Prof Spector-Bagdady).</t>
  </si>
  <si>
    <t>[Bracic, Ana] Michigan State Univ, Dept Polit Sci, E Lansing, MI USA; [Spector-Bagdady, Kayte] Univ Michigan, Med Sch, Michigan Bioeth, Ann Arbor, MI USA; [Towle, Sophie; Zhang, Rina; Price II, W. Nicholson] Univ Michigan, Law Sch, 801 Monroe St,921 Legal Res, Ann Arbor, MI 48109 USA; [James, Cornelius A.; Price II, W. Nicholson] Univ Michigan, Med Sch, Dept Learning Hlth Sci, Ann Arbor, MI USA; [James, Cornelius A.] Univ Michigan, Med sch, Dept Internal Med, Ann Arbor, MI USA; [James, Cornelius A.] Univ Michigan, Med Sch, Dept Pediat, Ann Arbor, MI USA; [Price II, W. Nicholson] Univ Copenhagen, Fac Law, Ctr Adv Studies Biosci Innovat Law, Copenhagen, Denmark; [Spector-Bagdady, Kayte] Univ Michigan, Med Sch, Dept Obstet &amp; Gynecol, Ann Arbor, MI USA</t>
  </si>
  <si>
    <t>Michigan State University; University of Michigan System; University of Michigan; University of Michigan System; University of Michigan; University of Michigan System; University of Michigan; University of Michigan System; University of Michigan; University of Michigan System; University of Michigan; University of Copenhagen; University of Michigan System; University of Michigan</t>
  </si>
  <si>
    <t>Factors for Patient Trust and Acceptance of Medical Artificial Intelligence</t>
  </si>
  <si>
    <t>JAMA NETWORK OPEN</t>
  </si>
  <si>
    <t>DISPARITIES; AUTONOMY; HEALTH</t>
  </si>
  <si>
    <t>James, Cornelius/0000-0002-6056-0582</t>
  </si>
  <si>
    <t>2574-3805</t>
  </si>
  <si>
    <t>JAMA NETW OPEN</t>
  </si>
  <si>
    <t>JAMA Netw. Open</t>
  </si>
  <si>
    <t>e260815</t>
  </si>
  <si>
    <t>10.1001/jamanetworkopen.2026.0815</t>
  </si>
  <si>
    <t>http://dx.doi.org/10.1001/jamanetworkopen.2026.0815</t>
  </si>
  <si>
    <t>ER4UH</t>
  </si>
  <si>
    <t>41784960</t>
  </si>
  <si>
    <t>WOS:001707983200001</t>
  </si>
  <si>
    <t>Scodellaro, R; Zschüntzsch, J; Hell, AK; Alves, F</t>
  </si>
  <si>
    <t>Background and objective: Diagnosis of rare neuromuscular diseases often relies on muscle biopsy analysis, which varies based on the evaluator's experience. Advances in deep learning show promise in improving diagnostic accuracy by identifying standardized features and phenotypic expressions in biopsy images. Explainable artificial intelligence extracts these features from the neural network's "black box," ensuring compliance with European ethical standards for the use of clinical data in real-world applications. This study proposes a clinic-friendly workflow, based on explainable artificial intelligence. It combines forward-forward and backpropagationtrained convolutional networks to identify complementary features of Duchenne Muscular Dystrophy. Our proposal sets the forward-forward training, applied here for the first time on biomedical images, as a potential new standard for interpretable deep learning applications in clinics. Methods: We analyzed a multiphoton microscopy dataset of 1600 images from 16 human muscle biopsies obtained during elective spinal surgery, combining autofluorescence, second and third harmonic generation signals. Class Activation Maps unveiled the dual decision-making process of the convolutional network, independently trained with both standard backpropagation and forward-forward algorithms. We evaluated the significance of the discovered features by using the Mann Whitney method. Entire biopsies were analyzed by providing an attention metric, computed as the weighted mean of all significant parameters. Results: Backpropagation, gold standard for 35 years, and forward-forward achieved over 90 % accuracy in distinguishing healthy and diseased patients tissue. Class activation maps revealed that, when trained independently with both algorithms, the same network identifies Duchenne Muscular Dystrophy tissue by focusing on different features. Both methods identified intramuscular collagen as a key feature. Backpropagation also highlighted collagen waviness and fatty tissue. Forward-forward emphasized collagen density. We integrated these complementary insights, validated by significance analysis, into a standardized attention metric, allowing a multi-structural, quantitative assessment of tissue changes and highlighting areas for further clinical analysis. Conclusions: Our workflow, using clinically routine biopsies and transparent diagnostic features, demonstrates the unique potential of forward-forward in providing novel, reliable, interpretable results from biomedical images. This paves the way for its dual use with backpropagation, shifting benchmarks by enabling the discovery of features potentially overlooked by backpropagation across biomedical datasets.</t>
  </si>
  <si>
    <t>Scodellaro, Riccardo; Zschuentzsch, Jana; Hell, Anna-Kathrin; Alves, Frauke</t>
  </si>
  <si>
    <t>Alves, F (corresponding author), Max Planck Inst Multidisciplinary Sci, Translat Mol Imaging, Gottingen, Germany.; Alves, F (corresponding author), Univ Med Ctr Gottingen, Inst Diagnost &amp; Intervent Radiol, Gottingen, Germany.; Alves, F (corresponding author), Univ Med Ctr Gottingen, Clin Haematol &amp; Med Oncol, Gottingen, Germany.; Alves, F (corresponding author), Univ Gottingen, Cluster Excellence Multiscale Bioimaging Mol Machi, Gottingen, Germany.</t>
  </si>
  <si>
    <t>falves@gwdg.de</t>
  </si>
  <si>
    <t>Innovative Medicines Initiative 2 Joint Undertaking (JU) [101034427]; European Union; EFPIA</t>
  </si>
  <si>
    <t>Innovative Medicines Initiative 2 Joint Undertaking (JU); European Union (European Union (EU)); EFPIA</t>
  </si>
  <si>
    <t>This project has received funding from the Innovative Medicines Initiative 2 Joint Undertaking (JU) under grant agreement No 101034427. The JU receives support from the European Union's Horizon 2020 research and innovation program and EFPIA. The JU is not participating as a contracting authority in this procurement. JZ and AH are members of the European Reference Network for Rare Neuromus-cular Diseases (ERN EURO-NMD) . We thank the MPI-NAT City Campus Light Microscopy Facility (Dr. Miso Mitkovski and Heiko Roehse) , where the multiphoton dataset images were acquired. We thank Regine Kruse and Barbel Heidrich for the technical assistance of vibratome sectioning. We thank Heiko Lorenz and Konstantinos Tsaknakis for the assistance in providing the muscular biopsies. We thank Iris Iben for organizational support. Muscle samples were collected from 16 adolescents sourced from the University Medical Center of Gottingen (Germany) as part of the Screen4Care project consortium. All samples were used in accordance with the guidelines of the institutional review board (local ethical approval number: 5/2/16) , assuring that the privacy rights of human subjects have been observed and that informed consent was obtained for experimentation.</t>
  </si>
  <si>
    <t>[Scodellaro, Riccardo; Alves, Frauke] Max Planck Inst Multidisciplinary Sci, Translat Mol Imaging, Gottingen, Germany; [Zschuentzsch, Jana] Univ Med Ctr Gottingen, Dept Neurol, Gottingen, Germany; [Hell, Anna-Kathrin] Univ Med Ctr Gottingen, Dept Trauma Surg Orthopaed &amp; Plast Surg, Pediat Orthopaed, Gottingen, Germany; [Alves, Frauke] Univ Med Ctr Gottingen, Inst Diagnost &amp; Intervent Radiol, Gottingen, Germany; [Alves, Frauke] Univ Med Ctr Gottingen, Clin Haematol &amp; Med Oncol, Gottingen, Germany; [Alves, Frauke] Univ Gottingen, Cluster Excellence Multiscale Bioimaging Mol Machi, Gottingen, Germany</t>
  </si>
  <si>
    <t>University of Gottingen; University of Gottingen Hospital; University of Gottingen; University of Gottingen Hospital; University of Gottingen; University of Gottingen Hospital; University of Gottingen; University of Gottingen Hospital; University of Gottingen</t>
  </si>
  <si>
    <t>A first explainable-AI-based workflow integrating forward-forward and backpropagation-trained networks of label-free multiphoton microscopy images to assess human biopsies of rare neuromuscular disease</t>
  </si>
  <si>
    <t>Duchenne muscular dystrophy; Forward-forward; Multiphoton microscopy; Label-free imaging; Class activation maps; Explainable artificial intelligence</t>
  </si>
  <si>
    <t>Zschüntzsch, Jana/HLH-3399-2023; Scodellaro, Riccardo/NQG-0254-2025</t>
  </si>
  <si>
    <t>Zschüntzsch, Jana/0000-0002-7062-5319; Scodellaro, Riccardo/0000-0001-8889-1124</t>
  </si>
  <si>
    <t>108733</t>
  </si>
  <si>
    <t>10.1016/j.cmpb.2025.108733</t>
  </si>
  <si>
    <t>http://dx.doi.org/10.1016/j.cmpb.2025.108733</t>
  </si>
  <si>
    <t>0XC2L</t>
  </si>
  <si>
    <t>40154003</t>
  </si>
  <si>
    <t>WOS:001458089200001</t>
  </si>
  <si>
    <t>Jain, A; Jadhav, P</t>
  </si>
  <si>
    <t>The surgical removal of impacted mandibular third molars is a routine procedure in oral and maxillofacial surgery but is consistently associated with significant postoperative morbidity. Traditional indices of surgical difficulty rely mainly on positional and radiographic features, overlooking intraoperative and operator-related influences. This retrospective cohort study analyzed 472 cases of mandibular third molar extractions to develop and validate machine learning models for predicting postoperative complications. Demographic, radiographic, and intraoperative variables were included, and outcomes assessed were pain, swelling, trismus, alveolar osteitis, infection, paraesthesia, bleeding, and delayed wound healing. Five algorithms were compared, with Random Forest and XGBoost demonstrating superior predictive performance (AUC 0.91 and 0.89, respectively) compared with logistic regression (AUC 0.74). SHapley Additive exPlanations (SHAP) identified surgical duration, impaction type, root morphology, operator experience, and bone guttering as the most influential predictors. These findings highlight the potential of explainable artificial intelligence to provide clinically interpretable and individualized risk stratification, supporting better triage, patient counseling, and training allocation. While single-center and retrospective design limit generalizability, this study demonstrates that machine learning can enhance prediction of third molar surgery outcomes beyond conventional methods and provides a foundation for prospective multicenter validation.</t>
  </si>
  <si>
    <t>Jain, Anuj; Jadhav, Pratap</t>
  </si>
  <si>
    <t>Jain, A (corresponding author), 180 Maanvilla,Near PO,Cement Rd, Savner 441107, Maharashtra, India.</t>
  </si>
  <si>
    <t>dranujsinghvi@gmail.com; drjadhavpratap@gmail.com</t>
  </si>
  <si>
    <t>[Jain, Anuj] Geetanjali Univ, Geetanjali Dent &amp; Res Inst, Dept Oral &amp; Maxillofacial Surg, Udaipur 313001, Rajasthan, India; [Jain, Anuj] Dr DY Patil Vidyapeeth, Dr DY Patil Dent Coll &amp; Hosp, Dept Dent Res Cell, Pune 411018, Maharashtra, India; [Jain, Anuj] Sankalchand Patel Univ, Narsinhbhai Patel Dent Coll &amp; Hosp, Dept Oral &amp; Maxillofacial Surg, Visnagar 384315, Gujarat, India; [Jadhav, Pratap] Dr Hedgewar Smruti Rugna Sewa Mandals Dent Coll &amp;, Dept Oral &amp; Maxillofacial Surg, Hingoli 431513, Maharashtra, India</t>
  </si>
  <si>
    <t>Dr DY Patil Vidyapeeth Pune; Dr D Y Patil Dental College &amp; Hospital</t>
  </si>
  <si>
    <t>Machine learning models for predicting postoperative complications following mandibular third molar surgery: Development, validation, and explainable AI insights</t>
  </si>
  <si>
    <t>JOURNAL OF CRANIO-MAXILLOFACIAL SURGERY</t>
  </si>
  <si>
    <t>Mandibular third molar; Postoperative complications; Machine learning; Explainable artificial intelligence; Risk prediction; SHAP analysis</t>
  </si>
  <si>
    <t>DIFFICULTY; EXTRACTION; PAIN</t>
  </si>
  <si>
    <t>Jain, Anuj/JXR-6220-2024</t>
  </si>
  <si>
    <t>jadhav, Pratap/0009-0000-3258-1047</t>
  </si>
  <si>
    <t>CHURCHILL LIVINGSTONE</t>
  </si>
  <si>
    <t>EDINBURGH</t>
  </si>
  <si>
    <t>JOURNAL PRODUCTION DEPT, ROBERT STEVENSON HOUSE, 1-3 BAXTERS PLACE, LEITH WALK, EDINBURGH EH1 3AF, MIDLOTHIAN, SCOTLAND</t>
  </si>
  <si>
    <t>1010-5182</t>
  </si>
  <si>
    <t>1878-4119</t>
  </si>
  <si>
    <t>J CRANIO MAXILL SURG</t>
  </si>
  <si>
    <t>J. Cranio-MaxilloFac. Surg.</t>
  </si>
  <si>
    <t>104449</t>
  </si>
  <si>
    <t>10.1016/j.jcms.2026.104449</t>
  </si>
  <si>
    <t>http://dx.doi.org/10.1016/j.jcms.2026.104449</t>
  </si>
  <si>
    <t>Dentistry, Oral Surgery &amp; Medicine; Surgery</t>
  </si>
  <si>
    <t>CF5BS</t>
  </si>
  <si>
    <t>41512365</t>
  </si>
  <si>
    <t>WOS:001664547100001</t>
  </si>
  <si>
    <t>Chen, MG; Zhou, AE; Jain, N; Gronbeck, C; Feng, H; Grant-Kels, JM</t>
  </si>
  <si>
    <t>The integration of artificial intelligence (AI) in dermatology holds promise for enhancing clinical accuracy, enabling earlier detection of skin malignancies, suggesting potential management of skin lesions and eruptions, and promoting improved continuity of care. AI implementation in dermatology, however, raises several ethical concerns. This review explores the current benefits and challenges associated with AI integration, underscoring ethical considerations related to autonomy, informed consent, and privacy. We also examine the ways in which beneficence, nonmaleficence, and distributive justice may be impacted. Clarifying the role of AI, striking a balance between security and transparency, fostering open dialogue with our patients, collaborating with developers of AI, implementing educational initiatives for dermatologists and their patients, and participating in the establishment of regulatory guidelines are essential to navigating ethical and responsible AI incorporation into dermatology. (c) 2024 Elsevier Inc. All rights reserved.</t>
  </si>
  <si>
    <t>Chen, Maggie; Zhou, Albert E.; Jain, Neelesh; Gronbeck, Christian; Feng, Hao; Grant-Kels, Jane M.</t>
  </si>
  <si>
    <t>Grant-Kels, JM (corresponding author), Univ Conneticut, Dept Dermatol, Sch Med, Farmington, CT 06032 USA.; Grant-Kels, JM (corresponding author), Univ Florida, Coll Med, Dept Dermatol, Gainesville, FL 32610 USA.</t>
  </si>
  <si>
    <t>grant@uchc.edu</t>
  </si>
  <si>
    <t>[Chen, Maggie] Univ Maryland, Sch Med, Dept Dermatol, Baltimore, MD USA; [Zhou, Albert E.; Jain, Neelesh; Gronbeck, Christian; Feng, Hao; Grant-Kels, Jane M.] Univ Conneticut, Dept Dermatol, Sch Med, Farmington, CT 06032 USA; [Grant-Kels, Jane M.] Univ Florida, Coll Med, Dept Dermatol, Gainesville, FL 32610 USA</t>
  </si>
  <si>
    <t>University System of Maryland; University of Maryland Baltimore; State University System of Florida; University of Florida</t>
  </si>
  <si>
    <t>Ethics of artificial intelligence in dermatology</t>
  </si>
  <si>
    <t>CLINICS IN DERMATOLOGY</t>
  </si>
  <si>
    <t>Zhou, Albert/GSN-9572-2022</t>
  </si>
  <si>
    <t>Zhou, Albert/0000-0003-1126-9825</t>
  </si>
  <si>
    <t>0738-081X</t>
  </si>
  <si>
    <t>1879-1131</t>
  </si>
  <si>
    <t>CLIN DERMATOL</t>
  </si>
  <si>
    <t>Clin. Dermatol.</t>
  </si>
  <si>
    <t>MAY-JUN 2024</t>
  </si>
  <si>
    <t>313</t>
  </si>
  <si>
    <t>10.1016/j.clindermatol.2024.02.003</t>
  </si>
  <si>
    <t>http://dx.doi.org/10.1016/j.clindermatol.2024.02.003</t>
  </si>
  <si>
    <t>WA6Y8</t>
  </si>
  <si>
    <t>38401700</t>
  </si>
  <si>
    <t>WOS:001252199400001</t>
  </si>
  <si>
    <t>Byrne, MF; Rittscher, J; East, JE</t>
  </si>
  <si>
    <t>In the rapidly evolving landscape of gastrointestinal health care, the integration of artificial intelligence (AI) presents unprecedented opportunities for enhancing patient outcomes, improving efficiency, and driving innovation. Effective collaboration among clinicians, academia, and industry is crucial to harness the full potential of AI technologies. Clinicians offer invaluable insights from real-world practice, ensuring that AI solutions address genuine clinical needs and improve patient care. Academia plays a pivotal role in advancing research, developing new methodologies, and training the next generation of professionals who will navigate this transformative field. Industry drives the commercialization of AI tools, providing the resources and infrastructure necessary for widespread adoption. Achieving these synergies is challenging. Issues including data privacy, regulatory hurdles, and interdisciplinary communication must be addressed to foster effective partnerships. By embracing collaborative models, including public-private partnerships, clinical trials, and innovation hubs, stakeholders can work together to overcome barriers and promote responsible AI integration in gastroenterology.</t>
  </si>
  <si>
    <t>Byrne, Michael F.; Rittscher, Jens; East, James E.</t>
  </si>
  <si>
    <t>Byrne, MF (corresponding author), Vancouver Gen Hosp, Div Gastroenterol, Vancouver, BC V5Z 1M9, Canada.</t>
  </si>
  <si>
    <t>michael.byrne@vch.ca</t>
  </si>
  <si>
    <t>National Institute for Health and Care Research Oxford Biomedical Research Centre</t>
  </si>
  <si>
    <t>James E. East and Jens Rittscher were funded by the National Institute for Health and Care Research Oxford Biomedical Research Centre. Jens Rittscher is adjunct professor of the Ludwig Oxford Branch. The views expressed are those of the authors and not necessarily those of the National Health Service, the National Institute for Health and Care Research, or the Department of Health.</t>
  </si>
  <si>
    <t>[Byrne, Michael F.] Univ British Columbia, Vancouver Gen Hosp, Dept Med, Div Gastroenterol, Vancouver, BC, Canada; [Rittscher, Jens] Univ Oxford, Inst Biomed Engn, Dept Engn Sci, Oxford, England; [Rittscher, Jens] Univ Oxford, Big Data Inst, Li Ka Shing Ctr Hlth Informat &amp; Discovery, Oxford, England; [Rittscher, Jens; East, James E.] Oxford Univ Hosp Natl Hlth Serv Trust, Natl Inst Hlth, Care Res Oxford Biomed Res Ctr, Oxford, England; [Rittscher, Jens] Univ Oxford, Ludwig Inst Canc Res, Nuffield Dept Clin Med, Oxford, England; [East, James E.] Univ Oxford, John Radcliffe Hosp, Nuffield Dept Med, Translat Gastroenterol &amp; Liver Unit, Oxford, England; [Byrne, Michael F.] Dova Hlth Intelligence Previously Satisfai Hlth, Vancouver, BC, Canada</t>
  </si>
  <si>
    <t>University of British Columbia; University of Oxford; University of Oxford; Oxford University Hospitals NHS Foundation Trust; University of Oxford; Ludwig Institute for Cancer Research; University of Oxford</t>
  </si>
  <si>
    <t>Synergies Among Clinicians, Academia, and Industry in the Age of Artificial Intelligence</t>
  </si>
  <si>
    <t>GASTROENTEROLOGY</t>
  </si>
  <si>
    <t>Public-Private Sector Partnerships; Interdisciplinary Communication; Privacy; Delivery of Health Care</t>
  </si>
  <si>
    <t>GASTROENTEROLOGY; PARTNERSHIPS; ENDOSCOPY; BIOTECH; FUTURE</t>
  </si>
  <si>
    <t>East, James/0000-0001-8035-3700; Byrne, Michael/0000-0002-7740-7795; Rittscher, Jens/0000-0002-8528-8298</t>
  </si>
  <si>
    <t>0016-5085</t>
  </si>
  <si>
    <t>1528-0012</t>
  </si>
  <si>
    <t>Gastroenterology</t>
  </si>
  <si>
    <t>531</t>
  </si>
  <si>
    <t>544</t>
  </si>
  <si>
    <t>10.1053/j.gastro.2025.05.007</t>
  </si>
  <si>
    <t>http://dx.doi.org/10.1053/j.gastro.2025.05.007</t>
  </si>
  <si>
    <t>6IY2A</t>
  </si>
  <si>
    <t>40383307</t>
  </si>
  <si>
    <t>WOS:001554463900001</t>
  </si>
  <si>
    <t>Lorentzen, KL; Mikkelsen, KL; Boe, LS; Rasmussen, GS; Spaich, EG; Thomsen, KG</t>
  </si>
  <si>
    <t>Introduction: Early diagnosis of malignant melanoma (MM) is challenged by an increased incidence and a shortage of dermatologists. This has raised expectations on the use of artificial intelligence (AI) for diagnosing MM. Implementation of AI-based diagnostic tools rely on diagnostic performance as well as on patient trust and acceptance. Therefore, understanding patients' perspectives is essential when developing trustworthy AI-based diagnostic tools. Objectives: The aim of this study was to investigate perspectives and expectations of AI-based computer-aided diagnosis (AI-CAD) for MM among individuals at high risk of developing MM. Methods: An inductive qualitative study using an interpretive description methodology was carried out. Ten semi-structured interviews incorporating vignettes to investigate expectations regarding trust in AI, physician-patient interaction, diagnostic efficiency, and data security were conducted. Results: Participants preferred AI being used as decision support for physicians. The interaction with a physician (human-in-the-loop) was deemed key to the experience of a proper diagnostic process, and participants recognized AI's potential to streamline the process. Conclusions: Participants trust AI and recognize the potential of AI-CAD in the detection of MM. However, they emphasized the importance of human interaction as essential to a positive diagnostic experience. As trust is fundamental to safe implementation of new technologies in clinical practice, we recommend conducting post-market prospective studies employing a mixed methods approach. This will help ensure both patients' trust in the technology and physicians' confidence in its clinical utility.</t>
  </si>
  <si>
    <t>Lorentzen, Kristian Lykke; Mikkelsen, Karoline Lovschall; Boe, Louise Steenberg; Rasmussen, Gitte Susanne; Spaich, Erika Geraldina; Thomsen, Kenneth Graebild</t>
  </si>
  <si>
    <t>Lorentzen, KL (corresponding author), Odense Univ Hosp, Dept Dermatol &amp; Venereol, JB Winslows vej 4, Odense, Denmark.</t>
  </si>
  <si>
    <t>Kristian.lorentzen@rsyd.dk</t>
  </si>
  <si>
    <t>[Lorentzen, Kristian Lykke] Odense Univ Hosp, Dept Dermatol &amp; Venereol, JB Winslows vej 4, Odense, Denmark; [Mikkelsen, Karoline Lovschall; Boe, Louise Steenberg; Spaich, Erika Geraldina] Aalborg Univ, Fac Med, Dept Hlth Sci &amp; Technol, Aalborg, Denmark; [Rasmussen, Gitte Susanne; Thomsen, Kenneth Graebild] Aalborg Univ Hosp, Dept Dermatol &amp; Venereol, Aalborg, Denmark</t>
  </si>
  <si>
    <t>University of Southern Denmark; Odense University Hospital; Aalborg University; Aalborg University; Aalborg University Hospital</t>
  </si>
  <si>
    <t>Patient Perspectives on the Use of Artificial Intelligence in Malignant Melanoma Diagnosis</t>
  </si>
  <si>
    <t>DERMATOLOGY PRACTICAL &amp; CONCEPTUAL</t>
  </si>
  <si>
    <t>Artificial intelligence; Malignant melanoma; Dermatology; Patient perspective; Skin cancer</t>
  </si>
  <si>
    <t>SKIN-CANCER CLASSIFICATION; TARGETED EARLY-DETECTION; RISK</t>
  </si>
  <si>
    <t>Spaich, Erika G/E-4915-2018; /AAK-5737-2020</t>
  </si>
  <si>
    <t>Spaich, Erika G/0000-0003-1275-4064</t>
  </si>
  <si>
    <t>MATTIOLI 1885</t>
  </si>
  <si>
    <t>FIDENZA</t>
  </si>
  <si>
    <t>VIA DELLA LODESANA 649-SX, FIDENZA, 43046 PR, ITALY</t>
  </si>
  <si>
    <t>2160-9381</t>
  </si>
  <si>
    <t>DERMATOL PRACT CONCE</t>
  </si>
  <si>
    <t>Dermatol. Pract. Concept.</t>
  </si>
  <si>
    <t>6758</t>
  </si>
  <si>
    <t>10.5826/dpc.1602a6758</t>
  </si>
  <si>
    <t>http://dx.doi.org/10.5826/dpc.1602a6758</t>
  </si>
  <si>
    <t>IN3LT</t>
  </si>
  <si>
    <t>42190225</t>
  </si>
  <si>
    <t>WOS:001775767300016</t>
  </si>
  <si>
    <t>Lenarczyk, G; Minssen, T; Price, N; Rai, A</t>
  </si>
  <si>
    <t>As artificial intelligence (AI) transforms drug development, regulatory frameworks are evolving to oversee its implementation, particularly at the US Food and Drug Administration (FDA) and the European Medicines Agency (EMA). This paper makes three contributions to understanding emerging regulatory approaches. First, we offer a comparative analysis of how these agencies have responded to AI-driven advances, incorporating new US executive orders and the European Union (EU)'s AI Act. Second, we propose a novel analytical framework to understand regulatory divergence: the FDA's flexible, dialog-driven model contrasts with the EMA's structured, risk-tiered approach, reflecting broader institutional and political-economic differences. While the former encourages innovation via individualized assessment, it can create uncertainty about general expectations; by contrast, the EMA's clearer requirements may slow early-stage AI adoption but provide more predictable paths to market. Third, we examine whether AI applications-spanning target identification, generative chemistry, and clinical trial 'digital twins'-are mature enough for standardized regulation, particularly amid shifting US policies and the EU's structured oversight regime. Our analysis reveals patterns of convergence on risk-based principles but persistent transatlantic implementation differences, compounded by diminished US engagement in international cooperation. We conclude that heightened regulatory uncertainty in the USA under a new administration's 'America First' stance and more stable, formalized rules in Europe both pose opportunities and challenges to AI-driven innovation in drug development.</t>
  </si>
  <si>
    <t>Lenarczyk, Gabriela; Minssen, Timo; Price, Nicholson; Rai, Arti</t>
  </si>
  <si>
    <t>Lenarczyk, G (corresponding author), Univ Copenhagen, Fac Law, Ctr Adv Studies Biosci Innovat Law, Karen Blixens Plads 16, DK-2300 Copenhagen, Denmark.</t>
  </si>
  <si>
    <t>gale@jur.ku.dk</t>
  </si>
  <si>
    <t>Novo Nordisk Foundation [NNF23SA0087056]</t>
  </si>
  <si>
    <t>Novo Nordisk Foundation (Novo Nordisk Foundation)</t>
  </si>
  <si>
    <t>The research was supported, in part, by a Novo Nordisk Foundation Grant for a scientifically independent International Collaborative Bioscience Innovation &amp; Law Programme (Inter-CeBIL programme-grant no. NNF23SA0087056).</t>
  </si>
  <si>
    <t>[Lenarczyk, Gabriela; Minssen, Timo; Price, Nicholson] Univ Copenhagen, Fac Law, Ctr Adv Studies Biosci Innovat Law, Karen Blixens Plads 16, DK-2300 Copenhagen, Denmark; [Price, Nicholson] Univ Michigan, Law Sch, 625 S State St, Ann Arbor, MI 48109 USA; [Rai, Arti] Duke Univ, Sch Law, 210 Sci Dr, Durham, NC 27708 USA</t>
  </si>
  <si>
    <t>University of Copenhagen; University of Michigan System; University of Michigan; Duke University</t>
  </si>
  <si>
    <t>The future of AI regulation in drug development: a comparative analysis</t>
  </si>
  <si>
    <t>artificial intelligence; AI governance; drug development; EMA; FDA; pharmaceutical innovation</t>
  </si>
  <si>
    <t>ARTIFICIAL-INTELLIGENCE; DISCOVERY</t>
  </si>
  <si>
    <t>Lenarczyk, Gabriela/HGE-3528-2022; Rai, Arti/LOU-0442-2024</t>
  </si>
  <si>
    <t>Lenarczyk, Gabriela/0000-0001-5965-7291; Minssen, Timo/0000-0002-3286-4888</t>
  </si>
  <si>
    <t>JUL-DEC 2025</t>
  </si>
  <si>
    <t>lsaf028</t>
  </si>
  <si>
    <t>10.1093/jlb/lsaf028</t>
  </si>
  <si>
    <t>http://dx.doi.org/10.1093/jlb/lsaf028</t>
  </si>
  <si>
    <t>9OW6Y</t>
  </si>
  <si>
    <t>41221487</t>
  </si>
  <si>
    <t>WOS:001611511900001</t>
  </si>
  <si>
    <t>de Souza, LL; Chen, ZY; de Cáceres, CVBL; Rodrigues, NG; Pontes, HAR; Soares, CD; Coracin, FL; Kimura, I; Siqueira, SAC; Mariano, FV; Kimura, TD; Bonfitto, JFL; de Freitas, LLL; de Aquino, SN; Hankinson, P; Mahmood, H; Walsh, H; Torres, IAT; Mosqueda-Taylor, A; Aleixo, PB; Martins, MD; Menna-Barreto, CL; Hagag, A; Nakamura, TCR; dos Santos, GC; Moraes, MC; Lopes, MA; Santos-Silva, AR; Fonseca, FP; Khurram, SA; Vargas, PA</t>
  </si>
  <si>
    <t>The differential diagnosis between reactive follicular hyperplasia (RFH) and follicular lymphoma (FL) in head and neck tissues represents a diagnostic challenge, particularly given the rarity of extranodal FL at these anatomical sites. We developed and evaluated an explainable multimodal artificial intelligence framework to assist in this differential diagnosis. This international multicentre study assembled 108 cases (54 RFH, 54 FL) from 10 centres across 4 continents, representing one of the largest collections of head and neck follicular lesions. We developed a multimodal framework integrating convolutional neural networks (CNNs: AlexNet, VGG16, ResNet18), vision transformers (CellViT + +), graph neural networks (Cell-GNN for spatial analysis), and gradient-boosted decision trees (XGBoost) with morphometric features. Explainability was achieved through Grad-CAM visualisation and SHAP analysis. The best-performing model (CellViT + +) achieved 95.7% accuracy on the internal test set. External validation demonstrated accuracy of 80.5% (ResNet18, Cohort 1) and 69.0% (VGG16-Seg, Cohort 2), with performance variation reflecting the challenge of generalisation across centres. Explainability analysis revealed that the multimodal framework integrated morphometric features (nuclear area, eccentricity) with epidemiological context (patient age, consistent with known FL demographics). Cell-GNN spatial analysis identified significant architectural reorganisation in FL, quantified by Hedges' g = -6.65, representing the loss of normal follicular polarity. This study demonstrates the feasibility of a multimodal explainable AI framework for assisting in the differential diagnosis of rare head and neck follicular lesions. The integration of morphological, spatial, and clinical features provides a foundation for future collaborative validation studies and potential diagnostic support in specialised pathology settings.</t>
  </si>
  <si>
    <t>de Souza, Lucas Lacerda; Chen, Zhiyang; de Caceres, Cinthia Veronica Bardalez Lopez; Rodrigues, Nathalia Gomes; Pontes, Helder Antonio Rebelo; Soares, Ciro Dantas; Coracin, Fabio Luiz; Kimura, Igor; Siqueira, Sheila Aparecida Coelho; Mariano, Fernanda Viviane; Kimura, Talita de Carvalho; Bonfitto, Joao Felipe Leite; de Freitas, Leandro Luiz Lopes; de Aquino, Sibele Nascimento; Hankinson, Paul; Mahmood, Hanya; Walsh, Hannah; Torres Torres, Itzia Araceli; Mosqueda-Taylor, Adalberto; Aleixo, Pedro Bandeira; Martins, Manoela Domingues; Menna-Barreto, Carolina Louzada; Hagag, Ahmed; Nakamura, Thais Cerqueira Reis; dos Santos, Giovanna Calabrese; Moraes, Matheus Cardoso; Lopes, Marcio Ajudarte; Santos-Silva, Alan Roger; Fonseca, Felipe Paiva; Khurram, Syed Ali; Vargas, Pablo Agustin</t>
  </si>
  <si>
    <t>Khurram, SA (corresponding author), Univ Sheffield, Fac Hlth, Sch Clin Dent, Sheffield, England.</t>
  </si>
  <si>
    <t>s.a.khurram@sheffield.ac.uk</t>
  </si>
  <si>
    <t>Centros de Pesquisa, Inovao e Difuso, Fundao Amaznia Paraense de Amparo Pesquisa [#22/03123-5]; Fundao de Amparo Pesquisa do Estado de So Paulo [#23/11058-1]</t>
  </si>
  <si>
    <t>Centros de Pesquisa, Inovao e Difuso, Fundao Amaznia Paraense de Amparo Pesquisa; Fundao de Amparo Pesquisa do Estado de So Paulo</t>
  </si>
  <si>
    <t>This work was supported by S &amp; atilde;o Paulo State Research Foundation (FAPESP; grants #2022/03123-5, #2023/11058-1), Minas Gerais State Research Foundation (FAPEMIG), the Brazilian Ministry of Health through the National Programme for Genomics and Precision Health, and the National Council for Scientific and Technological Development (CNPq; grants 406947/2023-6, 443992/2023-1).</t>
  </si>
  <si>
    <t>[de Souza, Lucas Lacerda; Pontes, Helder Antonio Rebelo; Soares, Ciro Dantas; Mariano, Fernanda Viviane; Martins, Manoela Domingues; Lopes, Marcio Ajudarte; Santos-Silva, Alan Roger; Vargas, Pablo Agustin] Univ Estadual Campinas, Piracicaba Dent Sch, Oral Diag Dept, Piracicaba, Brazil; [Chen, Zhiyang; Hankinson, Paul; Mahmood, Hanya; Walsh, Hannah; Khurram, Syed Ali] Univ Sheffield, Fac Hlth, Sch Clin Dent, Sheffield, England; [de Caceres, Cinthia Veronica Bardalez Lopez; Rodrigues, Nathalia Gomes; Fonseca, Felipe Paiva] Univ Fed Minas Gerais, Sch Dent, Dept Oral Surg &amp; Pathol, Belo Horizonte, Brazil; [Pontes, Helder Antonio Rebelo] Fed Univ Para, Joao de Barros Barreto Univ Hosp, Serv Oral Pathol, Belem, Brazil; [Soares, Ciro Dantas] Getulio Sales Diagnost, Natal, Brazil; [Coracin, Fabio Luiz; Kimura, Igor] Barretos Canc Hosp, Dept Pathol, Barretos, Brazil; [Siqueira, Sheila Aparecida Coelho] Univ Sao Paulo, Dept Pathol, Sao Paulo, Brazil; [Mariano, Fernanda Viviane; Kimura, Talita de Carvalho; Bonfitto, Joao Felipe Leite; de Freitas, Leandro Luiz Lopes] Univ Estadual Campinas, Fac Med Sci, Dept Pathol, Campinas, Brazil; [de Aquino, Sibele Nascimento] Univ Fed Juiz de Fora, Appl Hlth Sci Postgrad Program, Belo Horizonte, MG, Brazil; [Torres Torres, Itzia Araceli; Mosqueda-Taylor, Adalberto] Univ Autonoma Metropolitana, Hlth Care Dept, Mexico City, Mexico; [Aleixo, Pedro Bandeira] Hosp Santa Rita, Pathol Dept, Complexo Hosp Santa Casa, Porto Alegre, Brazil; [Martins, Manoela Domingues; Menna-Barreto, Carolina Louzada] Univ Fed Rio Grande do Sul, Sch Dent, Dept Oral Pathol, Porto Alegre, Brazil; [Hagag, Ahmed] Arab Open Univ, Fac Comp Studies, Informat Technol &amp; Comp Program, Kuwait City, Egypt; [Hagag, Ahmed] Fac Comp &amp; Artificial Intelligence, Sci Comp Dept, Banha, Egypt; [Nakamura, Thais Cerqueira Reis; dos Santos, Giovanna Calabrese; Moraes, Matheus Cardoso] Fed Univ Sao Paulo ICT UNIFESP, Inst Sci &amp; Technol, Sao Jose Dos Campos, SP, Brazil</t>
  </si>
  <si>
    <t>Universidade Estadual de Campinas; University of Sheffield; Universidade Federal de Minas Gerais; Universidade Federal do Para; Hospital de Cancer de Barretos; Universidade de Sao Paulo; Universidade Estadual de Campinas; Universidad Autonoma Metropolitana - Mexico; Universidade Federal do Rio Grande do Sul; Universidade Federal de Sao Paulo (UNIFESP)</t>
  </si>
  <si>
    <t>A multimodal explainable ai framework to assist in the differential diagnosis of head and neck reactive follicular hyperplasia and follicular lymphoma: an international multicentre study</t>
  </si>
  <si>
    <t>Artificial intelligence; Deep learning; Follicular lymphoma; Reactive follicular hyperplasia; Digital pathology; Explainable AI</t>
  </si>
  <si>
    <t>CLASSIFICATION; CENTROBLASTS</t>
  </si>
  <si>
    <t>MORAES, MATHEUS/ADE-2493-2022; Fonseca, Felipe/C-4158-2012; Lopes, Marcio/AAV-1018-2020; Martins, Manoela/G-8209-2012; Khurram, Syed/AAH-5213-2021; BARDALEZ LOPEZ DE CACERES, CINTHIA VERONICA/JBJ-3343-2023; Soares, Ciro/GPS-6122-2022; de Souza, Lucas/L-2589-2018; Aquino, Sibele/AAP-4480-2021; Kimura, Talita/AAA-3292-2022; Nakamura, Thais/NRB-8786-2025; Vargas, Pablo Agustin/C-5208-2012; /A-4804-2010; Pontes, Hélder/AAO-4730-2020; Calabrese dos Santos, Giovanna/MCJ-4929-2025; Walsh, Hannah/HMO-7009-2023; /N-7070-2013; Santos-Silva, Alan/B-6121-2008</t>
  </si>
  <si>
    <t>10.1007/s00428-026-04527-w</t>
  </si>
  <si>
    <t>http://dx.doi.org/10.1007/s00428-026-04527-w</t>
  </si>
  <si>
    <t>HH4FT</t>
  </si>
  <si>
    <t>42067664</t>
  </si>
  <si>
    <t>WOS:001754117000001</t>
  </si>
  <si>
    <t>Osa-Sanchez, A; El-Baz, A; Oleagordia-Ruiz, I; Garcia-Zapirain, B</t>
  </si>
  <si>
    <t>The automated stratification of retinal diseases remains a significant challenge due to data heterogeneity and the closed-box nature of deep learning models. Although foundational models have demonstrated remarkable success in general computer vision, their clinical reliability and interpretability in multimodal ophthalmology remain insufficiently explored. In this work, we introduce an Explainable Multimodal Foundational AI framework trained on a large-scale integrated corpus of 760,243 retinal images collected from over 15 heterogeneous repositories, encompassing both fundus photography and optical coherence tomography (OCT). We systematically evaluate self-supervised learning (SSL) paradigms DINO and iBOT across convolutional (ResNet) and Transformer-based (Vision Transformer, ViT) architectures. Our results show that ResNet-DINO achieves state-of-the-art performance, reaching 93.53% accuracy and a 0.935 F1-score in 6-class multimodal retinal disease classification, while exhibiting superior robustness under data-limited conditions, attributed to its inductive bias. Notably, we observe emergent clinical localization capabilities in Vision Transformer models (ViT-DINOv2 and ViT-iBOT). Using frozen pre-trained weights and without exposure to expert-labeled data or ground truth labels, these models autonomously highlight clinically relevant biomarkers, including subretinal fluid and drusen, demonstrating intrinsic pathological awareness. By bridging the semantic gap between unsupervised representation learning and targeted clinical diagnosis, this study establishes a benchmark for robust, explainable, and label-efficient AI in ophthalmology. Our findings indicate that large-scale foundational pre-training not only enhances diagnostic accuracy but also induces meaningful visual priors aligned with established clinical biomarkers, supporting the deployment of trustworthy AI systems in real-world clinical decision support.</t>
  </si>
  <si>
    <t>Osa-Sanchez, Ainhoa; El-Baz, Ayman; Oleagordia-Ruiz, Ibon; Garcia-Zapirain, Begonya</t>
  </si>
  <si>
    <t>Osa-Sanchez, A (corresponding author), Univ Deusto, eVIDA Res Grp, Bilbao 48007, Spain.</t>
  </si>
  <si>
    <t>ainhoa.osa.sanchez@deusto.es</t>
  </si>
  <si>
    <t>[Osa-Sanchez, Ainhoa; Oleagordia-Ruiz, Ibon; Garcia-Zapirain, Begonya] Univ Deusto, eVIDA Res Grp, Bilbao 48007, Spain; [El-Baz, Ayman] Univ Louisville, JB Speed Sch Engn, Dept Bioengn, Louisville, KY 40292 USA</t>
  </si>
  <si>
    <t>University of Deusto; University of Louisville</t>
  </si>
  <si>
    <t>Explainable Multimodal Foundational Models for Retinal Disease Stratification: A Robustness Study Across 15+Heterogeneous Datasets</t>
  </si>
  <si>
    <t>Retina; Accuracy; Visualization; Robustness; Artificial intelligence; Pathology; Glaucoma; Transformers; Imaging; Diabetic retinopathy; Explainable AI (XAI); foundation models; self-supervised learning; multimodal fusion; retinal pathology; large-scale ophthalmic benchmark</t>
  </si>
  <si>
    <t>Osa Sanchez, Ainhoa/HJY-6229-2023; El-Baz, Ayman/AAC-6689-2019; Oleagordia Ruiz, Ibon/L-9048-2014</t>
  </si>
  <si>
    <t>31567</t>
  </si>
  <si>
    <t>31579</t>
  </si>
  <si>
    <t>10.1109/ACCESS.2026.3668034</t>
  </si>
  <si>
    <t>http://dx.doi.org/10.1109/ACCESS.2026.3668034</t>
  </si>
  <si>
    <t>EP1NL</t>
  </si>
  <si>
    <t>WOS:001706400800020</t>
  </si>
  <si>
    <t>Awais, M; Rehman, A</t>
  </si>
  <si>
    <t>Radiology artificial intelligence (AI) is increasingly developed on large external datasets and deployed across institutions, but real-world model performance may vary substantially after implementation. Imaging AI interacts with a local ecosystem shaped by scanner hardware, acquisition protocols, reconstruction methods, technologist practices, disease prevalence, patient demographics, reporting conventions, and clinical workflow. These factors can produce domain shift, degrade calibration, alter false-positive and false-negative patterns, and affect clinical utility. In this article, we argue that radiology AI should move beyond a "plug-and-play" deployment paradigm toward institution-calibrated AI stewardship. We propose an institution-specific radiology AI performance profile, conceptually analogous to a local antibiogram, to summarize how AI tools perform within a specific clinical environment. Unlike prior MLOps and radiology AI governance frameworks, the proposed profile translates lifecycle management into a radiology-specific, locally maintainable artifact that captures technical context, clinical context, performance metrics, reference standards, equity checks, workflow effects, and governance triggers. The framework applies not only to diagnostic decision support, but also to research cohort generation and radiology education, where local reporting language, imaging protocols, and case mix may strongly influence model reliability. We emphasize that institution-specific calibration does not require every hospital to develop AI models de novo. Rather, externally developed, vendor-based, and foundation-model approaches should be paired with local validation, cautious threshold adjustment, calibration when applicable, surveillance for drift and protocol changes, and multidisciplinary governance. Responsible radiology AI deployment should therefore ask not only whether a model is accurate, but whether it remains accurate, relevant, equitable, and useful locally over time.</t>
  </si>
  <si>
    <t>Awais, Muhammad; Rehman, Abdul</t>
  </si>
  <si>
    <t>Awais, M (corresponding author), Aga Khan Univ Hosp, Dept Radiol, Karachi, Sindh, Pakistan.</t>
  </si>
  <si>
    <t>awais_aku@yahoo.com</t>
  </si>
  <si>
    <t>[Awais, Muhammad] Aga Khan Univ Hosp, Dept Radiol, Karachi, Sindh, Pakistan; [Rehman, Abdul] TidalHlth Peninsula Reg, Dept Med, Salisbury, MD USA</t>
  </si>
  <si>
    <t>Aga Khan University</t>
  </si>
  <si>
    <t>From plug-and-play to institution-calibrated radiology AI: a practical framework for operationalizing local validation, monitoring and governance</t>
  </si>
  <si>
    <t>algorithm performance monitoring; domain shift; local validation; model governance; radiology artificial intelligence</t>
  </si>
  <si>
    <t>/M-3089-2017</t>
  </si>
  <si>
    <t>1902217</t>
  </si>
  <si>
    <t>10.3389/fradi.2026.1902217</t>
  </si>
  <si>
    <t>http://dx.doi.org/10.3389/fradi.2026.1902217</t>
  </si>
  <si>
    <t>LY3MF</t>
  </si>
  <si>
    <t>42534994</t>
  </si>
  <si>
    <t>WOS:001836137900001</t>
  </si>
  <si>
    <t>van Putten, LD; Bamford, KE; Veleslavov, I; Wegerif, S</t>
  </si>
  <si>
    <t>In this study, we address the need for low-cost, rapid, and reliable methods for blood pressure measurement to facilitate timely diagnosis and treatment of hypertension. We aim to enhance understanding and trust in the novel remote photoplethysmography technology, specifically as deployed by Lifelight (R) \documentclass[12pt]{minimal} \usepackage{amsmath} \usepackage{wasysym} \usepackage{amsfonts} \usepackage{amssymb} \usepackage{amsbsy} \usepackage{mathrsfs} \usepackage{upgreek} \setlength{\oddsidemargin}{-69pt} \begin{document}$$&lt;^&gt;\circledR$$\end{document} , for vital sign monitoring. Lifelight (R) \documentclass[12pt]{minimal} \usepackage{amsmath} \usepackage{wasysym} \usepackage{amsfonts} \usepackage{amssymb} \usepackage{amsbsy} \usepackage{mathrsfs} \usepackage{upgreek} \setlength{\oddsidemargin}{-69pt} \begin{document}$$&lt;^&gt;\circledR$$\end{document} utilizes remote photoplethysmography to extract physiologically meaningful features from video recordings on personal devices. This study describes the accurate calculation of pulse rates and the extraction of morphological and time series features from the remote photoplethysmography signal for blood pressure prediction. Unlike common approaches, distinct model types are employed for predicting systolic and diastolic blood pressure. Evaluation on an independent clinical laboratory's dataset demonstrates the efficacy of the proposed method. The pulse rate accuracy, measured as root mean square error, is 1.9 beats per minute. The model for systolic blood pressure prediction shows a mean error of 1.2 mmHg and a standard deviation of 15.9 mmHg. The model for diastolic prediction shows a mean error of - \documentclass[12pt]{minimal} \usepackage{amsmath} \usepackage{wasysym} \usepackage{amsfonts} \usepackage{amssymb} \usepackage{amsbsy} \usepackage{mathrsfs} \usepackage{upgreek} \setlength{\oddsidemargin}{-69pt} \begin{document}$$-$$\end{document} 3.2 mmHg and a standard deviation of 13.1 mmHg. This research establishes the validity of remote photoplethysmography technology by showcasing accurate pulse rate calculations and effective feature extraction for blood pressure prediction. The results indicate the potential for widespread adoption of remote photoplethysmography in measuring blood pressure and other vital signs.Lifelight (R) \documentclass[12pt]{minimal} \usepackage{amsmath} \usepackage{wasysym} \usepackage{amsfonts} \usepackage{amssymb} \usepackage{amsbsy} \usepackage{mathrsfs} \usepackage{upgreek} \setlength{\oddsidemargin}{-69pt} \begin{document}$$&lt;^&gt;\circledR$$\end{document} is a new approach to measuring blood pressure using a smartphone camera held in front of a person's face. Features based on human physiology are extracted from facial micro blushes and used to train machine learning algorithms. Lifelight (R) \documentclass[12pt]{minimal} \usepackage{amsmath} \usepackage{wasysym} \usepackage{amsfonts} \usepackage{amssymb} \usepackage{amsbsy} \usepackage{mathrsfs} \usepackage{upgreek} \setlength{\oddsidemargin}{-69pt} \begin{document}$$&lt;^&gt;\circledR$$\end{document} is starting to replace cuffs for detection of hypertension worldwide helping to avoid heart disease and stroke.</t>
  </si>
  <si>
    <t>van Putten, Lieke Dorine; Bamford, Kate Emily; Veleslavov, Ivan; Wegerif, Simon</t>
  </si>
  <si>
    <t>Wegerif, S (corresponding author), Univ Southampton Sci Pk, Lifelight, Xim Ltd, 2 Venture Rd, Southampton SO16, Hamps, England.</t>
  </si>
  <si>
    <t>simon@xim.ai</t>
  </si>
  <si>
    <t>Portsmouth Hospitals University Trust; Barts Health NHS Trust</t>
  </si>
  <si>
    <t>The authors would like to thank all personnel and participants from the Portsmouth Hospitals University Trust and Barts Health NHS Trust for their involvement in the Vision-MD study. We would also like to thank Professor Alison McConnell for conducting a literature review to understand the anatomy and physiology of facial blood flow and for her guidance during the model design and Dr Malika Felton for her help in collecting carotid pressure waveform data to enable the generation of the transfer function. The authors would also like to thank Helen Barham PhD for reviewing the first draft.</t>
  </si>
  <si>
    <t>[van Putten, Lieke Dorine; Bamford, Kate Emily; Veleslavov, Ivan; Wegerif, Simon] Univ Southampton Sci Pk, Lifelight, Xim Ltd, 2 Venture Rd, Southampton SO16, Hamps, England</t>
  </si>
  <si>
    <t>From video to vital signs: using personal device cameras to measure pulse rate and predict blood pressure using explainable AI</t>
  </si>
  <si>
    <t>Cuffless blood pressure prediction; Remote photoplethysmography; RPPG; Machine learning; Pulse detection; Contactless vital signs</t>
  </si>
  <si>
    <t>WAVE-FORM; SKIN</t>
  </si>
  <si>
    <t>APR 3 2024</t>
  </si>
  <si>
    <t>10.1007/s42452-024-05848-8</t>
  </si>
  <si>
    <t>http://dx.doi.org/10.1007/s42452-024-05848-8</t>
  </si>
  <si>
    <t>MY7P4</t>
  </si>
  <si>
    <t>WOS:001197264800006</t>
  </si>
  <si>
    <t>Alzyood, M</t>
  </si>
  <si>
    <t>The integration of artificial intelligence (AI) into infection surveillance represents a significant shift in public health; however, most AI frameworks and implementation guidance neglect the distinct constraints of low- and middle-income countries (LMICs). This commentary presents the ethics, opportunities, and threats for LMICs (EOT-LMICs) framework, developed through synthesis of the literature on AI adoption, digital health implementation and infection surveillance in resource-limited settings. The framework provides an integrated analytical structure: ethical foundations (equity, data governance, contextual validity) establish preconditions for adoption, opportunities (workforce augmentation, standardised surveillance, outbreak detection) define potential benefits warranting investment and threats (misclassification, infrastructure fragility, model drift, regulatory gaps) identify risks requiring mitigation before and during implementation. Aligned with the 4Ps model (precision, partnership, practice, people), this framework offers policymakers and infection prevention practitioners a pathway for context-appropriate AI implementation that prioritises local needs and human-centred care.</t>
  </si>
  <si>
    <t>Alzyood, Mamdooh</t>
  </si>
  <si>
    <t>Alzyood, M (corresponding author), Oxford Brookes Univ, Fac Hlth Sci &amp; Technol, Sch Psychol Social Work &amp; Publ Hlth, Headington Campus, Oxford OX3 0BP, England.</t>
  </si>
  <si>
    <t>malzyood@brookes.ac.uk</t>
  </si>
  <si>
    <t>[Alzyood, Mamdooh] Oxford Brookes Univ, Fac Hlth Sci &amp; Technol, Sch Psychol Social Work &amp; Publ Hlth, Headington Campus, Oxford OX3 0BP, England</t>
  </si>
  <si>
    <t>Oxford Brookes University</t>
  </si>
  <si>
    <t>A responsible AI framework for infection surveillance in low-resource settings: ethics, opportunities and threats for LMICs (EOT-LMICs)</t>
  </si>
  <si>
    <t>INTERNATIONAL HEALTH</t>
  </si>
  <si>
    <t>artificial intelligence; global health; healthcare-associated infections; implementation science; infection surveillance; low- and middle-income countries</t>
  </si>
  <si>
    <t>Alzyood, Mamdooh/J-6169-2019</t>
  </si>
  <si>
    <t>1876-3413</t>
  </si>
  <si>
    <t>1876-3405</t>
  </si>
  <si>
    <t>INT HEALTH</t>
  </si>
  <si>
    <t>Int. Health</t>
  </si>
  <si>
    <t>10.1093/inthealth/ihag033</t>
  </si>
  <si>
    <t>http://dx.doi.org/10.1093/inthealth/ihag033</t>
  </si>
  <si>
    <t>GC4CB</t>
  </si>
  <si>
    <t>41942111</t>
  </si>
  <si>
    <t>WOS:001733055100001</t>
  </si>
  <si>
    <t>Salem, MA; Zakaria, OM; Aldoughan, EA; Khalil, ZA; Zakaria, HM</t>
  </si>
  <si>
    <t>Background: The rapid integration of artificial intelligence (AI) into medical education in developing nations necessitates that educators develop comprehensive AI competencies and readiness. This study explores AI competence and readiness among medical educators in higher education, focusing on the five key dimensions of the ADELE technique: (A) AI Awareness, (D) Development of AI Skills, (E) AI Efficacy, (L) Leanings Towards AI, and (E) AI Enforcement. Structured surveys were used to assess AI competencies and readiness among medical educators for the sustainable integration of AI in medical education. Methods: A cross-sectional study was conducted using a 40-item survey distributed to 253 educators from the Middle East (Saudi Arabia, Egypt, Jordan) and South Asia (India, Pakistan, Philippines). Statistical analyses examined variations in AI competency and readiness by gender and nationality and assessed their predictive impact on the adoption of sustainable AI in medical education. Results: The findings revealed that AI competency and readiness are the primary drivers of sustainable AI adoption, highlighting the need to bridge the gap between theoretical knowledge and practical application. No significant differences were observed based on gender or discipline, suggesting a balanced approach to AI education. However, ethical perspectives on AI integration varied between Middle East and South Asian educators, likely reflecting cultural influences. Conclusions: This study underscores the importance of advancing from foundational AI knowledge to hands-on applications while promoting responsible AI use. The ADELE technique provides a strategic approach to enhancing AI competency in medical education within developing nations, fostering both technological proficiency and ethical awareness among educators.</t>
  </si>
  <si>
    <t>Salem, Mostafa Aboulnour; Zakaria, Ossama M.; Aldoughan, Eman Abdulaziz; Khalil, Zeyad Aly; Zakaria, Hazem Mohamed</t>
  </si>
  <si>
    <t>Zakaria, OM (corresponding author), King Faisal Univ, Coll Med, Dept Surg, Pediat Surg, Al Hasa 31982, Saudi Arabia.</t>
  </si>
  <si>
    <t>eadoughan@kfu.edu.sa; hmmahmood@iau.edu.sa; ozakaria@kfu.edu.sa; zeiadaly@oi.edu.eg; masalem@kfu.edu.sa</t>
  </si>
  <si>
    <t>Deanship of Scientific Research at the King Faisal University of Saudi Arabia</t>
  </si>
  <si>
    <t>This research was funded by the Deanship of Scientific Research at the King Faisal University of Saudi Arabia, grant number (KFU252248).</t>
  </si>
  <si>
    <t>[Salem, Mostafa Aboulnour] King Faisal Univ, Deanship Dev &amp; Qual Assurance, Al Hasa 31982, Saudi Arabia; [Zakaria, Ossama M.] King Faisal Univ, Coll Med, Dept Surg, Pediat Surg, Al Hasa 31982, Saudi Arabia; [Aldoughan, Eman Abdulaziz] King Faisal Univ, Coll Educ, Al Hasa 31982, Saudi Arabia; [Khalil, Zeyad Aly] Obour High Inst Management &amp; Informat, Cairo 11828, Egypt; [Zakaria, Hazem Mohamed] Imam Abdulrahman Bin Faisal Univ, Coll Med, Dept Surg, Dammam 31441, Saudi Arabia</t>
  </si>
  <si>
    <t>King Faisal University; King Faisal University; King Faisal University; Imam Abdulrahman Bin Faisal University</t>
  </si>
  <si>
    <t>Bridging the AI Gap in Medical Education: A Study of Competency, Readiness, and Ethical Perspectives in Developing Nations</t>
  </si>
  <si>
    <t>artificial intelligence; AI competency; AI readiness; ethical AI; curriculum AI integration; ADELE technique; medical education; developing nations; cross-sectional study; Middle East; South Asia</t>
  </si>
  <si>
    <t>Aly Khalil, Zeyad/NHP-7057-2025; Zakaria, Ossama M/KGK-5938-2024; Salem, Mostafa Aboulnour/K-7718-2018</t>
  </si>
  <si>
    <t>Aly Khalil, Zeyad/0009-0004-8259-2923; Zakaria, Ossama M/0000-0003-4608-8565; Salem, Mostafa Aboulnour/0000-0002-9462-2446</t>
  </si>
  <si>
    <t>JUN 17 2025</t>
  </si>
  <si>
    <t>10.3390/computers14060238</t>
  </si>
  <si>
    <t>http://dx.doi.org/10.3390/computers14060238</t>
  </si>
  <si>
    <t>4CN9L</t>
  </si>
  <si>
    <t>WOS:001514782200001</t>
  </si>
  <si>
    <t>Kucur, EN; Buyuktanir, T; Ugurelli, M; Yildiz, K</t>
  </si>
  <si>
    <t>Privacy-preserving machine learning (PPML) constitutes a core element of responsible AI by supporting model training and inference without exposing sensitive information. This survey presents a comprehensive examination of the major cryptographic PPML techniques and introduces a unified taxonomy covering technical models, verification criteria, and evaluation dimensions. The study consolidates findings from both survey and experimental works using structured comparison tables and emphasizes that recent research increasingly adopts hybrid and verifiable PPML designs. In addition, we map PPML applications across domains such as healthcare, finance, Internet of Things (IoT), and edge systems, indicating that cryptographic approaches are progressively transitioning from theoretical constructs to deployable solutions. Finally, the survey outlines emerging trends-including the growth of zero-knowledge proofs (ZKPs)-based verification and domain-specific hybrid architectures-and identifies practical considerations that shape PPML adoption in real systems.</t>
  </si>
  <si>
    <t>Kucur, Elif Nur; Buyuktanir, Tolga; Ugurelli, Muharrem; Yildiz, Kazim</t>
  </si>
  <si>
    <t>Kucur, EN (corresponding author), Marmara Univ, Inst Pure &amp; Appl Sci, TR-34722 Istanbul, Turkiye.</t>
  </si>
  <si>
    <t>tolga.buyuktanir@agrafintech.com; kazim.yildiz@marmara.edu.tr; muharrem.ugurelli@agrafintech.com; elifkucur@marun.edu.tr</t>
  </si>
  <si>
    <t>Agra Fintech Software Solutions</t>
  </si>
  <si>
    <t>The authors would like to thank Agra Fintech Software Solutions for their support.</t>
  </si>
  <si>
    <t>[Kucur, Elif Nur] Marmara Univ, Inst Pure &amp; Appl Sci, TR-34722 Istanbul, Turkiye; [Buyuktanir, Tolga; Ugurelli, Muharrem] Agra Fintech Software Solut, Agra Res Lab, TR-34820 Istanbul, Turkiye; [Yildiz, Kazim] Marmara Univ, Fac Technol, Comp Engn Dept, TR-34854 Istanbul, Turkiye</t>
  </si>
  <si>
    <t>Marmara University; Marmara University</t>
  </si>
  <si>
    <t>Privacy-Preserving Machine Learning Techniques: Cryptographic Approaches, Challenges, and Future Directions</t>
  </si>
  <si>
    <t>privacy-preserving machine learning; homomorphic encryption; differential privacy; zero-knowledge proofs; secure multi-party computation; hybrid techniques</t>
  </si>
  <si>
    <t>NEURAL-NETWORKS; ENCRYPTION; FRAMEWORK; INFERENCE</t>
  </si>
  <si>
    <t>YILDIZ, Kazim/AAA-6793-2019</t>
  </si>
  <si>
    <t>Kucur, Elif Nur/0009-0005-1467-5599</t>
  </si>
  <si>
    <t>DEC 26 2025</t>
  </si>
  <si>
    <t>277</t>
  </si>
  <si>
    <t>10.3390/app16010277</t>
  </si>
  <si>
    <t>http://dx.doi.org/10.3390/app16010277</t>
  </si>
  <si>
    <t>AU7NS</t>
  </si>
  <si>
    <t>WOS:001657239500001</t>
  </si>
  <si>
    <t>Nashwan, AJ; Joy, GV</t>
  </si>
  <si>
    <t>Background: The 2024 revision of the Declaration of Helsinki (DoH) marks a pivotal shift in biomedical research ethics, with significant implications for nursing research. This paper critically evaluates the Declaration's relevance to nursing practice, with particular attention to challenges in low-resource settings. Key updates emphasising global health equity, environmental sustainability, participant-centred consent and artificial intelligence (AI) governance are examined through nursing's ethical lenses of justice, beneficence and patient advocacy.&lt;br /&gt; Methods: Using a multidimensional ethical framework grounded in Virtue Ethics, utilitarianism and phenomenology, the manuscript explores how nurses can ethically engage vulnerable populations, safeguard data privacy and advance inclusive, community-based research.&lt;br /&gt; Results: It highlights gaps in the Declaration, particularly regarding algorithmic bias and digital consent and proposes practical strategies for nurse researchers, such as AI governance tools, dynamic consent models and context-sensitive sustainability practices.&lt;br /&gt; Conclusions: Rather than treating ethics as an abstract principle, the paper grounds theory in real-world practice, offering case examples that reflect the lived constraints of nursing researchers in underfunded and culturally diverse environments. By aligning ethical ideals with operational realities, this work reinforces nursing's critical role in shaping equitable and ethically resilient research practices under the revised Declaration.</t>
  </si>
  <si>
    <t>Nashwan, Abdulqadir J.; Joy, George V.</t>
  </si>
  <si>
    <t>Nashwan, AJ (corresponding author), Hamad Med Corp, Nursing &amp; Midwifery Res Dept, Doha, Qatar.</t>
  </si>
  <si>
    <t>anashwan@hamad.qa</t>
  </si>
  <si>
    <t>Open access funding provided by the Qatar National Library.</t>
  </si>
  <si>
    <t>[Nashwan, Abdulqadir J.; Joy, George V.] Hamad Med Corp, Nursing &amp; Midwifery Res Dept, Doha, Qatar</t>
  </si>
  <si>
    <t>The 2024 Declaration of Helsinki Revision: Relevance to Nursing Research</t>
  </si>
  <si>
    <t>JOURNAL OF ADVANCED NURSING</t>
  </si>
  <si>
    <t>community engagement; environmental sustainability; ethics; Global Health equity; justice and beneficence; research; nursing research; informed consent; artificial intelligence; declaration of Helsinki; virtue ethics</t>
  </si>
  <si>
    <t>Nashwan, Abdulqadir/J-6241-2019; Joy, George/LCD-4762-2024</t>
  </si>
  <si>
    <t>Nashwan, Abdulqadir/0000-0003-4845-4119</t>
  </si>
  <si>
    <t>0309-2402</t>
  </si>
  <si>
    <t>1365-2648</t>
  </si>
  <si>
    <t>J ADV NURS</t>
  </si>
  <si>
    <t>J. Adv. Nurs.</t>
  </si>
  <si>
    <t>3986</t>
  </si>
  <si>
    <t>3996</t>
  </si>
  <si>
    <t>10.1111/jan.70082</t>
  </si>
  <si>
    <t>http://dx.doi.org/10.1111/jan.70082</t>
  </si>
  <si>
    <t>FD4YR</t>
  </si>
  <si>
    <t>40682331</t>
  </si>
  <si>
    <t>WOS:001531969700001</t>
  </si>
  <si>
    <t>Alhur, AA; Khlaif, ZN; Hamamra, B; Hussein, E</t>
  </si>
  <si>
    <t>Background: Artificial intelligence (AI) is increasingly embedded in medical education, providing benefits in instructional design, content creation, and administrative efficiency. Tools like ChatGPT are reshaping training and teaching practices in digital health. However, concerns about faculty overreliance highlight risks to pedagogical autonomy, cognitive engagement, and ethics. Despite global interest, there is limited empirical research on AI dependency among medical educators, particularly in underrepresented regions like the Global South. Objective: This study focused on Palestine and aimed to (1) identify factors contributing to AI dependency among medical educators, (2) assess its impact on teaching autonomy, decision-making, and professional identity, and (3) propose strategies for sustainable and responsible AI integration in digital medical education. Methods: A qualitative research design was used, using semistructured interviews (n=22) and focus group discussions (n=24) involving 46 medical educators from nursing, pharmacy, medicine, optometry, and dental sciences. Thematic analysis, supported by NVivo (QSR International), was conducted on 15.5 hours of transcribed data. Participants varied in their frequency of AI use: 45.7% (21/46) used AI daily, 30.4% (14/46) weekly, and 15.2% (7/46) monthly. Results: In total, 5 major themes were identified as drivers of AI dependency: institutional workload (reported by &gt;80% [37/46] of participants), low academic confidence (noted by 28/46, 60%), and perfectionism-related stress (23/46, 50%). The following 6 broad consequences of AI overreliance were identified: Skills Atrophy (reported by 89% [41/46]): educators reported reduced critical thinking, scientific writing, and decision-making abilities. Pedagogical erosion (35/46, 76%): decreased student interaction and reduced teaching innovation. Motivational decline (31/46, 67%): increased procrastination and reduced intrinsic motivation. Ethical risks (24/46, 52%): concerns about plagiarism and overuse of AI-generated content. Social fragmentation (22/46, 48%): diminished peer collaboration and mentorship. Creativity suppression (20/46, 43%): reliance on AI for content generation diluted instructional originality. Strategies reported by participants to address these issues included establishing boundaries for AI use (n=41), fostering hybrid intelligence (n=37), and integrating AI literacy into teaching practices (n=39). Conclusions: While AI tools can enhance digital health instruction, unchecked reliance risks eroding essential clinician competencies. This study identifies cognitive, pedagogical, and ethical consequences of AI overuse in medical education and highlights the need for AI literacy, professional development, and ethical frameworks to ensure responsible and balanced integration.</t>
  </si>
  <si>
    <t>Alhur, Anas Ali; Khlaif, Zuheir N.; Hamamra, Bilal; Hussein, Elham</t>
  </si>
  <si>
    <t>Khlaif, ZN (corresponding author), An Najah Natl Univ, Educ Sci, P-358 Nablus, West Bank, Palestine.</t>
  </si>
  <si>
    <t>zkhlaif@najah.edu</t>
  </si>
  <si>
    <t>[Alhur, Anas Ali] Imam Abdulrahman Bin Faisal Univ, Damam, Saudi Arabia; [Khlaif, Zuheir N.] An Najah Natl Univ, Educ Sci, P-358 Nablus, West Bank, Palestine; [Hamamra, Bilal] An Najah Natl Univ, Educ Language, Nablus, West Bank, Palestine; [Hussein, Elham] Al Ain Univ, Al Ain, U Arab Emirates</t>
  </si>
  <si>
    <t>Imam Abdulrahman Bin Faisal University; An Najah National University; An Najah National University; Al Ain University of Science &amp; Technology UAE</t>
  </si>
  <si>
    <t>Paradox of AI in Higher Education: Qualitative Inquiry Into AI Dependency Among Educators in Palestine</t>
  </si>
  <si>
    <t>AI dependency; generative AI; procrastination; AI reliance; hybrid intelligence</t>
  </si>
  <si>
    <t>Hamamra, Bilal/AAH-5515-2020; Alhur, Anas Ali/KWT-7521-2024; Khlaif, Zuheir N/AAK-6385-2020</t>
  </si>
  <si>
    <t>Alhur, Anas Ali/0000-0001-6044-7072; Khlaif, Zuheir N/0000-0002-7354-7512</t>
  </si>
  <si>
    <t>e74947</t>
  </si>
  <si>
    <t>10.2196/74947</t>
  </si>
  <si>
    <t>http://dx.doi.org/10.2196/74947</t>
  </si>
  <si>
    <t>7MF3W</t>
  </si>
  <si>
    <t>40953310</t>
  </si>
  <si>
    <t>WOS:001574347900001</t>
  </si>
  <si>
    <t>Chow, J; Lee, R; Wu, HH</t>
  </si>
  <si>
    <t>Artificial intelligence (AI) in radiology is becoming increasingly prevalent; however, there is not a clear picture of how AI is being monitored today and how this should practically be done given the inherent risk of AI model performance degradation over time. This research investigates current practices and what difficulties radiologists face in monitoring AI. Semi-structured virtual interviews were conducted with 6 USA and 10 Europe-based radiologists. The interviews were automatically transcribed and underwent thematic analysis. The findings suggest that AI monitoring in radiology is still relatively nascent as most of the AI projects had not yet progressed into a fully live clinical deployment. The most common method of monitoring involved a manual process of retrospectively comparing the AI results against the radiology report. Automated and statistical methods of monitoring were much less common. The biggest challenges are a lack of resources to support AI monitoring and uncertainty about how to create a robust and scalable process of monitoring the breadth and variety of radiology AI applications available. There is currently a lack of practical guidelines on how to monitor AI which has led to a variety of approaches being proposed from both healthcare providers and vendors. An ensemble of mixed methods is recommended to monitor AI across multiple domains and metrics. This will be enabled by appropriate allocation of resources and the formation of robust and diverse multidisciplinary AI governance groups.</t>
  </si>
  <si>
    <t>Chow, Jamie; Lee, Ryan; Wu, Honghan</t>
  </si>
  <si>
    <t>Chow, J; Wu, HH (corresponding author), UCL, Inst Hlth Informat, London, England.</t>
  </si>
  <si>
    <t>honghan.wu@ucl.ac.uk; Jamie.chow@doctors.org.uk</t>
  </si>
  <si>
    <t>University College London</t>
  </si>
  <si>
    <t>Open access funding is provided by University College London.</t>
  </si>
  <si>
    <t>[Chow, Jamie; Wu, Honghan] UCL, Inst Hlth Informat, London, England; [Lee, Ryan] Jefferson Hlth, Sidney Kimmel Med Coll, Philadelphia, PA 19107 USA</t>
  </si>
  <si>
    <t>University of London; University College London; Thomas Jefferson University</t>
  </si>
  <si>
    <t>How Do Radiologists Currently Monitor AI in Radiology and What Challenges Do They Face? An Interview Study and Qualitative Analysis</t>
  </si>
  <si>
    <t>Radiologist; Artificial intelligence; Quality assurance; Audit; Monitoring; Surveillance</t>
  </si>
  <si>
    <t>ARTIFICIAL-INTELLIGENCE; TOOLS</t>
  </si>
  <si>
    <t>Wu, Honghan/ACX-8646-2022</t>
  </si>
  <si>
    <t>Wu, Honghan/0000-0002-0213-5668</t>
  </si>
  <si>
    <t>10.1007/s10278-025-01493-8</t>
  </si>
  <si>
    <t>http://dx.doi.org/10.1007/s10278-025-01493-8</t>
  </si>
  <si>
    <t>DZ1KC</t>
  </si>
  <si>
    <t>40199833</t>
  </si>
  <si>
    <t>WOS:001461713100001</t>
  </si>
  <si>
    <t>Kodipalli, A; Fernandes, SL; Dasar, S</t>
  </si>
  <si>
    <t>Ovarian cancer is one of the leading causes of death worldwide among the female population. Early diagnosis is crucial for patient treatment. In this work, our main objective is to accurately detect and classify ovarian cancer. To achieve this, two datasets are considered: CT scan images of patients with cancer and those without, and biomarker (clinical parameters) data from all patients. We propose an ensemble deep neural network model and an ensemble machine learning model for the automatic binary classification of ovarian CT scan images and biomarker data. The proposed model incorporates four convolutional neural network models: VGG16, ResNet 152, Inception V3, and DenseNet 101, with transformers applied for feature extraction. These extracted features are fed into our proposed ensemble multi-layer perceptron model for classification. Preprocessing and CNN tuning techniques such as hyperparameter optimization, data augmentation, and fine-tuning are utilized during model training. Our ensemble model outperforms single classifiers and machine learning algorithms, achieving a mean accuracy of 98.96%, a precision of 97.44%, and an F1-score of 98.7%. We compared these results with those obtained using features extracted by the UNet model, followed by classification with our ensemble model. The transformer demonstrated superior performance in feature extraction over the UNet, with a mean Dice score and mean Jaccard score of 0.98 and 0.97, respectively, and standard deviations of 0.04 and 0.06 for benign tumors and 0.99 and 0.98 with standard deviations of 0.01 for malignant tumors. For the biomarker data, the combination of five machine learning models-KNN, logistic regression, SVM, decision tree, and random forest-resulted in an improved accuracy of 92.8% compared to single classifiers.</t>
  </si>
  <si>
    <t>Kodipalli, Ashwini; Fernandes, Steven L.; Dasar, Santosh</t>
  </si>
  <si>
    <t>Kodipalli, A (corresponding author), Global Acad Technol, Dept Artificial Intelligence &amp; Data Sci, Bangalore 560098, India.; Fernandes, SL (corresponding author), Creighton Univ, Dept Comp Sci Design Journalism, Omaha, NE 68178 USA.</t>
  </si>
  <si>
    <t>stevenfernandes@creighton.edu; dr.ashwini.k@gat.ac.in; dr.santoshdasar@sdmuniversity.edu.in</t>
  </si>
  <si>
    <t>[Kodipalli, Ashwini] Global Acad Technol, Dept Artificial Intelligence &amp; Data Sci, Bangalore 560098, India; [Fernandes, Steven L.] Creighton Univ, Dept Comp Sci Design Journalism, Omaha, NE 68178 USA; [Dasar, Santosh] Shri Dharmasthala Manjunatheshwara Univ, SDM Coll Med Sci &amp; Hosp, Dept Radiol, Dharwad 580009, India</t>
  </si>
  <si>
    <t>Creighton University; Shri Dharmasthala Manjunatheshwara University; SDM College of Medical Sciences &amp; Hospital</t>
  </si>
  <si>
    <t>An Empirical Evaluation of a Novel Ensemble Deep Neural Network Model and Explainable AI for Accurate Segmentation and Classification of Ovarian Tumors Using CT Images</t>
  </si>
  <si>
    <t>U-Net; transformers; multi-model ensemble; ovarian cancer; benign; malignant; computer-aided diagnosis; LIME; SHAP</t>
  </si>
  <si>
    <t>Dasar, Dr Santosh/AAX-5797-2021</t>
  </si>
  <si>
    <t>543</t>
  </si>
  <si>
    <t>10.3390/diagnostics14050543</t>
  </si>
  <si>
    <t>http://dx.doi.org/10.3390/diagnostics14050543</t>
  </si>
  <si>
    <t>KW0P9</t>
  </si>
  <si>
    <t>38473015</t>
  </si>
  <si>
    <t>WOS:001182885200001</t>
  </si>
  <si>
    <t>Göndöcs, D; Dörfler, V</t>
  </si>
  <si>
    <t>AI has long been regarded as a panacea for decision-making and many other aspects of knowledge work; as something that will help humans get rid of their shortcomings. We believe that AI can be a useful asset to support decision-makers, but not that it should replace decision-makers. Decision-making uses algorithmic analysis, but it is not solely algorithmic analysis; it also involves other factors, many of which are very human, such as creativity, intuition, emotions, feelings, and value judgments. We have conducted semi-structured open-ended research interviews with 17 dermatologists to understand what they expect from an AI application to deliver to medical diagnosis. We have found four aggregate dimensions along which the thinking of dermatologists can be described: the ways in which our participants chose to interact with AI, responsibility, 'explainability', and the new way of thinking (mindset) needed for working with AI. We believe that our findings will help physicians who might consider using AI in their diagnosis to understand how to use AI beneficially. It will also be useful for AI vendors in improving their understanding of how medics want to use AI in diagnosis. Further research will be needed to examine if our findings have relevance in the wider medical field and beyond.</t>
  </si>
  <si>
    <t>Gondocs, Dora; Dorfler, Viktor</t>
  </si>
  <si>
    <t>Dörfler, V (corresponding author), Univ Glasgow, Strathclyde Business Sch, Glasgow, Scotland.</t>
  </si>
  <si>
    <t>viktor.dorfler@strath.ac.uk</t>
  </si>
  <si>
    <t>[Gondocs, Dora] Szecheny Istvan Univ, Gyor, Hungary; [Dorfler, Viktor] Univ Glasgow, Strathclyde Business Sch, Glasgow, Scotland</t>
  </si>
  <si>
    <t>University of Istvan Szechenyi; University of Strathclyde; University of Glasgow</t>
  </si>
  <si>
    <t>AI in medical diagnosis: AI prediction &amp; human judgment</t>
  </si>
  <si>
    <t>Medical diagnosis; Melanoma; Human -computer interaction; Augmented intelligence; Explainability; Responsible AI</t>
  </si>
  <si>
    <t>ARTIFICIAL-INTELLIGENCE; HEALTH-CARE; SKIN-CANCER; DESIGN; SYSTEM; CLASSIFICATION; REPRESENTATION; INTUITION; KNOWLEDGE; NETWORKS</t>
  </si>
  <si>
    <t>Dörfler, Viktor/A-3717-2009</t>
  </si>
  <si>
    <t>Dörfler, Viktor/0000-0001-8314-4162</t>
  </si>
  <si>
    <t>149</t>
  </si>
  <si>
    <t>102769</t>
  </si>
  <si>
    <t>10.1016/j.artmed.2024.102769</t>
  </si>
  <si>
    <t>http://dx.doi.org/10.1016/j.artmed.2024.102769</t>
  </si>
  <si>
    <t>IY1X3</t>
  </si>
  <si>
    <t>38462271</t>
  </si>
  <si>
    <t>WOS:001169820600001</t>
  </si>
  <si>
    <t>Dattathrani, S; De', R</t>
  </si>
  <si>
    <t>Human and material agency have been investigated in the IS literature to understand how technology and humans influence each other. Some framings of agency treat humans and technology symmetrically, some privilege the agency of humans over technology, and others do not attribute agency to either humans or non-humans. We argue that with the new generation of technologies, such as AI, the notion of agency needs to differentiate between the actions of AI from that of traditional information systems and humans. We introduce the dimensions of agency to differentiate agencies while not privileging any actor. We illustrate the application of dimensions by using it as a lens to study the case of a technician using an AI solution for screening patients for early-stage breast cancer. Through the use of the dimensions of agency we illustrate how the influence of AI over human practice, such as screening for early-stage breast cancer, is higher than the influence of traditional technology. We discuss our contribution to the theory of agency and conclude with a discussion on potential practical applications of the framework.</t>
  </si>
  <si>
    <t>Dattathrani, Sai; De', Rahul</t>
  </si>
  <si>
    <t>Dattathrani, S (corresponding author), Indian Inst Management Bangalore, Informat Syst, Bengaluru, India.</t>
  </si>
  <si>
    <t>sai.dattathrani17@iimb.ac.in</t>
  </si>
  <si>
    <t>[Dattathrani, Sai; De', Rahul] Indian Inst Management Bangalore, Informat Syst, Bengaluru, India</t>
  </si>
  <si>
    <t>Indian Institute of Management (IIM System); Indian Institute of Management Bangalore</t>
  </si>
  <si>
    <t>The Concept of Agency in the Era of Artificial Intelligence: Dimensions and Degrees</t>
  </si>
  <si>
    <t>Agency; Artificial Intelligence (AI); Healthcare; Ethics; Moral machines; Responsible AI</t>
  </si>
  <si>
    <t>TECHNOLOGY; SOCIOMATERIALITY; SYSTEMS; SOCIOLOGY; MANGLE</t>
  </si>
  <si>
    <t>De, Rahul/AFA-3904-2022</t>
  </si>
  <si>
    <t>, SaiDattathrani/0000-0001-6462-6182</t>
  </si>
  <si>
    <t>10.1007/s10796-022-10336-8</t>
  </si>
  <si>
    <t>http://dx.doi.org/10.1007/s10796-022-10336-8</t>
  </si>
  <si>
    <t>8N0CM</t>
  </si>
  <si>
    <t>WOS:000863200600001</t>
  </si>
  <si>
    <t>Mei, ZK; Ryser, A; Amprimo, G; Wang, JH; Vogt, J; Ravi, DK</t>
  </si>
  <si>
    <t>Background Gait impairment is a hallmark motor deficit of Parkinson's disease (PD) and represents an important, yet insufficiently understood, target of subthalamic deep brain stimulation (DBS). Although DBS can improve several motor symptoms, identifying robust and physiologically meaningful gait biomarkers that capture both disease-related deficits and stimulation-induced improvements remains a major challenge. In particular, conventional mean-based gait metrics often fail to fully characterize pathological gait or treatment responsiveness. Methods We analyzed 35 spatiotemporal gait parameters obtained during continuous walking from individuals with PD assessed before and after subthalamic DBS, alongside age-matched healthy controls. Multiple machine learning classifiers were evaluated to discriminate between groups, with extreme gradient boosting (XGBoost) achieving the best performance.To enhance interpretability and reduce redundancy among correlated parameters, grouped SHapley Additive exPlanations (SHAP) were applied to rank feature importance and guide feature selection. Results Feature selection consistently highlighted step width variability, step width asymmetry, bilateral interlimb coordination, and the anteroposterior margin of stability as the most discriminative parameters. A compact set of five overlapping features after selection not only reliably distinguished PD gait from healthy controls but also demonstrated a shift toward healthy ranges following DBS. Importantly, these selected features outperformed conventional mean-based metrics in capturing both pathological gait characteristics and treatment-related changes. Discussion Our findings demonstrate that explainable artificial intelligence approaches can identify physiologically grounded gait features that may serve as candidate markers of both PD severity and DBS responsiveness. By emphasizing variability, asymmetry, coordination, and dynamic stability measures, this approach moves beyond traditional mean-based metrics and provides more sensitive markers of neuromodulation effects. These results support the use of interpretable machine learning frameworks to enable more precise evaluation of DBS outcomes and may contribute to individualized patient management strategies in Parkinson's disease.</t>
  </si>
  <si>
    <t>Mei, Zhongke; Ryser, Alain; Amprimo, Gianluca; Wang, Jinhao; Vogt, Julia; Ravi, Deepak K.</t>
  </si>
  <si>
    <t>Ravi, DK (corresponding author), Swiss Fed Inst Technol, Inst Biomech, Dept Hlth Sci &amp; Technol, Lab Movement Biomech, Zurich, Switzerland.</t>
  </si>
  <si>
    <t>deepak.ravi@hest.ethz.ch</t>
  </si>
  <si>
    <t>Swiss Federal Institute of Technology Zurich</t>
  </si>
  <si>
    <t>Swiss Federal Institute of Technology Zurich (ETH Zurich)</t>
  </si>
  <si>
    <t>Open access funding provided by Swiss Federal Institute of Technology Zurich</t>
  </si>
  <si>
    <t>[Mei, Zhongke; Wang, Jinhao; Ravi, Deepak K.] Swiss Fed Inst Technol, Inst Biomech, Dept Hlth Sci &amp; Technol, Lab Movement Biomech, Zurich, Switzerland; [Ryser, Alain; Vogt, Julia] Swiss Fed Inst Technol, Inst Machine Learning, Dept Comp Sci, Med Data Sci, Zurich, Switzerland; [Amprimo, Gianluca] Politecn Torino, Dept Control &amp; Comp Engn, Turin, Italy</t>
  </si>
  <si>
    <t>Swiss Federal Institutes of Technology Domain; ETH Zurich; Swiss Federal Institutes of Technology Domain; ETH Zurich; Polytechnic University of Turin</t>
  </si>
  <si>
    <t>Using explainable AI to identify disease-relevant and deep brain stimulation treatment-sensitive gait features in Parkinson's disease</t>
  </si>
  <si>
    <t>JOURNAL OF NEUROENGINEERING AND REHABILITATION</t>
  </si>
  <si>
    <t>Parkinson's disease; Deep brain stimulation; Machine learning; Gait characteristics</t>
  </si>
  <si>
    <t>SUBTHALAMIC NEUROSTIMULATION; BILATERAL COORDINATION; INTERLIMB COORDINATION; MOTOR SYMPTOMS; PARAMETERS; FLUCTUATIONS; VARIABILITY; DYSKINESIA; LEVODOPA; NUCLEUS</t>
  </si>
  <si>
    <t>Amprimo, Gianluca/HSE-7275-2023; Ravi, Deepak/S-3490-2019</t>
  </si>
  <si>
    <t>1743-0003</t>
  </si>
  <si>
    <t>J NEUROENG REHABIL</t>
  </si>
  <si>
    <t>J. NeuroEng. Rehabil.</t>
  </si>
  <si>
    <t>189</t>
  </si>
  <si>
    <t>10.1186/s12984-026-01997-6</t>
  </si>
  <si>
    <t>http://dx.doi.org/10.1186/s12984-026-01997-6</t>
  </si>
  <si>
    <t>Engineering, Biomedical; Neurosciences; Rehabilitation</t>
  </si>
  <si>
    <t>Engineering; Neurosciences &amp; Neurology; Rehabilitation</t>
  </si>
  <si>
    <t>JL5NF</t>
  </si>
  <si>
    <t>42045915</t>
  </si>
  <si>
    <t>WOS:001792195200004</t>
  </si>
  <si>
    <t>Iliyasu, Z; Abdullahi, HO; Iliyasu, BZ; Bashir, HA; Amole, TG; Abdullahi, HM; Abdullahi, AU; Kwaku, AA; Dahir, T; Tsiga-Ahmed, FI; Jibo, AM; Salihu, HM; Aliyu, MH</t>
  </si>
  <si>
    <t>IntroductionThe extent of artificial intelligence (AI) engagement and factors influencing its use among medical and allied health students in low-resource settings are not well documented. We assessed the knowledge and correlates of ChatGPT use among medical, dental, and allied health students in Nigeria.MethodsWe used a cross-sectional mixed-methods study design and self-administered structured questionnaires, followed by in-depth interviews with a sub-sample (n = 20) of students. We employed logistic regression models to generate adjusted odds ratios, and thematic analysis to identify key factors.ResultsOf the 420 respondents, 77.4% (n = 325) demonstrated moderate to good knowledge of ChatGPT. Most respondents (61.9%, n = 260) reported prior ChatGPT use in medical education, motivated mainly by ease of use (75.0%) and efficiency (72.1%). Major concerns included risk of dependency (65.0%), inaccuracy (49.7%), doubts about reliability (49.3%), and ethical issues (41.7%). ChatGPT use was more likely among male students (adjusted odds ratio (aOR) = 1.62, 95% confidence interval (95%CI) 1.13-3.72), older cohorts (&gt;= 25 years) (aOR = 1.74, 95%CI 1.16-4.50), final-year students (aOR = 2.46, 95%CI 1.12-5.67), those with good knowledge (aOR = 3.27, 95%CI 1.59-7.36), and those with positive attitudes (aOR = 4.29, 95%CI 1.92-8.56). Qualitative themes reinforced concerns about errors, ethics, and infrastructure limitations.ConclusionWe found moderate knowledge and engagement with ChatGPT among medical and allied health students in Nigeria. Engagement was influenced by gender, age, year of study, knowledge, and attitude. Targeted education and guidelines for responsible AI use will be important in shaping the future of medical and health professional education in similar settings.</t>
  </si>
  <si>
    <t>Iliyasu, Zubairu; Abdullahi, Hameedat O.; Iliyasu, Bilkisu Z.; Bashir, Humayra A.; Amole, Taiwo G.; Abdullahi, Hadiza M.; Abdullahi, Amina U.; Kwaku, Aminatu A.; Dahir, Tahir; Tsiga-Ahmed, Fatimah I.; Jibo, Abubakar M.; Salihu, Hamisu M.; Aliyu, Muktar H.</t>
  </si>
  <si>
    <t>Iliyasu, Z (corresponding author), Bayero Univ, Dept Community Med, Epidemiol &amp; Biostat Div, Kano, Nigeria.</t>
  </si>
  <si>
    <t>ziliyasu@yahoo.com</t>
  </si>
  <si>
    <t>Fogarty International Center (FIC) of the U.S. National Institutes of Health (NIH) [1R25TW012715]</t>
  </si>
  <si>
    <t>Fogarty International Center (FIC) of the U.S. National Institutes of Health (NIH)</t>
  </si>
  <si>
    <t>This work was supported by the Fogarty International Center (FIC) of the U.S. National Institutes of Health (NIH) award number 1R25TW012715. The findings and conclusions are those of the authors and do not necessarily represent the official position of the FIC, NIH, the Department of Health and Human Services, or the government of the United States of America.</t>
  </si>
  <si>
    <t>[Iliyasu, Zubairu] Bayero Univ, Dept Community Med, Epidemiol &amp; Biostat Div, Kano, Nigeria; [Abdullahi, Hameedat O.; Iliyasu, Bilkisu Z.; Amole, Taiwo G.; Abdullahi, Hadiza M.; Abdullahi, Amina U.; Kwaku, Aminatu A.; Dahir, Tahir; Tsiga-Ahmed, Fatimah I.; Jibo, Abubakar M.] Bayero Univ, Dept Community Med, Kano, Nigeria; [Bashir, Humayra A.] Univ Oxford, Ctr Trop Med &amp; Global Hlth, Nuffield Dept Med, Oxford, England; [Salihu, Hamisu M.] Kano Independent Res Ctr Trust, Kano, Nigeria; [Aliyu, Muktar H.] Vanderbilt Univ, Dept Hlth Policy, Med Ctr, Nashville, TN USA; [Aliyu, Muktar H.] Vanderbilt Univ, Vanderbilt Inst Global Hlth, Med Ctr, Nashville, TN USA</t>
  </si>
  <si>
    <t>Bayero University; Bayero University; University of Oxford; Vanderbilt University; Vanderbilt University</t>
  </si>
  <si>
    <t>Correlates of Medical and Allied Health Students' Engagement with Generative AI in Nigeria</t>
  </si>
  <si>
    <t>MEDICAL SCIENCE EDUCATOR</t>
  </si>
  <si>
    <t>ChatGPT; Artificial intelligence; Utilization; Factors; Medical education</t>
  </si>
  <si>
    <t>CHATGPT</t>
  </si>
  <si>
    <t>Aliyu, Muktar/KMX-4424-2024; Tsiga-Ahmed, Fatimah/ABA-2729-2021; JIBO, ABUBAKAR/HRE-0607-2023</t>
  </si>
  <si>
    <t>Aliyu, Muktar/0000-0001-9504-4679; Tsiga-Ahmed, Fatimah/0000-0003-4207-7981</t>
  </si>
  <si>
    <t>2156-8650</t>
  </si>
  <si>
    <t>MED SCI EDUC</t>
  </si>
  <si>
    <t>Med. Sci. Educ.</t>
  </si>
  <si>
    <t>269</t>
  </si>
  <si>
    <t>280</t>
  </si>
  <si>
    <t>10.1007/s40670-024-02181-y</t>
  </si>
  <si>
    <t>http://dx.doi.org/10.1007/s40670-024-02181-y</t>
  </si>
  <si>
    <t>0MR1T</t>
  </si>
  <si>
    <t>40144107</t>
  </si>
  <si>
    <t>WOS:001322417400002</t>
  </si>
  <si>
    <t>Mirza, I; Jafari, AA; Ozcinar, C; Anbarjafari, G</t>
  </si>
  <si>
    <t>Large language models (LLMs) have revolutionized natural language processing across diverse domains, yet they also raise critical fairness and ethical concerns, particularly regarding gender bias. In this study, we conduct a systematic, mathematically grounded investigation of gender bias in four leading LLMs-GPT-4o, Gemini 1.5 Pro, Sonnet 3.5, and LLaMA 3.1:8b-by evaluating the gender distributions produced when generating "perfect personas" for a wide range of occupational roles spanning healthcare, engineering, and professional services. Leveraging standardized prompts, controlled experimental settings, and repeated trials, our methodology quantifies bias against an ideal uniform distribution using rigorous statistical measures and information-theoretic metrics. Our results reveal marked discrepancies: GPT-4o exhibits pronounced occupational gender segregation, disproportionately linking healthcare roles to female identities while assigning male labels to engineering and physically demanding positions. In contrast, Gemini 1.5 Pro, Sonnet 3.5, and LLaMA 3.1:8b predominantly favor female assignments, albeit with less job-specific precision. These findings demonstrate how architectural decisions, training data composition, and token embedding strategies critically influence gender representation. The study underscores the urgent need for inclusive datasets, advanced bias-mitigation techniques, and continuous model audits to develop AI systems that are not only free from stereotype perpetuation but actively promote equitable and representative information processing.</t>
  </si>
  <si>
    <t>Mirza, Imran; Jafari, Akbar Anbar; Ozcinar, Cagri; Anbarjafari, Gholamreza</t>
  </si>
  <si>
    <t>Anbarjafari, G (corresponding author), PwC Advisory, Itamerentori 2, Helsinki 00180, Finland.; Anbarjafari, G (corresponding author), 3S Holding, EE-62220 Tartu, Estonia.; Anbarjafari, G (corresponding author), Estonian Business Sch, Dept Digitalisat &amp; Data, A Lauteri 3, EE-10114 Tallinn, Estonia.</t>
  </si>
  <si>
    <t>shb@3sholding.com; mirza6118@mydusd.org; akbar.anbar.jafari@ut.ee; chagri.ozchinar@ut.ee</t>
  </si>
  <si>
    <t>The 3S Holding OU RD fund</t>
  </si>
  <si>
    <t>This research was supported financially by 3S Holding OU R&amp;D fund.</t>
  </si>
  <si>
    <t>[Mirza, Imran] Emerald Sch, 3600 Cent Pkwy, Dublin, CA 94568 USA; [Jafari, Akbar Anbar; Ozcinar, Cagri] Univ Tartu, Inst Technol, iCV Lab, EE-51009 Tartu, Estonia; [Anbarjafari, Gholamreza] PwC Advisory, Itamerentori 2, Helsinki 00180, Finland; [Anbarjafari, Gholamreza] 3S Holding, EE-62220 Tartu, Estonia; [Anbarjafari, Gholamreza] Estonian Business Sch, Dept Digitalisat &amp; Data, A Lauteri 3, EE-10114 Tallinn, Estonia</t>
  </si>
  <si>
    <t>University of Tartu; Estonian Business School</t>
  </si>
  <si>
    <t>Quantifying Gender Bias in Large Language Models Using Information-Theoretic and Statistical Analysis</t>
  </si>
  <si>
    <t>generative AI; gender bias; GPT-4o; Gemini 1.5 Pro; LLaMA3.1:8b; Claude 3.5 Sonnet; responsible AI; large language model</t>
  </si>
  <si>
    <t>Anbarjafari, Gholamreza/A-3845-2010</t>
  </si>
  <si>
    <t>Anbarjafari, Gholamreza/0000-0001-8460-5717</t>
  </si>
  <si>
    <t>358</t>
  </si>
  <si>
    <t>10.3390/info16050358</t>
  </si>
  <si>
    <t>http://dx.doi.org/10.3390/info16050358</t>
  </si>
  <si>
    <t>3CI6A</t>
  </si>
  <si>
    <t>WOS:001496953600001</t>
  </si>
  <si>
    <t>Naicker, S; Schmidt, P; Shar, B; Tariq, A; Earnshaw, A; McPhail, S</t>
  </si>
  <si>
    <t>Background: Medical imaging remains at the forefront of advancements in adopting digital health technologies in clinical practice. Regulator-approved artificial intelligence (AI) clinical decision support systems are commercially available and being embedded into routine practices for radiologists internationally. These decision support solutions show promising clinical validity compared to standard practice conditions; however, their implementation over time and implications on radiologists' practice are poorly understood. Objective: This paper aims to examine the real-world implementation of an AI clinical decision support tool in radiology through a qualitative evaluation across pre-, peri-, and postimplementation phases. Specifically, it seeks to identify the key contextual, organizational, and human factors shaping adoption and sustainability, to map these influences using the nonadoption, abandonment, scale-up, spread, and sustainability (NASSS) framework, and to generate insights that inform evidence-based strategies and policy for integrating AI safely and effectively into public hospital imaging services. Methods: This prospective study was conducted in a large public tertiary referral hospital in Brisbane, Queensland, Australia. One-to-one participant interviews were undertaken across the 3 implementation phases. Participants comprised radiology consultants, registrars, and radiographers involved in chest computed tomography studies during the study period. Interviews were guided by the NASSS framework to identify contextual factors influencing implementation. Results: A total of 43 semistructured interviews were conducted across baseline (n=16), peri-implementation (n=9), and postimplementation (n=18) phases, comprising 7 (16%) radiographers, 20 (47%) registrar radiologists, and 16 (37%) consultant radiologists. Across NASSS domains, 56 barriers and 18 enablers were identified at baseline, 55 and 14 during peri-implementation, and 82 and 33 postimplementation. Organizational barriers dominated early phases, while technological issues such as system accuracy, interoperability, and information overload became most prominent during and after rollout. Enablers increased over time, particularly within the technology and value proposition domains, as some clinicians adapted the AI as a secondary safety check. Trust and adoption remained constrained by performance inconsistency, weak communication, and medicolegal uncertainty. Conclusions:The implementation of AI decision support in radiology is as much an organizational and cultural process as a technological one. Clinicians remain willing to engage, but sustainable adoption depends on consolidating early positive experiences and addressing negative ones, embedding communication and training, and maintaining iterative feedback between users, vendors,and system leaders. Applying the NASSS framework revealed how domains interact dynamically across time, offering both theoretical insight into sociotechnical complexity and practical guidance for hospitals seeking to move from pilot to routine, trustworthy AI integration.</t>
  </si>
  <si>
    <t>Naicker, Sundresan; Schmidt, Paul; Shar, Bruce; Tariq, Amina; Earnshaw, Ashleigh; McPhail, Steven</t>
  </si>
  <si>
    <t>Naicker, S (corresponding author), Queensland Univ Technol, Australian Ctr Hlth Serv Innovat, Sch Publ Hlth &amp; Social Work, 10 Block,88 Musk Ave, Kelvin Grove 4059, Australia.</t>
  </si>
  <si>
    <t>sundresan.naicker@qut.edu.au</t>
  </si>
  <si>
    <t>Digital Health CRC Limited (DHCRC) , under the Commonwealth Cooperative Research Centres (CRC) program; National Health and Medical Research Council (NHMRC) [1181138]</t>
  </si>
  <si>
    <t>Digital Health CRC Limited (DHCRC) , under the Commonwealth Cooperative Research Centres (CRC) program; National Health and Medical Research Council (NHMRC) (National Health &amp; Medical Research Council (NHMRC) of Australia)</t>
  </si>
  <si>
    <t>Funding This work was supported by Digital Health CRC Limited (DHCRC) , funded under the Commonwealth Cooperative Research Centres (CRC) program. SM is supported by a fellowship from the National Health and Medical Research Council (NHMRC; #1181138) . The funders had no role in the study design or the decision to submit for publication.</t>
  </si>
  <si>
    <t>[Naicker, Sundresan; Tariq, Amina; Earnshaw, Ashleigh; McPhail, Steven] Queensland Univ Technol, Australian Ctr Hlth Serv Innovat, Sch Publ Hlth &amp; Social Work, 10 Block,88 Musk Ave, Kelvin Grove 4059, Australia; [Schmidt, Paul; Shar, Bruce] Princess Alexandra Hosp, Dept Med Imaging, Woolloongabba, Australia; [McPhail, Steven] Metro South Hlth, Digital Hlth &amp; Informat Directorate, Woolloongabba, Australia</t>
  </si>
  <si>
    <t>Queensland University of Technology (QUT); Princess Alexandra Hospital</t>
  </si>
  <si>
    <t>Implementing an Artificial Intelligence Decision Support System in Radiology: Prospective Qualitative Evaluation Study Using the Nonadoption Abandonment Scale-Up, Spread, and Sustainability (NASSS) Framework</t>
  </si>
  <si>
    <t>artificial intelligence; radiology; implementation science; decision support; qualitative</t>
  </si>
  <si>
    <t>McPhail, Steven/JMR-2141-2023; Naicker, Sundresan/AAH-4212-2019</t>
  </si>
  <si>
    <t>Shar, Bruce/0009-0008-7995-6828; Naicker, Sundresan/0000-0002-2392-4981</t>
  </si>
  <si>
    <t>e80342</t>
  </si>
  <si>
    <t>10.2196/80342</t>
  </si>
  <si>
    <t>http://dx.doi.org/10.2196/80342</t>
  </si>
  <si>
    <t>DF4WS</t>
  </si>
  <si>
    <t>41605499</t>
  </si>
  <si>
    <t>WOS:001682179600004</t>
  </si>
  <si>
    <t>Wang, CY; Liu, HY</t>
  </si>
  <si>
    <t>Conventional deep learning models rely heavily on the McCulloch-Pitts (MCP) neuron, limiting their interpretability and biological plausibility. The Dendritic Neuron Model (DNM) offers a more realistic alternative by simulating nonlinear and compartmentalized processing within dendritic branches, enabling efficient and transparent learning. While DNMs have shown strong performance in various tasks, their learning capacity at the single-neuron level remains underexplored. This paper proposes a Reinforced Dynamic-grouping Differential Evolution (RDE) algorithm to enhance synaptic plasticity within the DNM framework. RDE introduces a biologically inspired mutation-selection strategy and an adaptive grouping mechanism that promotes effective exploration and convergence. Experimental evaluations on benchmark classification tasks demonstrate that the proposed method outperforms conventional differential evolution and other evolutionary learning approaches in terms of accuracy, generalization, and convergence speed. Specifically, the RDE-DNM achieves up to 92.9% accuracy on the BreastEW dataset and 98.08% on the Moons dataset, with consistently low standard deviations across 30 trials, indicating strong robustness and generalization. Beyond technical performance, the proposed model supports societal applications requiring trustworthy AI, such as interpretable medical diagnostics, financial screening, and low-energy embedded systems. The results highlight the potential of RDE-driven DNMs as a compact and interpretable alternative to traditional deep models, offering new insights into biologically plausible single-neuron computation for next-generation AI.</t>
  </si>
  <si>
    <t>Wang, Chongyuan; Liu, Huiyi</t>
  </si>
  <si>
    <t>Liu, HY (corresponding author), Hohai Univ, Coll Comp &amp; Informat, Nanjing 210098, Peoples R China.</t>
  </si>
  <si>
    <t>hyliu@hhu.edu.cn; 210207090002@hhu.edu.cn</t>
  </si>
  <si>
    <t>[Wang, Chongyuan; Liu, Huiyi] Hohai Univ, Coll Comp &amp; Informat, Nanjing 210098, Peoples R China</t>
  </si>
  <si>
    <t>Hohai University</t>
  </si>
  <si>
    <t>Toward Next-Generation Biologically Plausible Single Neuron Modeling: An Evolutionary Dendritic Neuron Model</t>
  </si>
  <si>
    <t>deep learning; dendritic learning; biologically plausible; single neuron; classification</t>
  </si>
  <si>
    <t>DIFFERENTIAL EVOLUTION</t>
  </si>
  <si>
    <t>1465</t>
  </si>
  <si>
    <t>10.3390/math13091465</t>
  </si>
  <si>
    <t>http://dx.doi.org/10.3390/math13091465</t>
  </si>
  <si>
    <t>2MU3R</t>
  </si>
  <si>
    <t>WOS:001486375800001</t>
  </si>
  <si>
    <t>Kimani, RW</t>
  </si>
  <si>
    <t>Background The integration of artificial intelligence (AI) and care robots into healthcare raises a central ethical question: what constitutes care, and how should it be delivered when machines perform caregiving tasks? Dominant AI ethics frameworks, including principlism, deontology, and consequentialism, focus on fairness, duties, and outcomes. While important, these approaches often view care primarily as technical compliance or efficiency, overlooking its relational and evaluative aspects.Methods This analysis employs a normative, conceptual approach rooted in care and relational ethics, examining duty-based, outcome-oriented, and virtue-based care frameworks to highlight how they differ from care ethics as a structured moral practice. Tronto's four stages of care (attentiveness, responsibility, competence, and responsiveness) serve as a framework for assessing moral labor in caregiving. Literature on social robots in healthcare is used illustratively. Conceptual analysis compares the interpersonal and moral dimensions of human caregiving with forms of AI interaction, noting changes when machines mediate or perform caregiving tasks.Results The analysis shows that although AI systems can improve monitoring, coordination, and task performance, they do not assume moral responsibility or provide the relational and evaluative work that caregiving requires. Social and assistive robots reorganize moral labor by shifting attentiveness toward sensing, responsibility toward oversight, competence toward optimization, and responsiveness toward adaptive feedback. These changes create a functional resemblance to care without reproducing the moral engagement that characterizes genuine caregiving.Conclusion Care ethics elucidates the moral practices of caregiving and how these practices are transformed through the integration of AI into healthcare relationships. Since caregiving involves vulnerability, interdependence, and judgment, it cannot rely solely on efficiency. A care-ethical perspective demonstrates that AI does not replace moral labor; rather, it reorganizes it in ways that reduce the conditions under which authentic caregiving can be conducted. The incorporation of care ethics into AI governance frameworks provides tools for assessing not just what these technologies do but what they cost the moral practice of caregiving.</t>
  </si>
  <si>
    <t>Kimani, Rachel Wangari</t>
  </si>
  <si>
    <t>Kimani, RW (corresponding author), Univ Manchester, Sch Social Sci, Dept Law, Oxford Rd, Manchester M13, England.; Kimani, RW (corresponding author), Binghamton Univ, Decker Coll Nursing &amp; Hlth Sci, Binghamton, NY 13902 USA.</t>
  </si>
  <si>
    <t>rkimani1@binghamton.edu</t>
  </si>
  <si>
    <t>[Kimani, Rachel Wangari] Univ Manchester, Sch Social Sci, Dept Law, Oxford Rd, Manchester M13, England; [Kimani, Rachel Wangari] Binghamton Univ, Decker Coll Nursing &amp; Hlth Sci, Binghamton, NY 13902 USA</t>
  </si>
  <si>
    <t>University of Manchester; State University of New York (SUNY) System; Binghamton University, SUNY</t>
  </si>
  <si>
    <t>Care ethics and the transformation of care in an age of artificial intelligence</t>
  </si>
  <si>
    <t>Care ethics; Artificial intelligence; Healthcare robotics; Moral responsibility; Relational autonomy; Bioethics and technology</t>
  </si>
  <si>
    <t>RACIAL BIAS; ROBOTS</t>
  </si>
  <si>
    <t>10.1186/s12910-026-01474-8</t>
  </si>
  <si>
    <t>http://dx.doi.org/10.1186/s12910-026-01474-8</t>
  </si>
  <si>
    <t>MC1OL</t>
  </si>
  <si>
    <t>42218421</t>
  </si>
  <si>
    <t>WOS:001838730200001</t>
  </si>
  <si>
    <t>Smrithy, GS; Chandrasekaran, B; Omana, J</t>
  </si>
  <si>
    <t>Emotional Artificial Intelligence (Emotional AI) is a branch of artificial intelligence that combines machine learning, natural language processing, and computer vision to perceive and react to human feelings. Emotional AI will enhance more intuitive and personal human-machine interactions by analyzing facial expressions, speech patterns, physiological factors, and behavioural expressions, and find applications in healthcare, education, customer service, and other fields. Although this field is promising, it comes with serious ethical issues especially on privacy, transparency, accountability and fairness. The nature of human emotions is intricate, context-specific and culturally biassed, thus the perceptions of emotions are challenging and subject to biasness in the perception. Besides, emotional data is sensitive, thus, causing concerns over its abuse, surveillance, and infringement of individual rights. The problems of algorithms bias, the representativeness of data, and even fairness also make the implementation of the Emotional AI more problematic since biassed systems can serve to strengthen stereotypes and inequalities in society. This perspective explores the ethical issues of Emotional AI, which brings out the need to develop ethically, establish good governance, and work together internationally to ensure that Emotional AI is used in a way that benefits humanity without denting human dignity, security, or social justice.</t>
  </si>
  <si>
    <t>Smrithy, G. S.; Chandrasekaran, Balaji; Omana, J.</t>
  </si>
  <si>
    <t>Smrithy, GS (corresponding author), Vellore Inst Technol, Sch Comp Sci &amp; Engn, Chennai, India.</t>
  </si>
  <si>
    <t>[Smrithy, G. S.; Omana, J.] Vellore Inst Technol, Sch Comp Sci &amp; Engn, Chennai, India; [Chandrasekaran, Balaji] Anna Univ, Dept Comp Sci &amp; Engn, Chennai, India</t>
  </si>
  <si>
    <t>Ethics and bias in emotional AI</t>
  </si>
  <si>
    <t>AI governance; algorithmic fairness; emotion recognition; privacy; transparency</t>
  </si>
  <si>
    <t>J, Omana/JZE-2414-2024</t>
  </si>
  <si>
    <t>1768696</t>
  </si>
  <si>
    <t>10.3389/frai.2026.1768696</t>
  </si>
  <si>
    <t>http://dx.doi.org/10.3389/frai.2026.1768696</t>
  </si>
  <si>
    <t>FG6VT</t>
  </si>
  <si>
    <t>41867311</t>
  </si>
  <si>
    <t>WOS:001718316300001</t>
  </si>
  <si>
    <t>Jeppe, A; Bree, T; Karger, E; Proff, H; Ahlemann, F</t>
  </si>
  <si>
    <t>Digital ecosystems have become a central paradigm for understanding the complex, interconnected networks that characterize the modern digital landscape. However, the rapid growth and interdisciplinary nature of this research present challenges for scholars seeking to grasp its intellectual structure and future trajectory. This study addresses this gap by conducting a comprehensive bibliometric analysis of 1974 publications retrieved from the Scopus database. We map the intellectual structure of the field, identify key research themes, and uncover influential contributors and publications. Our analysis reveals five major thematic clusters: (1) Digital Transformation and Economy, (2) Emerging Technologies and Learning Systems, (3) Foundational Technologies and Semantic Architecture, (4) Human and Social Interaction in Digital Spaces, and (5) Business Strategy and Innovation. Building on this analysis, we outline a detailed agenda for future research, highlighting critical needs in areas such as adaptive governance, social and environmental sustainability, the security of digital infrastructures, and the human-centric application of AI in domains like healthcare. This study provides the first large-scale, holistic overview of digital ecosystem research, offering a robust foundation for future investigations and informing strategic decisions for researchers, practitioners, and policymakers.</t>
  </si>
  <si>
    <t>Jeppe, Arne; Bree, Tim; Karger, Erik; Proff, Heike; Ahlemann, Frederik</t>
  </si>
  <si>
    <t>Jeppe, A (corresponding author), Univ Duisburg Essen, Chair Gen Business Adm &amp; Int Automot Management, Bismarckstr 120, D-47057 Duisburg, Germany.</t>
  </si>
  <si>
    <t>arne.jeppe@uni-due.de; heike.proff@uni-due.de; tim.bree@uni-due.de; frederik.ahlemann@uni-due.de; erik.karger@uni-due.de</t>
  </si>
  <si>
    <t>[Jeppe, Arne; Proff, Heike] Univ Duisburg Essen, Chair Gen Business Adm &amp; Int Automot Management, Bismarckstr 120, D-47057 Duisburg, Germany; [Bree, Tim; Karger, Erik; Ahlemann, Frederik] Univ Duisburg Essen, Chair Informat Syst &amp; Strateg IT Management SITM, Univ Str 9, D-45141 Essen, Germany</t>
  </si>
  <si>
    <t>University of Duisburg Essen; University of Duisburg Essen</t>
  </si>
  <si>
    <t>Mapping the digital landscape: A bibliometric analysis of digital ecosystem research</t>
  </si>
  <si>
    <t>DIGITAL BUSINESS</t>
  </si>
  <si>
    <t>Bibliometric review; Digital ecosystem; AI governance; Platform economy; Blockchain applications</t>
  </si>
  <si>
    <t>ENTREPRENEURSHIP; INFORMATION; MODEL</t>
  </si>
  <si>
    <t>2666-9544</t>
  </si>
  <si>
    <t>DIGIT BUS</t>
  </si>
  <si>
    <t>Digit. Bus.</t>
  </si>
  <si>
    <t>100145</t>
  </si>
  <si>
    <t>10.1016/j.digbus.2025.100145</t>
  </si>
  <si>
    <t>http://dx.doi.org/10.1016/j.digbus.2025.100145</t>
  </si>
  <si>
    <t>Business; Management</t>
  </si>
  <si>
    <t>6QN2L</t>
  </si>
  <si>
    <t>WOS:001559613800001</t>
  </si>
  <si>
    <t>Babaoglu, C; Çubuk, ES</t>
  </si>
  <si>
    <t>The rapid advancement of AI technologies offers transformative opportunities alongside significant risks. AI can enhance global cooperation in areas such as healthcare and climate governance but also poses threats to international security through autonomous weapons, surveillance, and disinformation. This study examines AI's dual role in shaping a generative world order, analyzing the U.S.-China competition and the EU's regulatory interventions. Our analysis reveals that AI is not only a technological frontier but also a geopolitical fault line, fostering a world order where normative, economic, and security concerns converge. While the U.S. and China lead AI innovation, their escalating geopolitical tensions and economic rivalry highlight AI's geopolitical significance. The EU, despite its limited AI industry capacity, shapes global norms through regulatory frameworks. Although T &amp; uuml;rkiye is not currently a leading actor, it emerges as a potential regional mediator, leveraging its geopolitical positioning and growing AI initiatives. This paper frames AI's techno-political implications within global order theories, highlighting T &amp; uuml;rkiye's soft-balancing approach as a novel case in middle-power diplomacy in the AI era.</t>
  </si>
  <si>
    <t>Babaoglu, Ceney; Cubuk, Ecem Sevinc</t>
  </si>
  <si>
    <t>Babaoglu, C (corresponding author), Nigde Omer Halisdemir Univ, Nigde, Turkiye.</t>
  </si>
  <si>
    <t>[Babaoglu, Ceney] Nigde Omer Halisdemir Univ, Nigde, Turkiye; [Cubuk, Ecem Sevinc] Aydin Adnan Menderes Univ, Aydin, Turkiye</t>
  </si>
  <si>
    <t>Nigde Omer Halisdemir University; Adnan Menderes University</t>
  </si>
  <si>
    <t>Navigating Global Power Dynamics of AI and the Generative World Order</t>
  </si>
  <si>
    <t>INSIGHT TURKEY</t>
  </si>
  <si>
    <t>Techno-geopolitics; Global Competition; AI Governance; U.S; China; EU; T &amp; uuml;rkiye</t>
  </si>
  <si>
    <t>SEVINÇ ÇUBUK, ECEM BUSE/AGF-1486-2022; Babaoglu, Cenay/PFR-5300-2026</t>
  </si>
  <si>
    <t>SEVINÇ ÇUBUK, ECEM BUSE/0000-0002-1679-1746</t>
  </si>
  <si>
    <t>SETA FOUNDATION</t>
  </si>
  <si>
    <t>Nene Hatun Street, No: 66 GOP, ANKARA, 06700, TURKIYE</t>
  </si>
  <si>
    <t>1302-177X</t>
  </si>
  <si>
    <t>INSIGHT TURK</t>
  </si>
  <si>
    <t>Insight Turk.</t>
  </si>
  <si>
    <t>SPR 2025</t>
  </si>
  <si>
    <t>311</t>
  </si>
  <si>
    <t>10.25253/99.2025272.16</t>
  </si>
  <si>
    <t>http://dx.doi.org/10.25253/99.2025272.16</t>
  </si>
  <si>
    <t>Political Science</t>
  </si>
  <si>
    <t>6FK9E</t>
  </si>
  <si>
    <t>WOS:001552074400016</t>
  </si>
  <si>
    <t>Ossa, LA; Rost, M; Bont, N; Lorenzini, G; Shaw, D; Elger, BS; Ossa, LA</t>
  </si>
  <si>
    <t>Background: The introduction of artificial intelligence (AI) into health care has sparked discussions about its potential impact. Patients, as key stakeholders, will be at the forefront of interacting with and being impacted by AI. Given the ethical importance of patient-centered health care, patients must navigate how they engage with AI. However, integrating AI into clinical practice brings potential challenges, particularly in shared decision-making and ensuring patients remain active participants in their care. Whether AI-supported interventions empower or undermine patient participation depends largely on how these technologies are envisioned and integrated into practice. Objective: This study explores how patients and medical AI professionals perceive the patient's role and the factors shaping participation in AI-supported care. Methods: We conducted qualitative semistructured interviews with 21 patients and 21 medical AI professionals from different disciplinary backgrounds. Data were analyzed using reflexive thematic analysis. We identified 3 themes to describe how patients and professionals describe factors that shape participation in AI-supported care. Results: The first theme explored the vision of AI as an unavoidable and potentially harmful force of change in health care. The second theme highlights how patients perceive limitations in their capabilities that may prevent them from meaningfully participating in AI-supported care. The third theme describes patients' adaptive responses, such as relying on experts or making valuejudgments leading to acceptance or rejection of AI-supported care. Conclusions: Both external and internal preconceptions influence how patients and medical AI professionals perceive patient participation. Patients often internalize AI's complexity and inevitability as an obstacle to their active participation, leading them to feel they have little influence over its development. While some patients rely on doctors or see AI as something to accept or reject, these strategies risk placing them in a disempowering role as passive recipients of care. Without adequate education on their rights and possibilities, these responses may not be enough to position patients at the center of their care.</t>
  </si>
  <si>
    <t>Ossa, Laura Arbelaez; Rost, Michael; Bont, Nathalie; Lorenzini, Giorgia; Shaw, David; Elger, Bernice Simone; Ossa, Laura Arbelaez</t>
  </si>
  <si>
    <t>Ossa, LA (corresponding author), Univ Basel, Inst Biomed Eth, Basel, Switzerland.</t>
  </si>
  <si>
    <t>laura.arbelaezossa@unibas.ch</t>
  </si>
  <si>
    <t>Swiss National Research Foundation (SNF) [187263, 407740_187263/1]; Swiss National Science Foundation (SNF) [407740_187263] Funding Source: Swiss National Science Foundation (SNF)</t>
  </si>
  <si>
    <t>Swiss National Research Foundation (SNF) (Swiss National Science Foundation (SNSF)); Swiss National Science Foundation (SNF) (Swiss National Science Foundation (SNSF))</t>
  </si>
  <si>
    <t>We would like to thank Dr Tenzin Wangmo for her support during the initial coding of professional interviews. We would also like to thank Mrs Andrea Baettig for her support while recruiting patients at the University Hospital of Basel. The Swiss National Research Foundation (SNF) enabled this work with the National Research Program "Digital Transformation" framework, NRP 77 (project number 187263, grant number 407740_187263/1, the recipient: Prof Bernice Simone Elger) .</t>
  </si>
  <si>
    <t>[Ossa, Laura Arbelaez; Rost, Michael; Bont, Nathalie; Lorenzini, Giorgia; Shaw, David; Elger, Bernice Simone; Ossa, Laura Arbelaez] Univ Basel, Inst Biomed Eth, Basel, Switzerland; [Shaw, David] Maastricht Univ, Care &amp; Publ Hlth Res Inst, Maastricht, Netherlands; [Shaw, David] Univ Geneva, Ctr Legal Med CURML, Geneva, Switzerland</t>
  </si>
  <si>
    <t>University of Basel; Maastricht University; Maastricht University Medical Centre (MUMC); University of Geneva</t>
  </si>
  <si>
    <t>Exploring Patient Participation in AI-Supported Health Care: Qualitative Study</t>
  </si>
  <si>
    <t>artificial intelligence; AI; patients; qualitative research; patient empowerment; shared decision-making; AI-driven care; AI-support, AI ethics; responsible AI; patient participation</t>
  </si>
  <si>
    <t>ARTIFICIAL-INTELLIGENCE; DECISION-MAKING; VIGNETTES; CANCER; ROLES</t>
  </si>
  <si>
    <t>Elger, Bernice Simone/OIV-1855-2025</t>
  </si>
  <si>
    <t>Arbelaez Ossa, Laura/0000-0002-8303-8789; Shaw, David/0000-0001-8180-6927; Arbelaez Ossa, Laura/0000-0002-8303-8789; Elger, Bernice Simone/0000-0002-4249-7399</t>
  </si>
  <si>
    <t>e50781</t>
  </si>
  <si>
    <t>10.2196/50781</t>
  </si>
  <si>
    <t>http://dx.doi.org/10.2196/50781</t>
  </si>
  <si>
    <t>2QE5B</t>
  </si>
  <si>
    <t>40324765</t>
  </si>
  <si>
    <t>WOS:001488678000002</t>
  </si>
  <si>
    <t>Marasco, E; Hicks, M; Slowik, B; Bourlai, T; Ross, A</t>
  </si>
  <si>
    <t>Vision systems such as biometric recognition, medical imaging platforms, surveillance cameras, and autonomous driving perception systems can encode sensitive identity attributes and contextual information within high-dimensional representations, creating privacy and compliance risks. As these systems operate in dynamic, real-world environments, requirements such as privacy preservation and regulatory compliance become increasingly critical. Machine Unlearning (MU) offers a promising paradigm for reducing the influence of selected information in trained models while preserving acceptable performance. Focusing on security-driven vision application domains, MU can support (1) removing the influence of identity-specific knowledge (i.e., through model weight updates) from biometric systems, (2) addressing copyright and Intellectual Property (IP) challenges arising from the use of proprietary visual data, and (3) reducing the influence of sensitive information that vision models may implicitly encode from visual inputs, such as Personally Identifiable Information (PII), biometric identifiers, and contextual cues present in images or video data. However, there is a fundamental discrepancy between modern vision systems, which are constantly evolving over time (e.g., incremental learning or updates), iterative, and deployment-driven rather than static pipelines, and MU, which is still largely treated as an isolated algorithmic primitive. This paper argues that MU must be viewed as a relevant component of the vision AI lifecycle; although the methodologies required to achieve this integration remain an open challenge for the research community.</t>
  </si>
  <si>
    <t>Marasco, Emanuela; Hicks, Matthew; Slowik, Bart; Bourlai, Thirimachos; Ross, Arun</t>
  </si>
  <si>
    <t>Marasco, E (corresponding author), Virginia Commonwealth Univ, Dept Comp Sci, Richmond, VA 23284 USA.</t>
  </si>
  <si>
    <t>marascoe@vcu.edu</t>
  </si>
  <si>
    <t>[Marasco, Emanuela] Virginia Commonwealth Univ, Dept Comp Sci, Richmond, VA 23284 USA; [Hicks, Matthew] Virginia Tech, Dept Comp Sci, Blacksburg, VA USA; [Slowik, Bart] SylLab Syst Inc, Manassas, VA USA; [Bourlai, Thirimachos] Univ Georgia, Sch Elect &amp; Comp Engn, Athens, GA USA; [Ross, Arun] Michigan State Univ, Dept Comp Sci &amp; Engn, E Lansing, MI 48823 USA</t>
  </si>
  <si>
    <t>Virginia Commonwealth University; Virginia Polytechnic Institute &amp; State University; University System of Georgia; University of Georgia; Michigan State University</t>
  </si>
  <si>
    <t>Revisiting the machine unlearning ecosystem in vision: From afterthought to a lifecycle perspective</t>
  </si>
  <si>
    <t>Unlearning; Trustworthy AI; Privacy; Vision systems</t>
  </si>
  <si>
    <t>106059</t>
  </si>
  <si>
    <t>10.1016/j.imavis.2026.106059</t>
  </si>
  <si>
    <t>http://dx.doi.org/10.1016/j.imavis.2026.106059</t>
  </si>
  <si>
    <t>LM3DH</t>
  </si>
  <si>
    <t>WOS:001827970900001</t>
  </si>
  <si>
    <t>Parlak, IE</t>
  </si>
  <si>
    <t>The increasing opacity and lack of verifiable audit trails in AI decision-making systems pose significant challenges to establishing trust and accountability, particularly in high-impact domains. This paper introduces Blockchain-Assisted Explainable Decision Traces (BAXDT), a novel architecture designed to enhance the transparency and auditability of AI systems. BAXDT creates comprehensive, immutable records for each AI decision by integrating model outputs, SHAP-based XAI summaries, a novel Explanation Density Metric, and detailed model/data context into a unified JSON trace. The 0.80 threshold for the Explanation Density Metric was empirically supported by Kneedle-based automatic threshold detection. The BAXDT architecture leverages blockchain by recording a cryptographic hash of each decision trace on-chain, while the full trace is stored off-chain. The system's effectiveness was demonstrated through a multifaceted evaluation: simulations across three diverse public datasets (medical, financial, educational) confirmed its domain-agnostic applicability; a scalability analysis of up to 20,000 traces demonstrated its efficient and linear performance; and a successful deployment on the Ethereum Sepolia public testnet verified its real-world viability. A case study on text data further underscored the framework's flexibility. BAXDT provides a robust framework for documenting AI decisions-what, why, based on what, and when-thereby fostering trustworthy AI and supporting regulatory compliance.</t>
  </si>
  <si>
    <t>Parlak, Ismail Enes</t>
  </si>
  <si>
    <t>Parlak, IE (corresponding author), Bursa Tech Univ, Fac Engn &amp; Nat Sci, Dept Ind Engn, TR-16310 Bursa, Turkiye.</t>
  </si>
  <si>
    <t>enes.parlak@btu.edu.tr</t>
  </si>
  <si>
    <t>[Parlak, Ismail Enes] Bursa Tech Univ, Fac Engn &amp; Nat Sci, Dept Ind Engn, TR-16310 Bursa, Turkiye</t>
  </si>
  <si>
    <t>Bursa Technical University</t>
  </si>
  <si>
    <t>Blockchain-assisted explainable decision traces (BAXDT): An approach for transparency and accountability in artificial intelligence systems</t>
  </si>
  <si>
    <t>Explainable artificial intelligence (XAI); Blockchain; Decision traceability; Artificial intelligence accountability; Auditability</t>
  </si>
  <si>
    <t>Parlak, İsmail Enes/ABL-3517-2022</t>
  </si>
  <si>
    <t>Parlak, İsmail Enes/0000-0002-0694-9220</t>
  </si>
  <si>
    <t>329</t>
  </si>
  <si>
    <t>114402</t>
  </si>
  <si>
    <t>10.1016/j.knosys.2025.114402</t>
  </si>
  <si>
    <t>http://dx.doi.org/10.1016/j.knosys.2025.114402</t>
  </si>
  <si>
    <t>7BJ8N</t>
  </si>
  <si>
    <t>WOS:001567008200001</t>
  </si>
  <si>
    <t>Cwik, JC</t>
  </si>
  <si>
    <t>Background Generative AI is increasingly used in scholarly research, writing, and publication workflows. Many journal and publisher policies ask authors to disclose relevant AI use, but disclosure alone rarely clarifies how AI-assisted work was performed, what information was entered, how outputs were evaluated, or how human responsibility was maintained. This creates a gap between AI-use disclosure as a publication requirement and AI-use documentation as an open science practice.Methods This article develops a conceptual and practical framework for documenting generative AI use in scholarly workflows. The framework was informed by exploratory, non-systematic source and policy mapping, AI-assisted exploratory evidence mapping, manual review of selected recent literature, and development of accompanying Open Science Framework materials. These steps were used to identify recurring documentation expectations and unresolved policy gaps and to translate them into practical documentation domains, with particular attention to task specificity, proportionality, role-specific documentation, privacy-sensitive transparency, and clinically sensitive contexts.Results The framework distinguishes disclosure from documentation and proposes documentation fields for minimal and extended AI use. Minimal documentation is intended for low-risk uses such as limited language polishing, whereas extended documentation is recommended when AI supports literature synthesis, coding, analysis, interpretation, manuscript drafting, peer-review-related work, clinical material, or research procedures. The framework is accompanied by reusable OSF materials, including documentation templates, prompt-log structures, declaration examples, checklists, clinical redaction guidance, and source-tracking materials.Conclusions AI-use disclosure communicates that AI was used; documentation makes the AI-assisted workflow traceable, inspectable, and accountable. A task-specific, proportionate, role-specific, and privacy-sensitive documentation approach can support responsible AI use while protecting confidential, patient-related, peer-review-related, and methodologically sensitive information. The accompanying bilingual materials are openly available on OSF: .Conclusions AI-use disclosure communicates that AI was used; documentation makes the AI-assisted workflow traceable, inspectable, and accountable. A task-specific, proportionate, role-specific, and privacy-sensitive documentation approach can support responsible AI use while protecting confidential, patient-related, peer-review-related, and methodologically sensitive information. The accompanying bilingual materials are openly available on OSF: .</t>
  </si>
  <si>
    <t>Cwik, Jan Christopher</t>
  </si>
  <si>
    <t>Cwik, JC (corresponding author), Hsch Niederrhein, Fac Hlth Care, Reinarzstr 49, D-47805 Krefeld, Germany.</t>
  </si>
  <si>
    <t>jan.cwik@hs-niederrhein.de</t>
  </si>
  <si>
    <t>Niederrhein Institut fr Regional- und Strukturforschung (3394)</t>
  </si>
  <si>
    <t>[Cwik, Jan Christopher] Hsch Niederrhein, Fac Hlth Care, Reinarzstr 49, D-47805 Krefeld, Germany</t>
  </si>
  <si>
    <t>Disclosure is not documentation: an open science framework for documenting generative AI use in scholarly research and publication workflows</t>
  </si>
  <si>
    <t>RESEARCH INTEGRITY AND PEER REVIEW</t>
  </si>
  <si>
    <t>Generative AI; Large language models; AI disclosure; AI-use documentation; Open science; Research integrity; Peer review; Publication ethics; Scholarly publishing; Clinical psychology</t>
  </si>
  <si>
    <t>2058-8615</t>
  </si>
  <si>
    <t>RES INTEGR PEER REV</t>
  </si>
  <si>
    <t>Res. Integr. Peer Rev.</t>
  </si>
  <si>
    <t>AUG 15 2026</t>
  </si>
  <si>
    <t>10.1186/s41073-026-00245-8</t>
  </si>
  <si>
    <t>http://dx.doi.org/10.1186/s41073-026-00245-8</t>
  </si>
  <si>
    <t>Ethics; History &amp; Philosophy Of Science</t>
  </si>
  <si>
    <t>Social Sciences - Other Topics; History &amp; Philosophy of Science</t>
  </si>
  <si>
    <t>MV9RY</t>
  </si>
  <si>
    <t>WOS:001852182100001</t>
  </si>
  <si>
    <t>Mani, U; Rathnasamy, S; Kamaraj, K</t>
  </si>
  <si>
    <t>The rapid adoption of machine learning in regulated sectors has revealed a disconnect between conventional MLOps and emerging compliance requirements. We present AuditOps, a framework embedding continuous compliance into the ML lifecycle via four innovations: (1) Regulatory Requirement Embedding Layer; (2) Continuous Explainability Preservation Engine; (3) Automated Audit Trail Generation; and (4) Compliance Drift Detection. We evaluate AuditOps across two domains with different dataset sizes and architectures. In healthcare (Cleveland Heart Disease, 303 instances, Random Forest) under FDA Class II thresholds, AuditOps achieves AUC-ROC of 0.908 (95% CI: 0.879-0.937), CCS = 1.000 (meeting all evaluated FDA Class II thresholds), EPI = 0.904, and ATCM = 1.000. In financial services (UCI Adult Income, 48,842 instances, Multi-Layer Perceptron with three hidden layers of 128-64-32 neurons) under Regulation B fairness constraints, AuditOps achieves AUC-ROC of 0.861 (95% CI: 0.842-0.880), CCS = 0.429 (reflecting realistic class imbalance and disparate impact violations across sex, race, and age flagged by the framework), ATCM = 1.000, and RDDR = 0.750. Statistical validation confirmed significant superiority over random performance across both domains (p &lt;0001), with AuditOps reducing compliance overhead by 73% compared to MLflow-only baselines. The financial case study (161 &amp; times; larger than healthcare) demonstrates scalability and compatibility with deep learning architectures. We also propose novel compliance metrics (CCS, EPI, ATCM, RDDR) and provide a practical blueprint for integrating regulatory mandates into MLOps workflows, aligning with the forthcoming EU AI Act enforcement in 2026.</t>
  </si>
  <si>
    <t>Mani, Udayakumar; Rathnasamy, Senthilkumar; Kamaraj, Keerthika</t>
  </si>
  <si>
    <t>Mani, U (corresponding author), SASTRA Deemed Univ, Sch Chem &amp; Biotechnol, Thanjavur, India.</t>
  </si>
  <si>
    <t>uthay@bioinfo.sastra.edu</t>
  </si>
  <si>
    <t>[Mani, Udayakumar; Rathnasamy, Senthilkumar; Kamaraj, Keerthika] SASTRA Deemed Univ, Sch Chem &amp; Biotechnol, Thanjavur, India</t>
  </si>
  <si>
    <t>AuditOps: A continuous compliance framework for integrating regulatory requirements in the MLOps lifecycle</t>
  </si>
  <si>
    <t>FUTURE GENERATION COMPUTER SYSTEMS-THE INTERNATIONAL JOURNAL OF ESCIENCE</t>
  </si>
  <si>
    <t>MLOps; Regulatory compliance; Explainable AI; Continuous monitoring; Audit trails; AI governance; Deep learning; MLP</t>
  </si>
  <si>
    <t>Rathnasamy, Senthilkumar/J-5776-2019</t>
  </si>
  <si>
    <t>0167-739X</t>
  </si>
  <si>
    <t>1872-7115</t>
  </si>
  <si>
    <t>FUTURE GENER COMP SY</t>
  </si>
  <si>
    <t>Futur. Gener. Comp. Syst.</t>
  </si>
  <si>
    <t>DEC 2026</t>
  </si>
  <si>
    <t>108649</t>
  </si>
  <si>
    <t>10.1016/j.future.2026.108649</t>
  </si>
  <si>
    <t>http://dx.doi.org/10.1016/j.future.2026.108649</t>
  </si>
  <si>
    <t>KJ9LI</t>
  </si>
  <si>
    <t>WOS:001808731800001</t>
  </si>
  <si>
    <t>Laios, A; Kalampokis, E; Johnson, R; Munot, S; Thangavelu, A; Hutson, R; Broadhead, T; Theophilou, G; Nugent, D; De Jong, D</t>
  </si>
  <si>
    <t>Simple Summary The current scoring systems fail to reflect the patient's real anatomy, as seen by the surgeon upon cytoreduction for advanced-stage epithelial ovarian cancer (EOC). Using artificial intelligence, we developed a novel intra-operative score based on specific weights assigned to the patterns of cancer dissemination. We employed an explainable artificial intelligence (XAI) framework to explain feature effects associated with complete cytoreduction (CC0). The presence of cancer dissemination in specific anatomical sites, including the small bowel mesentery, large bowel serosa, and diaphragmatic peritoneum, could be more predictive of CC0 than the existing scoring tools. Early intra-operative assessment of these areas only accurately predicts CC0 in 9 out of 10 patients and can guide patient selection. The novel score remains predictive of adverse survival outcomes. Background: The Peritoneal Carcinomatosis Index (PCI) and the Intra-operative Mapping for Ovarian Cancer (IMO), to a lesser extent, have been universally validated in advanced-stage epithelial ovarian cancer (EOC) to describe the extent of peritoneal dissemination and are proven to be powerful predictors of the surgical outcome with an added sensitivity of assessment at laparotomy of around 70%. This leaves room for improvement because the two-dimensional anatomic scoring model fails to reflect the patient's real anatomy, as seen by a surgeon. We hypothesized that tumor dissemination in specific anatomic locations can be more predictive of complete cytoreduction (CC0) and survival than PCI and IMO tools in EOC patients. (2) Methods: We analyzed prospectively data collected from 508 patients with FIGO-stage IIIB-IVB EOC who underwent cytoreductive surgery between January 2014 and December 2019 at a UK tertiary center. We adapted the structured ESGO ovarian cancer report to provide detailed information on the patterns of tumor dissemination (cancer anatomic fingerprints). We employed the extreme gradient boost (XGBoost) to model only the variables referring to the EOC disseminated patterns, to create an intra-operative score and judge the predictive power of the score alone for complete cytoreduction (CC0). Receiver operating characteristic (ROC) curves were then used for performance comparison between the new score and the existing PCI and IMO tools. We applied the Shapley additive explanations (SHAP) framework to support the feature selection of the narrated cancer fingerprints and provide global and local explainability. Survival analysis was performed using Kaplan-Meier curves and Cox regression. (3) Results: An intra-operative disease score was developed based on specific weights assigned to the cancer anatomic fingerprints. The scores range from 0 to 24. The XGBoost predicted CC0 resection (area under curve (AUC) = 0.88 CI = 0.854-0.913) with high accuracy. Organ-specific dissemination on the small bowel mesentery, large bowel serosa, and diaphragmatic peritoneum were the most crucial features globally. When added to the composite model, the novel score slightly enhanced its predictive value (AUC = 0.91, CI = 0.849-0.963). We identified a "turning point", &lt;= 5, that increased the probability of CC0. Using conventional logistic regression, the new score was superior to the PCI and IMO scores for the prediction of CC0 (AUC = 0.81 vs. 0.73 and 0.67, respectively). In multivariate Cox analysis, a 1-point increase in the new intra-operative score was associated with poorer progression-free (HR: 1.06; 95% CI: 1.03-1.09, p &lt; 0.005) and overall survival (HR: 1.04; 95% CI: 1.01-1.07), by 4% and 6%, respectively. (4) Conclusions: The presence of cancer disseminated in specific anatomical sites, including small bowel mesentery, large bowel serosa, and diaphragmatic peritoneum, can be more predictive of CC0 and survival than the entire PCI and IMO scores. Early intra-operative assessment of these areas only may reveal whether CC0 is achievable. In contrast to the PCI and IMO scores, the novel score remains predictive of adverse survival outcomes.</t>
  </si>
  <si>
    <t>Laios, Alexandros; Kalampokis, Evangelos; Johnson, Racheal; Munot, Sarika; Thangavelu, Amudha; Hutson, Richard; Broadhead, Tim; Theophilou, Georgios; Nugent, David; De Jong, Diederick</t>
  </si>
  <si>
    <t>a.laios@nhs.net</t>
  </si>
  <si>
    <t>[Laios, Alexandros; Johnson, Racheal; Munot, Sarika; Thangavelu, Amudha; Hutson, Richard; Broadhead, Tim; Theophilou, Georgios; Nugent, David; De Jong, Diederick] St James Univ Hosp, Dept Gynaecol Oncol, Leeds LS9 7TF, England; [Kalampokis, Evangelos] Univ Macedonia, Dept Business Adm, Informat Syst Lab, Thessaloniki 54636, Greece</t>
  </si>
  <si>
    <t>Saint James's University Hospital; University of Macedonia</t>
  </si>
  <si>
    <t>Development of a Novel Intra-Operative Score to Record Diseases' Anatomic Fingerprints (ANAFI Score) for the Prediction of Complete Cytoreduction in Advanced-Stage Ovarian Cancer by Using Machine Learning and Explainable Artificial Intelligence</t>
  </si>
  <si>
    <t>epithelial ovarian cancer; complete cytoreduction; anatomic fingerprints; peritoneal carcinomatosis index; intra-operative mapping; machine learning; explainble artificial intelligence</t>
  </si>
  <si>
    <t>NEOADJUVANT CHEMOTHERAPY; DEBULKING SURGERY; RESIDUAL DISEASE; INDEX; SURVIVAL; CARCINOMATOSIS; LAPAROSCOPY; STATISTICS; RESECTION; DATABASE</t>
  </si>
  <si>
    <t>JOHNSON, RACHEAL/0000-0002-2677-2709; Hutson, Richard/0000-0002-8963-5517; Kalampokis, Evangelos/0000-0003-4416-8764; de Jong, Diederick/0000-0003-0081-674X; Laios, Alexandros/0000-0002-4870-7393</t>
  </si>
  <si>
    <t>966</t>
  </si>
  <si>
    <t>10.3390/cancers15030966</t>
  </si>
  <si>
    <t>http://dx.doi.org/10.3390/cancers15030966</t>
  </si>
  <si>
    <t>8T4QJ</t>
  </si>
  <si>
    <t>36765924</t>
  </si>
  <si>
    <t>WOS:000929248300001</t>
  </si>
  <si>
    <t>Anand, R; Bowers, N; Manyama, MF</t>
  </si>
  <si>
    <t>Background: Generative artificial intelligence (GenAI) tools are being increasingly applied to teaching and learning in medical education creating both instructional opportunities and pedagogical challenges. While GenAI offers potential to enhance teaching, assessment, and curriculum design, many medical faculty lack structured guidance on how to integrate these tools ethically and pedagogically within discipline-specific, high-stakes educational contexts. Objective: This study aimed to design, implement, and evaluate a faculty development workshop series for ethical and pedagogical integration of GenAI in medical education teaching. Methods: A mixed methods pilot study was conducted to design, implement, and evaluate a faculty development workshop series "Professional Development in Generative Artificial Intelligence for Pedagogy" at Weill Cornell Medicine-Qatar, a US medical school in Qatar. The program consisted of five 1-hour synchronous online workshops grounded in Experiential Learning Theory and the Technological Pedagogical Content Knowledge framework. Ten medical faculty from multiple disciplines participated. Quantitative data were collected through an online preintervention survey, an online postintervention survey with open-ended questions, and an online 2-week follow-up survey. Surveys consisted of 5-point Likert scale items capturing perceptions of workshop quality, confidence, and intended application. Qualitative data included full workshop transcripts, facilitator theoretical notes, and facilitator memos. Descriptive statistics summarized quantitative findings, while qualitative data were analyzed using a combination of deductive and inductive coding, alongside narrative analysis. Findings were integrated to generate convergent interpretations. Results: Qualitative analysis of workshop transcripts suggested evolving engagement with GenAI, with participants describing movement from exploratory use toward more intentional pedagogical application. Postintervention survey results indicated high satisfaction with program content, organization, relevance, and overall quality. Two-week follow-up survey responses (n=5) suggested increased self-reported confidence in applying GenAI tools, and perceived shifts in how participants conceptualized teaching with GenAI. Faculty described intended strategies for integrating GenAI into lesson planning, assessment design, visualization of learning materials, and case-based instruction, while emphasizing the importance of human oversight, critical appraisal, and ethical judgment. Findings highlighted the perceived value of hands-on experimentation, reflective discussion, and adaptive facilitation in supporting early faculty engagement. Conclusions: This pilot study provides early evidence that an experiential, theory-informed, and adaptively facilitated faculty development workshop series may support medical faculty in developing self-reported confidence, awareness, and initial strategies for responsible GenAI integration. Findings are exploratory and limited by a small sample size, a single institution, and reliance on self-reported data. Nevertheless, the Professional Development in Generative Artificial Intelligence for Pedagogy workshop series presents a flexible and theory-informed faculty development approach that may inform future faculty development initiatives in medical education as GenAI technologies continue to evolve. JMIR Med Educ 2026;12:e89815; doi: 10.2196/89815</t>
  </si>
  <si>
    <t>Anand, Rajalakshmi; Bowers, Nicole; Manyama, Mange Festo</t>
  </si>
  <si>
    <t>Anand, R (corresponding author), Qatar Fdn Educ City, Weill Cornell Med Coll Qatar, Inst Populat Hlth, Doha 24144, Baladiyat Ad Da, Qatar.</t>
  </si>
  <si>
    <t>raa2021@qatar-med.cornell.edu</t>
  </si>
  <si>
    <t>Weill Cornell Medicine-Qatar Health Sciences Library</t>
  </si>
  <si>
    <t>The authors declared no financial support was received for this work. The publication of this paper was funded by the Weill Cornell Medicine-Qatar Health Sciences Library.</t>
  </si>
  <si>
    <t>[Anand, Rajalakshmi] Weill Cornell Med Coll Qatar, Inst Populat Hlth, Doha, Baladiyat Ad Da, Qatar; [Anand, Rajalakshmi; Bowers, Nicole] Arizona State Univ, Mary Lou Fulton Coll Teaching &amp; Learning Innovat, Tempe, AZ USA; [Manyama, Mange Festo] Weill Cornell Med Coll Qatar, Div Med Educ, Doha, Qatar; [Anand, Rajalakshmi] Qatar Fdn Educ City, Weill Cornell Med Coll Qatar, Inst Populat Hlth, Doha 24144, Baladiyat Ad Da, Qatar</t>
  </si>
  <si>
    <t>Qatar Foundation (QF); Weill Cornell Medical College Qatar; Arizona State University; Arizona State University-Tempe; Qatar Foundation (QF); Weill Cornell Medical College Qatar; Qatar Foundation (QF); Weill Cornell Medical College Qatar</t>
  </si>
  <si>
    <t>Design and Evaluation of a Faculty Development Workshop Series on Integrating Generative Artificial Intelligence in Medical Education: Mixed Methods Pilot Study</t>
  </si>
  <si>
    <t>generative artificial intelligence; medical education; faculty development; experiential learning; TPACK; ethical AI; responsible AI</t>
  </si>
  <si>
    <t>e89815</t>
  </si>
  <si>
    <t>10.2196/89815</t>
  </si>
  <si>
    <t>http://dx.doi.org/10.2196/89815</t>
  </si>
  <si>
    <t>JK3IA</t>
  </si>
  <si>
    <t>42090298</t>
  </si>
  <si>
    <t>WOS:001791368500001</t>
  </si>
  <si>
    <t>Wu, Y; Wang, YL</t>
  </si>
  <si>
    <t>Martial arts training is a high-impact activity that motivates secure, real-time Digital Twin operation within next-generation 6G healthcare networks. This article uses impact-safe martial arts training as a representative scenario and frames each athlete as a continuously updated Digital Twin whose biomechanical and vital-sign state is synchronized from multi-modal wearables and smart protective gear over ultra-reliable low-latency 6G links to nearby multi-access edge computing (MEC) nodes. Unlike conventional real-time analytics pipelines that process isolated event streams, the proposed Digital Twin maintains a persistent, stateful representation of cumulative load, modality context, and identity-bound safety envelopes, enabling longitudinal reasoning and cross-session safety validation beyond single-event inference. By distributing sensing, twin-state execution, and analytics across devices, edge servers, and the cloud/clinic layer, the system delivers millisecond-scale risk assessment and safety feedback while keeping sensitive health data as local as possible. Beyond simple on-device storage, the framework formalizes explicit trust boundaries for twin read/write operations and federated update governance, providing structured privacy assurance rather than ad hoc data locality. The article provides a tutorial walkthrough of a standards-based architecture that maps this Digital Twin workflow to IMT-2030 and 3GPP 5G-6G service capabilities, ETSI MEC platforms and APIs, secure transport and identity mechanisms, and healthcare data and device interoperability standards, with an explicit trust boundary for twin read/write operations. We further discuss privacy-preserving federated and incremental learning across multiple training centers, emphasizing security against update manipulation and leakage, and show how AI-driven resource allocation and task scheduling at the edge supports predictable latency and reliability under safety constraints. Benchmarking considerations, deployment patterns, and best practices are summarized, followed by an open standardization roadmap highlighting gaps in Digital Twin threat modeling, identity and access control, AI governance and provenance, inter-edge interoperability, privacy assurance, and safety validation for certifiable 6G Digital Twin healthcare deployments.</t>
  </si>
  <si>
    <t>Wu, Yong; Wang, Yuling</t>
  </si>
  <si>
    <t>Wu, Y (corresponding author), Huainan Normal Univ, Sch Sport &amp; Phys Educ, Huainan 232038, Anhui, Peoples R China.</t>
  </si>
  <si>
    <t>wuyong2025@sohu.com</t>
  </si>
  <si>
    <t>2024 Anhui Provincial Educational Research Policy Consulting Project, Research on the Development of After-school Services in the Compulsory Education Stage in Anhui Province under the Background of Double Reduction and Quality Assurance [JKZ24003]; Research on the Development of After-School Services in the Compulsory Education Stage in Anhui Province through the Background of Double Reduction and Quality Assurance [JKZ24003]</t>
  </si>
  <si>
    <t>2024 Anhui Provincial Educational Research Policy Consulting Project, Research on the Development of After-school Services in the Compulsory Education Stage in Anhui Province under the Background of Double Reduction and Quality Assurance; Research on the Development of After-School Services in the Compulsory Education Stage in Anhui Province through the Background of Double Reduction and Quality Assurance</t>
  </si>
  <si>
    <t>[Wu, Yong] Huainan Normal Univ, Sch Sport &amp; Phys Educ, Huainan 232038, Anhui, Peoples R China; [Wang, Yuling] Jiangxi Sci &amp; Technol Normal Univ, Coll Phys Educ &amp; Hlth, Nanchang 330038, Jiangxi, Peoples R China</t>
  </si>
  <si>
    <t>Huainan Normal University; Jiangxi Science &amp; Technology Normal University</t>
  </si>
  <si>
    <t>Impact-Safe Martial Arts Training via Secure Digital Twin Standardization and 6G Edge-Enabled Collaborative Computing</t>
  </si>
  <si>
    <t>IEEE COMMUNICATIONS STANDARDS MAGAZINE</t>
  </si>
  <si>
    <t>2471-2825</t>
  </si>
  <si>
    <t>2471-2833</t>
  </si>
  <si>
    <t>IEEE COMMUN STAND M</t>
  </si>
  <si>
    <t>IEEE Commun. Stand. Mag.</t>
  </si>
  <si>
    <t>10.1109/MCOMSTD.2026.3677775</t>
  </si>
  <si>
    <t>http://dx.doi.org/10.1109/MCOMSTD.2026.3677775</t>
  </si>
  <si>
    <t>GJ0SD</t>
  </si>
  <si>
    <t>WOS:001737583700001</t>
  </si>
  <si>
    <t>Samir, KMM; Sarker, AS; Das, S</t>
  </si>
  <si>
    <t>Autism Spectrum Disorder (ASD) diagnosis benefits from the technical analysis of neural oscillations. The objective identification of Autism Spectrum Disorder (ASD) is advanced through a dedicated engineering framework that analyzes neural oscillations via electroencephalogram (EEG) signals. This methodology synthesizes statistical signal processing, frequency-domain transformation, and computational intelligence. Multi-channel EEG data from 15 electrodes were first organized into seven functional brain regions. A Discrete Wavelet Transform (db4) was then applied for multiresolution decomposition, extracting and normalizing the spectral power of delta, theta, alpha, beta, and gamma frequency bands. This spectral characterization was augmented with statistical descriptors to quantify signal dynamics and complexity, creating a robust multi-domain feature set. For classification, the framework implements a comprehensive comparative analysis across multiple learning paradigms. The engineered feature space was processed by nine classical machine learning algorithms, eight deep neural network architectures, and four meta-learning strategies. Empirical validation revealed that Logistic Regression achieved 88.57% accuracy with an AUC of 0.77. Further Extra Trees achieving 86.42% accuracy. Long Short-Term Memory (LSTM) networks demonstrated strong sequential modeling capability, attaining a competitive accuracy of approximately 87%. While meta-learning preserved diagnostic sensitivity, it did not surpass the leading standalone models. To ensure clinical interpretability, Explainability was employed, identifying delta and theta band power as the most critical discriminative features. Consequently, this study delivers a technically rigorous, transparent, and automated pipeline for electrophysiological signal characterization, establishing a preliminary computational foundation for neurophysiological differentiation in pediatric ASD. All findings are preliminary and exploratory, pending validation in larger independent cohorts.</t>
  </si>
  <si>
    <t>Samir, Kazi Mahatir Mohammed; Sarker, Adnan Sami; Das, Sawrav</t>
  </si>
  <si>
    <t>Das, S (corresponding author), Dhaka Int Univ, Dept Elect &amp; Elect Engn, Dhaka, Bangladesh.</t>
  </si>
  <si>
    <t>sawravdas01@gmail.com</t>
  </si>
  <si>
    <t>[Samir, Kazi Mahatir Mohammed; Sarker, Adnan Sami] Chittagong Univ Engn &amp; Technol, Dept Elect &amp; Elect Engn, Chittagong, Bangladesh; [Das, Sawrav] Dhaka Int Univ, Dept Elect &amp; Elect Engn, Dhaka, Bangladesh</t>
  </si>
  <si>
    <t>Chittagong University of Engineering &amp; Technology (CUET); Dhaka International University (DIU)</t>
  </si>
  <si>
    <t>Neurophysiological EEG Characterization of Autism Spectrum Disorder Using DWT-Based Frequency Analysis With Selective Electrodes and Brain Segmentation: An Explainable AI-Driven Approach</t>
  </si>
  <si>
    <t>FASEB JOURNAL</t>
  </si>
  <si>
    <t>autism Spectrum disorder (ASD); discrete wavelet transform (DWT); electroencephalography (EEG); explainable artificial intelligence (XAI); machine learning; neurophysiological signal characterization; selective electrode and brain segmentation</t>
  </si>
  <si>
    <t>Das, Sawrav/0009-0004-6212-3601</t>
  </si>
  <si>
    <t>0892-6638</t>
  </si>
  <si>
    <t>1530-6860</t>
  </si>
  <si>
    <t>FASEB J</t>
  </si>
  <si>
    <t>Faseb J.</t>
  </si>
  <si>
    <t>JUL 8 2026</t>
  </si>
  <si>
    <t>e72082</t>
  </si>
  <si>
    <t>10.1096/fj.202600019R</t>
  </si>
  <si>
    <t>http://dx.doi.org/10.1096/fj.202600019R</t>
  </si>
  <si>
    <t>Biochemistry &amp; Molecular Biology; Biology; Cell Biology</t>
  </si>
  <si>
    <t>Biochemistry &amp; Molecular Biology; Life Sciences &amp; Biomedicine - Other Topics; Cell Biology</t>
  </si>
  <si>
    <t>KR5TJ</t>
  </si>
  <si>
    <t>42417525</t>
  </si>
  <si>
    <t>WOS:001813915900001</t>
  </si>
  <si>
    <t>Shrateh, ON; Al-batat, S; Al-Qudimat, AR; Ghannam, LI; Abuhanoud, LJ</t>
  </si>
  <si>
    <t>Background Artificial intelligence (AI) is rapidly transforming healthcare, including dentistry, through its applications in diagnosis, prosthetic planning, and oral disease detection. As future professionals, dental students play a vital role in integrating AI into clinical practice. However, little is known about their attitudes toward AI, particularly in low-resource settings such as Palestine. Methods A cross-sectional survey was conducted among 305 dental students from four Palestinian universities using a validated 22-item questionnaire. Data were analyzed using descriptive statistics and chi-square tests (p &lt; 0.05). Results Among the 305 participants (232 females, 73 males), 77% reported basic knowledge of AI, with social media being the most common source (66.2%). Female students were significantly more likely than males to believe that AI will bring major advancements to dentistry (p = 0.04), and that it can be used for diagnostic (p = 0.030), prognostic (p = 0.045), and treatment planning purposes (p = 0.015), as well as in postgraduate training (p = 0.017). Those with prior AI knowledge or awareness of its dental applications showed greater enthusiasm for its diagnostic use (p = 0.004) and integration into dental education (p = 0.004 and p = 0.009, respectively).&lt;br /&gt; Conclusion Palestinian dental students demonstrate strong awareness and positive attitudes toward the use of AI in dentistry. Gender-based differences and ethical concerns emphasize the need for structured, inclusive, and responsible AI training within dental curricula.</t>
  </si>
  <si>
    <t>Shrateh, Oadi N.; Al-batat, Siwar; Al-Qudimat, Ahmad R.; Ghannam, Lara I.; Abuhanoud, Lina J.</t>
  </si>
  <si>
    <t>Shrateh, ON (corresponding author), Al Quds Univ, Fac Med, Jerusalem, Palestine.; Shrateh, ON (corresponding author), Arab Amer Univ, Fac Dent, Ramallah, Palestine.</t>
  </si>
  <si>
    <t>lara.ghannam@students.alquds.edu; siwarbtat8@gmail.com; leenaabohanod@gmail.com; aalqudimat@hamad.qa; Oadi.nawaf97@gmail.com</t>
  </si>
  <si>
    <t>[Shrateh, Oadi N.] Al Quds Univ, Fac Med, Jerusalem, Palestine; [Shrateh, Oadi N.; Al-batat, Siwar] Arab Amer Univ, Fac Dent, Ramallah, Palestine; [Al-Qudimat, Ahmad R.] Hamad Med Corp, Dept Surg, Surg Res Sect, Doha, Qatar; [Al-Qudimat, Ahmad R.] Qatar Univ, Publ Hlth Coll, QU Hlth, Doha, Qatar; [Ghannam, Lara I.; Abuhanoud, Lina J.] Al Quds Univ, Fac Dent, Jerusalem, Palestine</t>
  </si>
  <si>
    <t>Al-Quds University; Arab American University; Hamad Medical Corporation; Qatar University; Al-Quds University</t>
  </si>
  <si>
    <t>Attitudes and perceptions of dental students towards artificial intelligence</t>
  </si>
  <si>
    <t>BMC MEDICAL EDUCATION</t>
  </si>
  <si>
    <t>Artificial intelligence; Dental students; Attitudes; Dental education; Palestine</t>
  </si>
  <si>
    <t>Ghannam, Lara/OVZ-6475-2025; Al-Qudimat, Ahmad R/KHY-8085-2024</t>
  </si>
  <si>
    <t>Ghannam, Lara/0009-0002-5879-9380; Shrateh, Oadi N/0000-0001-7532-1544; Al-Qudimat, Ahmad R/0000-0003-1161-7244</t>
  </si>
  <si>
    <t>1472-6920</t>
  </si>
  <si>
    <t>BMC MED EDUC</t>
  </si>
  <si>
    <t>BMC Med. Educ.</t>
  </si>
  <si>
    <t>OCT 9 2025</t>
  </si>
  <si>
    <t>1386</t>
  </si>
  <si>
    <t>10.1186/s12909-025-07854-9</t>
  </si>
  <si>
    <t>http://dx.doi.org/10.1186/s12909-025-07854-9</t>
  </si>
  <si>
    <t>Education &amp; Educational Research; Education, Scientific Disciplines</t>
  </si>
  <si>
    <t>8LK9U</t>
  </si>
  <si>
    <t>41068696</t>
  </si>
  <si>
    <t>WOS:001591468500002</t>
  </si>
  <si>
    <t>Sohail, SS; Farhat, F; Himeur, Y; Nadeem, M; Madsen, DO; Singh, Y; Atalla, S; Mansoor, W</t>
  </si>
  <si>
    <t>Chat Generative Pre-trained Transformer (ChatGPT) has gained significant interest and attention since its launch in November 2022. It has shown impressive performance in various domains, including passing exams and creative writing. However, challenges and concerns related to biases and trust persist. In this work, we present a comprehensive review of over 100 Scopus-indexed publications on ChatGPT, aiming to provide a taxonomy of ChatGPT research and explore its applications. We critically analyze the existing literature, identifying common approaches employed in the studies. Additionally, we investigate diverse application areas where ChatGPT has found utility, such as healthcare, marketing and financial services, software engineering, academic and scientific writing, research and education, environmental science, and natural language processing. Through examining these applications, we gain valuable insights into the potential of ChatGPT in addressing real-world challenges. We also discuss crucial issues related to ChatGPT, including biases and trustworthiness, emphasizing the need for further research and development in these areas. Furthermore, we identify potential future directions for ChatGPT research, proposing solutions to current challenges and speculating on expected advancements. By fully leveraging the capabilities of ChatGPT, we can unlock its potential across various domains, leading to advancements in conversational AI and transformative impacts in society.(c) 2023 The Author(s). Published by Elsevier B.V. on behalf of King Saud University. This is an open access article under the CC BY license (http://creativecommons.org/licenses/by/4.0/).</t>
  </si>
  <si>
    <t>Sohail, Shahab Saquib; Farhat, Faiza; Himeur, Yassine; Nadeem, Mohammad; Madsen, Dag Oivind; Singh, Yashbir; Atalla, Shadi; Mansoor, Wathiq</t>
  </si>
  <si>
    <t>Farhat, F (corresponding author), Aligarh Muslim Univ, Dept Zool, Aligarh, Uttar Pradesh, India.; Madsen, DO (corresponding author), Univ South Eastern Norway, Notodden, Norway.</t>
  </si>
  <si>
    <t>faizahaque16@gmail.com; wathiq.mansoor@ud.ac.ae; shahabssohail@jamiahamdard.ac.in; nadeem.amu@gmail.com; yhimeur@ud.ac.ae; satalla@ud.ac.ae; dag.oivind.madsen@usn.no; Singh.Yashbir@mayo.edu</t>
  </si>
  <si>
    <t>[Sohail, Shahab Saquib] Jamia Hamdard, Sch Engn Sci &amp; Technol, Dept Comp Sci &amp; Engn, New Delhi 110062, India; [Farhat, Faiza] Aligarh Muslim Univ, Dept Zool, Aligarh, Uttar Pradesh, India; [Himeur, Yassine; Atalla, Shadi; Mansoor, Wathiq] Univ Dubai, Coll Engn &amp; Informat Technol, Dubai, U Arab Emirates; [Nadeem, Mohammad] Aligarh Muslim Univ, Dept Comp Sci, Aligarh, Uttar Pradesh, India; [Madsen, Dag Oivind] Univ South Eastern Norway, Notodden, Norway; [Singh, Yashbir] Mayo Clin, Dept Radiol, Rochester, MN USA</t>
  </si>
  <si>
    <t>Jamia Hamdard University; Aligarh Muslim University; University of Dubai; Aligarh Muslim University; University of South-Eastern Norway; Mayo Clinic</t>
  </si>
  <si>
    <t>Decoding ChatGPT: A taxonomy of existing research, current challenges, and possible future directions</t>
  </si>
  <si>
    <t>JOURNAL OF KING SAUD UNIVERSITY COMPUTER AND INFORMATION SCIENCES</t>
  </si>
  <si>
    <t>ChatGPT; Large language models (LLMs); Generative Pre-trained Transformer (GPT); AI Generated Content (AIGC); Systematic review; Trustworthy AI</t>
  </si>
  <si>
    <t>ARTIFICIAL-INTELLIGENCE; OPPORTUNITIES; EDUCATION; THREATS</t>
  </si>
  <si>
    <t>Madsen, Dag Øivind/I-1587-2016; Sohail, Shahab Saquib/O-3263-2019; FARHAT, FAIZA/KIK-8175-2024; Singh, Yashbir/B-7404-2017; Himeur, Yassine/AAK-7814-2021; Nadeem, Mohammad/QSO-2853-2026; Atalla, Shadi/KAO-2626-2024</t>
  </si>
  <si>
    <t>Madsen, Dag Øivind/0000-0001-8735-3332; Sohail, Shahab Saquib/0000-0002-5944-7371; Singh, Yashbir/0000-0002-5848-7072; Nadeem, Mohammad/0000-0003-3664-5014</t>
  </si>
  <si>
    <t>1319-1578</t>
  </si>
  <si>
    <t>2213-1248</t>
  </si>
  <si>
    <t>J KING SAUD UNIV COM</t>
  </si>
  <si>
    <t>J. King Saud Univ. Comput. Inf. Sci.</t>
  </si>
  <si>
    <t>101675</t>
  </si>
  <si>
    <t>10.1016/j.jksuci.2023.101675</t>
  </si>
  <si>
    <t>http://dx.doi.org/10.1016/j.jksuci.2023.101675</t>
  </si>
  <si>
    <t>GA8T2</t>
  </si>
  <si>
    <t>WOS:001150035400001</t>
  </si>
  <si>
    <t>Tandel, GS; Tiwari, A; Kakde, OG</t>
  </si>
  <si>
    <t>Biopsy is considered the gold standard for diagnosing brain tumors, but its invasive nature can pose risks to patients. Additionally, tissue analysis can be cumbersome and inconsistent among observers. This research aims to develop a cost-effective, non-invasive, MRI-based computer-aided diagnosis tool that can reliably, accurately and swiftly identify brain tumor grades. Our system employs ensemble deep learning (EDL) within an MRI multiclass framework that includes five datasets: two-class (C2), three-class (C3), four-class (C4), five-class (C5) and six-class (C6). The EDL utilizes a majority voting algorithm to classify brain tumors by combining seven renowned deep learning (DL) models-EfficientNet, VGG16, ResNet18, GoogleNet, ResNet50, Inception-V3 and DarkNet-and seven machine learning (ML) models, including support vector machine, K-nearest neighbour, Na &amp; iuml;ve Bayes, decision tree, linear discriminant analysis, artificial neural network and random forest. Additionally, local interpretable model-agnostic explanations (LIME) are employed as an explainable AI algorithm, providing a visual representation of the CNN's internal workings to enhance the credibility of the results. Through extensive five-fold cross-validation experiments, the DL-based majority voting algorithm outperformed the ML-based majority voting algorithm, achieving the highest average accuracies of 100 +/- 0.00%, 98.55 +/- 0.35%, 98.47 +/- 0.63%, 95.34 +/- 1.17% and 96.61 +/- 0.85% for the C2, C3, C4, C5 and C6 datasets, respectively. Majority voting algorithms typically yield consistent results across different folds of the brain tumor data and enhance performance compared to any individual deep learning and machine learning models.</t>
  </si>
  <si>
    <t>Tandel, Gopal Singh; Tiwari, Ashish; Kakde, Omprakash G.</t>
  </si>
  <si>
    <t>Tandel, GS (corresponding author), Univ Allahabad, Allahabad Degree Coll, Dept Comp Sci, Prayagraj, India.</t>
  </si>
  <si>
    <t>ogkakde25@gmail.com; gtandel@gmail.com; atiwari.rcs@gmail.com</t>
  </si>
  <si>
    <t>[Tandel, Gopal Singh] Univ Allahabad, Allahabad Degree Coll, Dept Comp Sci, Prayagraj, India; [Tiwari, Ashish; Kakde, Omprakash G.] Visvesvaraya Natl Inst Technol, Dept Comp Sci &amp; Engn, Nagpur, India</t>
  </si>
  <si>
    <t>University of Allahabad; National Institute of Technology (NIT System); Visvesvaraya National Institute of Technology, Nagpur</t>
  </si>
  <si>
    <t>Multi-Class Brain Tumor Grades Classification Using a Deep Learning-Based Majority Voting Algorithm and Its Validation Using Explainable-AI</t>
  </si>
  <si>
    <t>Explainable AI; Brain tumor; Classification; Deep learning; Ensemble; Transfer learning; Magnetic resonance imaging</t>
  </si>
  <si>
    <t>Kakde, O G/AFY-8174-2022; Tandel, Gopal Singh/AAX-2981-2021; Tiwari, Ashish/LZH-7072-2025</t>
  </si>
  <si>
    <t>Tandel, Gopal Singh/0000-0002-4885-3614</t>
  </si>
  <si>
    <t>2793</t>
  </si>
  <si>
    <t>2830</t>
  </si>
  <si>
    <t>10.1007/s10278-024-01368-4</t>
  </si>
  <si>
    <t>http://dx.doi.org/10.1007/s10278-024-01368-4</t>
  </si>
  <si>
    <t>9EI8B</t>
  </si>
  <si>
    <t>39779641</t>
  </si>
  <si>
    <t>WOS:001391693900001</t>
  </si>
  <si>
    <t>Kwok, L; Chuang, NK; Huang, YK</t>
  </si>
  <si>
    <t>This critical reflection examines the growing use of GenAI (Generative AI) in hiring in the hospitality and tourism (H&amp;T) industry. Distinct from systematic reviews, this paper synthesizes academic literature, white papers, and the authors' field-based research experience to explore four topics. First, it assesses how GenAI transforms the six hiring phases from the perspectives of employers and job seekers. Second, ethical risks related to fairness, transparency, data protection, and accountability are critically evaluated using the Organization for Economic Cooperation and Development's (OECD) AI Principles for "trustworthy AI," which informs the development of six propositions. Third, practical recommendations are presented to help H&amp;T organizations and job seekers remain competitive, relevant, and compliant with the OECD AI Principles as they navigate the still-evolving AI landscape. Lastly, research questions and methodologies are proposed for future investigations. This work contributes to the ongoing interdisciplinary dialogue and supports the responsible adoption of AI in hiring.</t>
  </si>
  <si>
    <t>Kwok, Linchi; Chuang, Ning-Kuang; Huang, Yung-Kuei</t>
  </si>
  <si>
    <t>Huang, YK (corresponding author), Natl Ilan Univ, 1 Sect 1,Shennong Rd, Yilan 260, Taiwan.</t>
  </si>
  <si>
    <t>huangyk@niu.edu.tw</t>
  </si>
  <si>
    <t>[Kwok, Linchi] Calif State Polytech Univ Pomona Cal Poly Pomona, Pomona, CA USA; [Chuang, Ning-Kuang] Kent State Univ, Kent, OH USA; [Huang, Yung-Kuei] Natl Ilan Univ, Yilan, Taiwan</t>
  </si>
  <si>
    <t>California State University System; California State Polytechnic University Pomona; University System of Ohio; Kent State University; Kent State University Kent; Kent State University Salem; National Ilan University</t>
  </si>
  <si>
    <t>Staying Ahead: A Critical Assessment of the GenAI-Assisted Hiring Process Using the OECD AI Principles</t>
  </si>
  <si>
    <t>JOURNAL OF HOSPITALITY &amp; TOURISM RESEARCH</t>
  </si>
  <si>
    <t>artificial intelligence; generative AI; selection; human resource management; information technology; critical reflection</t>
  </si>
  <si>
    <t>/AGP-5422-2022; Kwok, Linchi/D-4089-2015</t>
  </si>
  <si>
    <t>Chuang, Ning Kuang/0000-0002-7785-5002; Kwok, Linchi/0000-0001-8838-2485</t>
  </si>
  <si>
    <t>1096-3480</t>
  </si>
  <si>
    <t>1557-7554</t>
  </si>
  <si>
    <t>J HOSP TOUR RES</t>
  </si>
  <si>
    <t>J. Hosp. Tour. Res.</t>
  </si>
  <si>
    <t>886</t>
  </si>
  <si>
    <t>903</t>
  </si>
  <si>
    <t>10.1177/10963480251391278</t>
  </si>
  <si>
    <t>http://dx.doi.org/10.1177/10963480251391278</t>
  </si>
  <si>
    <t>KR2UF</t>
  </si>
  <si>
    <t>WOS:001616451900001</t>
  </si>
  <si>
    <t>Munisankar, SR; Thiyagaraj, A</t>
  </si>
  <si>
    <t>Non-small cell lung cancer (NSCLC) contains rare cancer stem cells (CSCs) that contribute to relapse and drug resistance. Bulk RNA-seq overlooks these cells due to its averaging of expression across all cell types, whereas standard single-cell RNA-seq (scRNA-seq) analyses often struggle to reliably identify these rare CSC states. To address this, we developed an scRNA-seq pipeline that integrates machine learning with explainable AI (XAI) to detect CSC-like epithelial cells in NSCLC (GSE198099, n = 2 patients; analyses supported by effect size-based validation despite limited statistical power). Patient-derived scRNA-seq profiles underwent quality control and batch correction using scVI, and annotated using CellTypist. A 45-gene stemness score was used to identify candidate CSC-like states. Four machine learning models (Logistic Regression, LightGBM, XGBoost, and CatBoost) were trained to refine the CSC-like state identification. SHAP-based feature attribution analyses converged on six key biomarkers: DLL1, ITGA6, ATXN2, NOTCH1, DCLK1, and PUM1. These biomarkers are involved in regulating transcription, adhesion, cytoskeletal dynamics, and post-transcriptional control. Pathway analysis and validation using TCGA validation data provided supportive evidence for the biological relevance of these biomarkers. This framework provides a methodologically reproducible approach to reveal rare CSC-like states with improved mechanistic clarity, providing candidate biomarkers for studying NSCLC tumor plasticity.</t>
  </si>
  <si>
    <t>Munisankar, SharathKumar R.; Thiyagaraj, Anand</t>
  </si>
  <si>
    <t>Thiyagaraj, A (corresponding author), SRM Inst Sci &amp; Technol, Coll Engn &amp; Technol, Dept Genet Engn, Kattankulathur 603203, Tamil Nadu, India.</t>
  </si>
  <si>
    <t>anandt@srmist.edu.in; sr6338@srmist.edu.in</t>
  </si>
  <si>
    <t>Selective Excellence Research Initiative (SERI), SRM Institute of Science and Technology [SRMIST/R/AR(A)/SERI2024/174/35]</t>
  </si>
  <si>
    <t>Selective Excellence Research Initiative (SERI), SRM Institute of Science and Technology</t>
  </si>
  <si>
    <t>This study was funded by the Selective Excellence Research Initiative (SERI), SRM Institute of Science and Technology, under the Seed Project grant number SRMIST/R/AR(A)/SERI2024/174/35.</t>
  </si>
  <si>
    <t>[Munisankar, SharathKumar R.; Thiyagaraj, Anand] SRM Inst Sci &amp; Technol, Coll Engn &amp; Technol, Dept Genet Engn, Kattankulathur 603203, Tamil Nadu, India</t>
  </si>
  <si>
    <t>An integrated single-cell transcriptomics and explainable AI approach for cancer stemness biomarker discovery in non-small cell lung cancer</t>
  </si>
  <si>
    <t>Single-cell RNA sequencing; CSCs; ScVI; Machine learning; Biomarker discovery</t>
  </si>
  <si>
    <t>T, Anand/GRS-9025-2022</t>
  </si>
  <si>
    <t>109086</t>
  </si>
  <si>
    <t>10.1016/j.compbiolchem.2026.109086</t>
  </si>
  <si>
    <t>http://dx.doi.org/10.1016/j.compbiolchem.2026.109086</t>
  </si>
  <si>
    <t>HQ0AA</t>
  </si>
  <si>
    <t>42066389</t>
  </si>
  <si>
    <t>WOS:001759939200001</t>
  </si>
  <si>
    <t>Bo, W; Ali, DA; Duraipandi, O</t>
  </si>
  <si>
    <t>Purpose: Artificial intelligence (AI) is rapidly transforming medical education through innovative methods in instruction, assessment, and simulation. This study systematically analyzes global research trends and thematic developments in AI applications within medical education. Methods: A total of 732 English-language articles were identified in the Scopus database prior to April 10, 2025, using the keywords "medical education" and "artificial intelligence" within titles, abstracts, or keywords. Bibliometric analysis was conducted using VOSviewer to investigate publication trends, keyword co-occurrence, and citation coupling, complemented by cluster-based content analysis. Additional analyses included publication characteristics, regional distribution, author collaboration, and the evolution of core topics. Results: Publication output increased markedly after 2018, reaching a peak in 2024. The United States, China, and the United Kingdom were leaders in research volume, while smaller nations such as Ireland and Singapore exhibited high citation impact. Author analysis demonstrated robust collaboration networks and a growing trend of interdisciplinary engagement. Keyword clustering revealed four primary themes: AI-driven simulation and training, intelligent assessment systems, personalized learning environments, and ethical and pedagogical considerations. The average year of keyword publication (2023-2024) underscores the recent acceleration of the field, particularly in generative AI and large language models. Conclusion: The integration of AI in medical education is accelerating, characterized by thematic diversification and broader global participation. This study provides a comprehensive overview of the field's intellectual landscape and highlights critical areas for future advancement, including curriculum reform, faculty development, and responsible AI integration to optimize educational outcomes and learner preparedness.</t>
  </si>
  <si>
    <t>Bo, Wang; Ali, Dhakir Abbas; Duraipandi, Oyyappan</t>
  </si>
  <si>
    <t>Duraipandi, O (corresponding author), Lincoln Univ Coll, Sch Business &amp; Accountancy, Selangor, Malaysia.</t>
  </si>
  <si>
    <t>wangbo_0902@163.com</t>
  </si>
  <si>
    <t>[Bo, Wang; Ali, Dhakir Abbas; Duraipandi, Oyyappan] Lincoln Univ Coll, Sch Business &amp; Accountancy, Selangor, Malaysia</t>
  </si>
  <si>
    <t>Lincoln University College</t>
  </si>
  <si>
    <t>Global research trends and thematic developments in artificial intelligence applications in medical education: a bibliometric study</t>
  </si>
  <si>
    <t>SCIENCE EDITING</t>
  </si>
  <si>
    <t>Artificial intelligence; Bibliometrics; Curriculum; Faculty; Language</t>
  </si>
  <si>
    <t>DURAIPANDI, OYYAPPAN/0000-0001-6076-0720</t>
  </si>
  <si>
    <t>KOREAN COUNCIL SCIENCE EDITORS</t>
  </si>
  <si>
    <t>KOREA SCIENCE &amp; TECHNOLOGY CENTER 2ND FL, 22 TEHERAN-RO 7-GIL, GANGNAM-GU, SEOUL, 06130, SOUTH KOREA</t>
  </si>
  <si>
    <t>2288-7474</t>
  </si>
  <si>
    <t>2288-8063</t>
  </si>
  <si>
    <t>SCI EDIT</t>
  </si>
  <si>
    <t>Sci. Ed.</t>
  </si>
  <si>
    <t>10.6087/kcse.373</t>
  </si>
  <si>
    <t>http://dx.doi.org/10.6087/kcse.373</t>
  </si>
  <si>
    <t>Communication</t>
  </si>
  <si>
    <t>6GT0A</t>
  </si>
  <si>
    <t>WOS:001552965000009</t>
  </si>
  <si>
    <t>Ruttenberg, D</t>
  </si>
  <si>
    <t>Digital mental health is undergoing rapid transformation through the deployment of artificial intelligence (AI) systems including conversational agents, risk-prediction tools, and clinical decision-support platforms. Despite growing enthusiasm, the field has yet to converge on an operational standard for what constitutes honest, trustworthy AI in psychiatric and psychological contexts-one that explicitly accounts for the limits, blind spots, and populations for whom deployed systems have not been validated. This Perspective draws on Richard Feynman's foundational principle of scientific integrity-articulated in his 1,974 Caltech commencement address, "Cargo Cult Science"-and Carl Sagan's dimensional metaphors to develop a practical, disclosure-oriented ethical framework for AI in digital mental health. The neurodiversity paradigm provides a critical stress test: growing empirical evidence indicates that AI tools trained on narrow behavioural and linguistic norms carry substantial risk of misrepresenting neurodivergent users, with the potential to silently re-encode stigma, misclassification, and inequity into clinical systems. Drawing on predictive processing theory and recent empirical evidence of AI bias against neurodivergent populations, this work proposes five criteria for the Feynman Honesty Standard: scope clarity, population-limit disclosure, uncertainty communication, role integrity, and participatory co-development. The analysis concludes with a forward-looking research agenda for clinicians, developers, and policymakers, arguing that the field will be judged not only by algorithmic performance but by its candour about what these systems know, miss, and cannot do.</t>
  </si>
  <si>
    <t>Ruttenberg, David</t>
  </si>
  <si>
    <t>Ruttenberg, D (corresponding author), Univ Coll London UCL, Inst Educ, London, England.</t>
  </si>
  <si>
    <t>d.ruttenberg@ucl.ac.uk</t>
  </si>
  <si>
    <t>[Ruttenberg, David] Univ Coll London UCL, Inst Educ, London, England</t>
  </si>
  <si>
    <t>University of London; University College London; UCL Institute of Education</t>
  </si>
  <si>
    <t>You must not fool yourself: Feynman, neurodiversity, and honest AI in digital mental health</t>
  </si>
  <si>
    <t>AI ethics; artificial intelligence; cognitive diversity; digital mental health; Feynman; honesty; neurodiversity; predictive processing</t>
  </si>
  <si>
    <t>Ruttenberg, David/AAV-9720-2020</t>
  </si>
  <si>
    <t>JUL 14 2026</t>
  </si>
  <si>
    <t>1819411</t>
  </si>
  <si>
    <t>10.3389/fdgth.2026.1819411</t>
  </si>
  <si>
    <t>http://dx.doi.org/10.3389/fdgth.2026.1819411</t>
  </si>
  <si>
    <t>LT2GY</t>
  </si>
  <si>
    <t>42523862</t>
  </si>
  <si>
    <t>WOS:001832664200001</t>
  </si>
  <si>
    <t>Ukalovic, D; Leeb, BF; Rintelen, B; Eichbauer-Sturm, G; Spellitz, P; Puchner, R; Herold, M; Stetter, M; Ferincz, V; Resch-Passini, J; Zwerina, J; Zimmermann-Rittereiser, M; Fritsch-Stork, R</t>
  </si>
  <si>
    <t>ObjectivesMachine learning models can support an individualized approach in the choice of bDMARDs. We developed prediction models for 5 different bDMARDs using machine learning methods based on patient data derived from the Austrian Biologics Registry (BioReg).MethodsData from 1397 patients and 19 variables with at least 100 treat-to-target (t2t) courses per drug were derived from the BioReg biologics registry. Different machine learning algorithms were trained to predict the risk of ineffectiveness for each bDMARD within the first 26 weeks. Cross-validation and hyperparameter optimization were applied to generate the best models. Model quality was assessed by area under the receiver operating characteristic (AUROC). Using explainable AI (XAI), risk-reducing and risk-increasing factors were extracted.ResultsThe best models per drug achieved an AUROC score of the following: abatacept, 0.66 (95% CI, 0.54-0.78); adalimumab, 0.70 (95% CI, 0.68-0.74); certolizumab, 0.84 (95% CI, 0.79-0.89); etanercept, 0.68 (95% CI, 0.55-0.87); tocilizumab, 0.72 (95% CI, 0.69-0.77).The most risk-increasing variables were visual analytic scores (VAS) for abatacept and etanercept and co-therapy with glucocorticoids for adalimumab. Dosage was the most important variable for certolizumab and associated with a lower risk of non-response. Some variables, such as gender and rheumatoid factor (RF), showed opposite impacts depending on the bDMARD.ResultsThe best models per drug achieved an AUROC score of the following: abatacept, 0.66 (95% CI, 0.54-0.78); adalimumab, 0.70 (95% CI, 0.68-0.74); certolizumab, 0.84 (95% CI, 0.79-0.89); etanercept, 0.68 (95% CI, 0.55-0.87); tocilizumab, 0.72 (95% CI, 0.69-0.77).The most risk-increasing variables were visual analytic scores (VAS) for abatacept and etanercept and co-therapy with glucocorticoids for adalimumab. Dosage was the most important variable for certolizumab and associated with a lower risk of non-response. Some variables, such as gender and rheumatoid factor (RF), showed opposite impacts depending on the bDMARD.ConclusionIneffectiveness of biological drugs could be predicted with promising accuracy. Interestingly, individual parameters were found to be associated with drug responses in different directions, indicating highly complex interactions. Machine learning can be of help in the decision-process by disentangling these relations.</t>
  </si>
  <si>
    <t>Ukalovic, Dubravka; Leeb, Burkhard F.; Rintelen, Bernhard; Eichbauer-Sturm, Gabriela; Spellitz, Peter; Puchner, Rudolf; Herold, Manfred; Stetter, Miriam; Ferincz, Vera; Resch-Passini, Johannes; Zwerina, Jochen; Zimmermann-Rittereiser, Marcus; Fritsch-Stork, Ruth</t>
  </si>
  <si>
    <t>Ukalovic, D (corresponding author), Siemens Healthcare GmbH, Computed Tomog, Forchheim, Germany.</t>
  </si>
  <si>
    <t>dubravka.ukalovic@siemens-healthineers.com</t>
  </si>
  <si>
    <t>Siemens Healthineers</t>
  </si>
  <si>
    <t>This research was funded by Siemens Healthineers.</t>
  </si>
  <si>
    <t>[Ukalovic, Dubravka] Siemens Healthcare GmbH, Computed Tomog, Forchheim, Germany; [Leeb, Burkhard F.] Private Off, Rheumatol Practice, Hollabrunn, Austria; [Rintelen, Bernhard] Lower Austrian State Hosp Weinviertel Stockerau, Lower Austrian Ctr Rheumatol, Dept Internal Med 2, Stockerau, Austria; [Eichbauer-Sturm, Gabriela] Private Off, Rheumatol Practice, Linz, Austria; [Spellitz, Peter; Resch-Passini, Johannes] Rheuma Ctr Wien Oberlaa, Dept Rheumatol, Vienna, Austria; [Puchner, Rudolf] Private Off, Rheumatol Practice, Wels, Austria; [Herold, Manfred] Med Univ Innsbruck, Dept Internal Med 2, Innsbruck, Austria; [Stetter, Miriam] Private Off, Rheumatol Practice, Amstetten, Austria; [Ferincz, Vera] Univ Hosp St Polten, Dept Internal Med, St Polten, Austria; [Zwerina, Jochen] Hanusch Hosp, Vienna, Austria; [Zwerina, Jochen] Ludwig Boltzmann Inst Osteol, Vienna, Austria; [Zimmermann-Rittereiser, Marcus] Siemens Healthcare GmbH, Digital &amp; Automat, Erlangen, Germany; [Fritsch-Stork, Ruth] Hlth Care Ctr Mariahilf OGK, Vienna, Austria; [Fritsch-Stork, Ruth] Biol Registry BioReg, Stockerau, Austria; [Fritsch-Stork, Ruth] Sigmund Freud Private Univ Vienna, Med Fac, Vienna, Austria</t>
  </si>
  <si>
    <t>Siemens AG; Siemens Germany; Medical University of Innsbruck; WGKK - Hanusch Hospital; Ludwig Boltzmann Institute; Ludwig Boltzmann Institute for Osteology; Siemens AG</t>
  </si>
  <si>
    <t>Prediction of ineffectiveness of biological drugs using machine learning and explainable AI methods: data from the Austrian Biological Registry BioReg</t>
  </si>
  <si>
    <t>ARTHRITIS RESEARCH &amp; THERAPY</t>
  </si>
  <si>
    <t>Rheumatoid arthritis; bDMARD; Machine learning; Routinely collected data; DMARDs</t>
  </si>
  <si>
    <t>RHEUMATOID-ARTHRITIS; NECROSIS-FACTOR; THERAPY; ASSOCIATION; ABATACEPT</t>
  </si>
  <si>
    <t>Fritsch-Stork, ruth/G-9702-2012; /AAD-9985-2020</t>
  </si>
  <si>
    <t>Fritsch-Stork, ruth/0000-0003-0217-3629; Ukalovic, Dubravka/0000-0002-5167-0931</t>
  </si>
  <si>
    <t>1478-6354</t>
  </si>
  <si>
    <t>1478-6362</t>
  </si>
  <si>
    <t>ARTHRITIS RES THER</t>
  </si>
  <si>
    <t>Arthritis Res. Ther.</t>
  </si>
  <si>
    <t>FEB 8 2024</t>
  </si>
  <si>
    <t>10.1186/s13075-024-03277-x</t>
  </si>
  <si>
    <t>http://dx.doi.org/10.1186/s13075-024-03277-x</t>
  </si>
  <si>
    <t>HI2S8</t>
  </si>
  <si>
    <t>38331930</t>
  </si>
  <si>
    <t>WOS:001158806400002</t>
  </si>
  <si>
    <t>Shahiratul, AK; Ummul, HM; Puteri, NEN</t>
  </si>
  <si>
    <t>Breast cancer remains the most common cancer among women globally highlighting the importance of early and reliable diagnostic methods. While previous studies have applied association rules mining (ARM) to explore factors contributing to breast cancer, many lacked robust validation of the extracted rules. To address this gap and deepen our understanding of the key biological markers linked to the disease, this study proposes a hybrid framework that integrates Class Association Rule Mining (CARM) with SHapley Additive exPlanations (SHAP) values based on Random Forest (RF) and Gradient Boost (GB) models to uncover and validate meaningful diagnostic patterns. Using the Breast Cancer Coimbra (BCC) dataset comprising 116 patient samples and nine biological markers, a total of 723,938 association rules (AR) were generated with 17,720 significant class association rules (CAR) were extracted. These rules were pruned using lift, leverage and conviction to retain the most relevant ones. Among the healthy group, combinations involving low glucose, low insulin, low resistin and low Homeostatic Model Assessment (HOMA) were consistently observed, while high BMI appeared particularly among younger individuals. These features were associated with negative SHAP values validating their contribution to healthy classifications. In contrast, common patterns such as high glucose, medium resistin and medium Monocyte Chemoattractant Protein-1 (MCP.1) among middle aged individuals highlighting their influence in predicting patient classification. These features consistently showed strong positive SHAP values across both classifiers highlighting their influence in predicting patient outcomes. By combining rule extraction of CARM with feature contribution using SHAP, this study provides a validated and interpretable approach for breast cancer diagnosis. The findings highlight the importance of feature interactions and offer promising directions for personalized risk assessment and early detection.</t>
  </si>
  <si>
    <t>Shahiratul, A. Karim; Ummul, H. Mohamad; Puteri, N. E. Nohuddin</t>
  </si>
  <si>
    <t>Shahiratul, AK (corresponding author), Univ Kebangsaan Malaysia, Inst Visual Informat, Bangunan Akad Siber Teknopolis, Bangi 43600, Malaysia.</t>
  </si>
  <si>
    <t>p105766@siswa.ukm.edu.my</t>
  </si>
  <si>
    <t>Universiti Kebangsaan Malaysia [TAP-K021917]</t>
  </si>
  <si>
    <t>The research is supported by Universiti Kebangsaan Malaysia through grant no. TAP-K021917. High appreciation goes to the above sponsor.</t>
  </si>
  <si>
    <t>[Shahiratul, A. Karim; Ummul, H. Mohamad; Puteri, N. E. Nohuddin] Univ Kebangsaan Malaysia, Inst Visual Informat, Bangunan Akad Siber Teknopolis, Bangi 43600, Malaysia; [Ummul, H. Mohamad; Puteri, N. E. Nohuddin] Univ Kebangsaan Malaysia, IAI UKM Res Grp, Bangi 43600, Selangor, Malaysia</t>
  </si>
  <si>
    <t>Universiti Kebangsaan Malaysia; Universiti Kebangsaan Malaysia</t>
  </si>
  <si>
    <t>Discovery of Interpretable Patterns of Breast Cancer Diagnosis via Class Association Rule Mining (CARM) With SHAP-Based Explainable AI (XAI)</t>
  </si>
  <si>
    <t>MALAYSIAN JOURNAL OF FUNDAMENTAL AND APPLIED SCIENCES</t>
  </si>
  <si>
    <t>Breast cancer; class association rule; pattern discovery; SHAP; XAI model</t>
  </si>
  <si>
    <t>Abd Karim, Shahiratul Amalina/IWU-4343-2023</t>
  </si>
  <si>
    <t>Abd Karim, Shahiratul Amalina/0009-0007-7647-835X</t>
  </si>
  <si>
    <t>PENERBIT UTM PRESS</t>
  </si>
  <si>
    <t>JOHOR</t>
  </si>
  <si>
    <t>PENERBIT UTM PRESS, SKUDAI, JOHOR, 81310, MALAYSIA</t>
  </si>
  <si>
    <t>2289-5981</t>
  </si>
  <si>
    <t>2289-599X</t>
  </si>
  <si>
    <t>MALAYS J FUNDAM APPL</t>
  </si>
  <si>
    <t>Malays. J. Fundam. Appl. Sci.</t>
  </si>
  <si>
    <t>2008</t>
  </si>
  <si>
    <t>2031</t>
  </si>
  <si>
    <t>10.11113/mjfas.v21n3.3792</t>
  </si>
  <si>
    <t>http://dx.doi.org/10.11113/mjfas.v21n3.3792</t>
  </si>
  <si>
    <t>3YL6P</t>
  </si>
  <si>
    <t>WOS:001512009100006</t>
  </si>
  <si>
    <t>Guo, LY; Tao, WY</t>
  </si>
  <si>
    <t>Dysarthria in Parkinson's disease (PD) is a crucial early biomarker. While advanced deep learning models achieve high diagnostic accuracy, their large size and 'black-box' nature hinder clinical adoption on portable devices. This study proposes a novel interpretable lightweight framework for PD diagnosis via multi-task knowledge distillation. We first train a high capacity 'teacher' model (a deep FCNN) and transfer its knowledge to compact 'student' models using a composite loss function that distills output logits, feature representations, and attention. Experiments on a public dataset of 674 voice samples with 41 acoustic features rigorously compare our distilled models against nine traditional ML models and modern deep architectures. Results show: 1) The teacher model attains 90.6% accuracy, competitive with top traditional classifiers (e.g. KNN: 91.8%) and a state of the art deep model (93.0%). 2) The 3 layer student model achieves 13.2x parameter compression while preserving 97% of teacher accuracy (88.7% vs. 90.6%). 3) The 2 layer student reaches 70x compression, ideal for edge deployment. 4) Noise robustness tests confirm graceful performance degradation. 5) SHAP interpretability analysis shows the student retains the teacher's feature importance ranking (Kendall's tau = 0.82), validating clinical reasoning transfer. This work provides a practical framework for building efficient, accurate, and trustworthy AI tools for early PD screening.</t>
  </si>
  <si>
    <t>Guo, Leiyong; Tao, Weiye</t>
  </si>
  <si>
    <t>Tao, WY (corresponding author), Guangdong Pharmaceut Univ, Sch Med Informat Engn, Guangzhou 510006, Guangdong, Peoples R China.</t>
  </si>
  <si>
    <t>taoweiye@gdpu.edu.cn</t>
  </si>
  <si>
    <t>the Guangdong Medical Research Fund Project [A2024090 and B2025055]</t>
  </si>
  <si>
    <t>the Guangdong Medical Research Fund Project</t>
  </si>
  <si>
    <t>This work was supported by the Guangdong Medical Research Fund Project A2024090 and B2025055.</t>
  </si>
  <si>
    <t>[Guo, Leiyong; Tao, Weiye] Guangdong Pharmaceut Univ, Sch Med Informat Engn, Guangzhou 510006, Guangdong, Peoples R China</t>
  </si>
  <si>
    <t>Guangdong Pharmaceutical University</t>
  </si>
  <si>
    <t>Voice-based Parkinson's disease detection: a clinically validated lightweight framework via multi-task knowledge distillation</t>
  </si>
  <si>
    <t>COMPUTER METHODS IN BIOMECHANICS AND BIOMEDICAL ENGINEERING-IMAGING AND VISUALIZATION</t>
  </si>
  <si>
    <t>Parkinson's disease; dysarthria; knowledge distillation; lightweight model; fully connected neural network (FCNN); interpretability; speech signal processing; early auxiliary diagnosis</t>
  </si>
  <si>
    <t>2168-1163</t>
  </si>
  <si>
    <t>2168-1171</t>
  </si>
  <si>
    <t>COMP M BIO BIO E-IV</t>
  </si>
  <si>
    <t>Comp. Meth. Biomech. Biomed. Eng.</t>
  </si>
  <si>
    <t>2664023</t>
  </si>
  <si>
    <t>10.1080/21681163.2026.2664023</t>
  </si>
  <si>
    <t>http://dx.doi.org/10.1080/21681163.2026.2664023</t>
  </si>
  <si>
    <t>HW4QS</t>
  </si>
  <si>
    <t>WOS:001764323900001</t>
  </si>
  <si>
    <t>Hashiguchi, TCO; Oderkirk, J; Slawomirski, L</t>
  </si>
  <si>
    <t>Objectives: This study aimed to showcase the potential and key concerns and risks of artificial intelligence (AI) in the health sector, illustrating its application with current examples, and to provide policy guidance for the development, assessment, and adoption of AI technologies to advance policy objectives.Methods: Nonsystematic scan and analysis of peer-reviewed and gray literature on AI in the health sector, focusing on key insights for policy and governance.Results: The application of AI in the health sector is currently in the early stages. Most applications have not been scaled beyond the research setting. The use in real-world clinical settings is especially nascent, with more evidence in public health, biomedical research, and "back office" administration. Deploying AI in the health sector carries risks and hazards that must be managed proactively by policy makers. For AI to produce positive health and policy outcomes, 5 key areas for policy are proposed, including health data governance, operationalizing AI principles, flexible regulation, skills among health workers and patients, and strategic public investment.Conclusions: AI is not a panacea, but a tool to address specific problems. Its successful development and adoption require data governance that ensures high-quality data are available and secure; relevant actors can access technical infrastructure and resources; regulatory frameworks promote trustworthy AI products; and health workers and patients have the information and skills to use AI products and services safely, effectively, and efficiently. All of this requires considerable investment and international collaboration.</t>
  </si>
  <si>
    <t>Hashiguchi, Tiago Cravo Oliveira; Oderkirk, Jillian; Slawomirski, Luke</t>
  </si>
  <si>
    <t>Hashiguchi, TCO (corresponding author), Org Econ Cooperat &amp; Dev, Directorate Employment Labour &amp; Social Affairs, 2 Rue Andre Pascal, F-75016 Paris, France.</t>
  </si>
  <si>
    <t>tiago.cravooliveirahashiguchi@oecd.org</t>
  </si>
  <si>
    <t>[Hashiguchi, Tiago Cravo Oliveira; Oderkirk, Jillian; Slawomirski, Luke] Org Econ Cooperat &amp; Dev, Directorate Employment Labour &amp; Social Affairs, 2 Rue Andre Pascal, F-75016 Paris, France</t>
  </si>
  <si>
    <t>Organisation for Economic Co-operation &amp; Development (OECD)</t>
  </si>
  <si>
    <t>Fulfilling the Promise of Artificial Intelligence in the Health Sector: Let's Get Real</t>
  </si>
  <si>
    <t>VALUE IN HEALTH</t>
  </si>
  <si>
    <t>artificial intelligence; governance; machine learning; policy</t>
  </si>
  <si>
    <t>1098-3015</t>
  </si>
  <si>
    <t>1524-4733</t>
  </si>
  <si>
    <t>VALUE HEALTH</t>
  </si>
  <si>
    <t>Value Health</t>
  </si>
  <si>
    <t>373</t>
  </si>
  <si>
    <t>10.1016/j.jval.2021.11.1369</t>
  </si>
  <si>
    <t>http://dx.doi.org/10.1016/j.jval.2021.11.1369</t>
  </si>
  <si>
    <t>Economics; Health Care Sciences &amp; Services; Health Policy &amp; Services</t>
  </si>
  <si>
    <t>Business &amp; Economics; Health Care Sciences &amp; Services</t>
  </si>
  <si>
    <t>1D0QP</t>
  </si>
  <si>
    <t>35227447</t>
  </si>
  <si>
    <t>WOS:000793515100005</t>
  </si>
  <si>
    <t>Nicora, G; Catalano, M; Bortolotto, C; Achilli, MF; Messana, G; Lo Tito, A; Consonni, A; Cutti, S; Comotto, F; Stella, GM; Corsico, A; Perlini, S; Bellazzi, R; Bruno, R; Preda, L</t>
  </si>
  <si>
    <t>Artificial Intelligence (AI) and Machine Learning (ML) approaches that could learn from large data sources have been identified as useful tools to support clinicians in their decisional process; AI and ML implementations have had a rapid acceleration during the recent COVID-19 pandemic. However, many ML classifiers are "black box" to the final user, since their underlying reasoning process is often obscure. Additionally, the performance of such models suffers from poor generalization ability in the presence of dataset shifts. Here, we present a comparison between an explainable-by-design ("white box") model (Bayesian Network (BN)) versus a black box model (Random Forest), both studied with the aim of supporting clinicians of Policlinico San Matteo University Hospital in Pavia (Italy) during the triage of COVID-19 patients. Our aim is to evaluate whether the BN predictive performances are comparable with those of a widely used but less explainable ML model such as Random Forest and to test the generalization ability of the ML models across different waves of the pandemic.</t>
  </si>
  <si>
    <t>Nicora, Giovanna; Catalano, Michele; Bortolotto, Chandra; Achilli, Marina Francesca; Messana, Gaia; Lo Tito, Antonio; Consonni, Alessio; Cutti, Sara; Comotto, Federico; Stella, Giulia Maria; Corsico, Angelo; Perlini, Stefano; Bellazzi, Riccardo; Bruno, Raffaele; Preda, Lorenzo</t>
  </si>
  <si>
    <t>Bortolotto, C (corresponding author), Univ Pavia, Dept Clin Surg Diagnost &amp; Pediat Sci, Diagnost Imaging &amp; Radiotherapy Unit, I-27100 Pavia, Italy.; Bortolotto, C (corresponding author), Fdn IRCCS Policlin San Matteo, Radiol Inst, I-27100 Pavia, Italy.</t>
  </si>
  <si>
    <t>antonio.lotito01@universitadipavia.it; giuliamaria.stella@unipv.it; stefano.perlini@unipv.it; raffaele.bruno@unipv.it; angelo.corsico@unipv.it; s.cutti@smatteo.pv.it; riccardo.bellazzi@unipv.it; chandra.bortolotto@unipv.it; lorenzo.preda@unipv.it; giovanna.nicora@unipv.it; michele.catalano01@universitadipavia.it; marinafrancesc.achilli01@universitadipavia.it; gaia.messana01@universitadipavia.it; alessio.consonni01@universitadipavia.it; f.comotto@reply.it</t>
  </si>
  <si>
    <t>Regione Lombardia with "misura ricerca COVID19-LINEA2"</t>
  </si>
  <si>
    <t>Regione Lombardia with "misura ricerca COVID19-LINEA2" (Regione Lombardia)</t>
  </si>
  <si>
    <t>[Nicora, Giovanna; Bellazzi, Riccardo] Univ Pavia, Dept Elect Comp &amp; Biomed Engn, I-27100 Pavia, Italy; [Catalano, Michele; Bortolotto, Chandra; Achilli, Marina Francesca; Messana, Gaia; Lo Tito, Antonio; Consonni, Alessio; Preda, Lorenzo] Univ Pavia, Dept Clin Surg Diagnost &amp; Pediat Sci, Diagnost Imaging &amp; Radiotherapy Unit, I-27100 Pavia, Italy; [Bortolotto, Chandra; Preda, Lorenzo] Fdn IRCCS Policlin San Matteo, Radiol Inst, I-27100 Pavia, Italy; [Cutti, Sara] Fdn IRCCS Policlin San Matteo, Med Direct, I-27100 Pavia, Italy; [Comotto, Federico] Reply SpA, Corso Francia 110, I-10143 Turin, Italy; [Stella, Giulia Maria; Corsico, Angelo; Perlini, Stefano] Univ Pavia, Dept Internal Med &amp; Therapeut, I-27100 Pavia, Italy; [Stella, Giulia Maria; Corsico, Angelo] Fdn IRCCS Policlin San Matteo, Unit Resp Dis, I-27100 Pavia, Italy; [Perlini, Stefano] Fdn IRCCS Policlin San Matteo, Dept Emergency, I-27100 Pavia, Italy; [Bruno, Raffaele] Univ Pavia, Dept Clin Surg Diagnost &amp; Pediat Sci, I-27100 Pavia, Italy; [Bruno, Raffaele] Fdn IRCCS Policlin San Matteo, Unit Infect Dis, I-27100 Pavia, Italy</t>
  </si>
  <si>
    <t>University of Pavia; University of Pavia; IRCCS Fondazione San Matteo; IRCCS Fondazione San Matteo; University of Pavia; IRCCS Fondazione San Matteo; IRCCS Fondazione San Matteo; University of Pavia; IRCCS Fondazione San Matteo</t>
  </si>
  <si>
    <t>Bayesian Networks in the Management of Hospital Admissions: A Comparison between Explainable AI and Black Box AI during the Pandemic</t>
  </si>
  <si>
    <t>artificial intelligence; explainability; machine learning; Random Forest; Bayesian Networks; COVID-19</t>
  </si>
  <si>
    <t>RANDOM FOREST; CLASSIFICATION</t>
  </si>
  <si>
    <t>CATALANO, MICHELE/KFB-7508-2024; Corsico, Angelo Guido/AAC-8138-2019; Bruno, Raffaele/AAB-9491-2022; Stella, Giulia Maria/AAC-8121-2019; Bortolotto, Chandra/AAC-1868-2019; Perlini, Stefano/E-2670-2012; PREDA, LORENZO/AAC-1969-2019</t>
  </si>
  <si>
    <t>CATALANO, MICHELE/0000-0002-0379-4665; Corsico, Angelo Guido/0000-0002-8716-4694; Bruno, Raffaele/0000-0002-0235-9207; Stella, Giulia Maria/0000-0003-0929-4394; Bortolotto, Chandra/0000-0002-9193-9309; Perlini, Stefano/0000-0002-0320-8574; Messana, Gaia/0000-0002-3212-5305; PREDA, LORENZO/0000-0002-5479-2766</t>
  </si>
  <si>
    <t>10.3390/jimaging10050117</t>
  </si>
  <si>
    <t>http://dx.doi.org/10.3390/jimaging10050117</t>
  </si>
  <si>
    <t>SF2D6</t>
  </si>
  <si>
    <t>38786571</t>
  </si>
  <si>
    <t>WOS:001232968400001</t>
  </si>
  <si>
    <t>AbdelRaouf, H; Hasnaine, QR; Fouda, MM; Fadlullah, ZM; Ibrahem, MI</t>
  </si>
  <si>
    <t>The rapid evolution of beyond fifth-generation (B5G) and sixth-generation (6G) networks is reshaping mobile edge computing (MEC) to support large-scale, heterogeneous Internet of Things (IoT) deployments and complex cyber-physical systems (CPSs). Conventional data-driven intelligence in MEC traditionally relies on centralized learning paradigms that often fail to meet the privacy, latency, scalability, and adaptability requirements in distributed and resource-constrained environments. To address these shortcomings, the objective of our work in this article is to investigate the paradigm shift toward distributed learning and demonstrate how its co-design with emerging communication and system-level technologies can enable scalable and trustworthy intelligence for next-generation IoT and CPS. Building on this objective, we conduct a systematic survey of recent studies and analyze 12 key enabling technologies, including concept drift adaptation, transformers, TinyML, blockchain, integrated sensing and communication (ISAC), digital twins, explainable AI (XAI), federated learning (FL) and unlearning, adversarial ML (AdvML), meta-learning, and multiarmed bandits (MABs). The surveyed literature is organized using a unified taxonomy and an integrated conceptual pipeline, which clarifies how these enablers interact across sensing, communication, computation, trust, and adaptation layers of IoT and CPSs. The main outcomes of this study include: 1) a comprehensive taxonomy characterizing enabling technologies for distributed edge intelligence; 2) a comparative synthesis of representative works highlighting common architectural patterns and evaluation practices; and 3) the identification of research gaps, critical tradeoffs, and open challenges, particularly related to model robustness, energy efficiency, data heterogeneity, and secure real-time inference. Overall, this survey establishes a structured foundation and forward-looking roadmap for designing scalable, privacy-preserving, and intelligent distributed learning systems in future B5G- and 6G-enabled IoT and CPS environments.</t>
  </si>
  <si>
    <t>AbdelRaouf, Hussien; Hasnaine, Quazi Rian; Fouda, Mostafa M.; Fadlullah, Zubair Md; Ibrahem, Mohamed I.</t>
  </si>
  <si>
    <t>Ibrahem, MI (corresponding author), Benha Univ, Fac Engn Shoubra, Dept Elect Engn, Cairo 11672, Egypt.</t>
  </si>
  <si>
    <t>mfouda@ieee.org; quazirianhasnaine@isu.edu; zfadlullah@ieee.org; mibrahem@augusta.edu; hkhaled@augusta.edu</t>
  </si>
  <si>
    <t>[AbdelRaouf, Hussien; Ibrahem, Mohamed I.] Augusta Univ, Dept Cyber Syst Engn, Augusta, GA USA; [Hasnaine, Quazi Rian; Fouda, Mostafa M.] Idaho State Univ, Dept Elect &amp; Comp Engn, Pocatello, ID 83209 USA; [Fouda, Mostafa M.] Tohoku Univ, Grad Sch Informat Sci, Sendai, Miyagi 9808579, Japan; [Fadlullah, Zubair Md] Western Univ, Dept Comp Sci, London, ON N6G 2V4, Canada; [Ibrahem, Mohamed I.] Benha Univ, Fac Engn Shoubra, Dept Elect Engn, Cairo 11672, Egypt</t>
  </si>
  <si>
    <t>University System of Georgia; Augusta University; Idaho State University; Tohoku University; Western University (University of Western Ontario); Egyptian Knowledge Bank (EKB); Benha University</t>
  </si>
  <si>
    <t>Paradigm Shift Toward Distributed Learning in IoT Intelligence: A Comprehensive Survey of Opportunities and Challenges</t>
  </si>
  <si>
    <t>Artificial intelligence; Surveys; Distance learning; Computer aided instruction; Adaptation models; Medical services; Tiny machine learning; Security; Federated learning; Data models; Adaptive and trustworthy artificial intelligence (AI); beyond fifth-generation (B5G)/sixth-generation (6G) networks; cyber-physical system (CPS); distributed learning; edge intelligence; Internet of Things (IoT)</t>
  </si>
  <si>
    <t>BLOCKCHAIN; TECHNOLOGY; SYSTEMS</t>
  </si>
  <si>
    <t>Ibrahem, Mohamed/V-9994-2019; Fadlullah, Zubair/HPH-8012-2023; Fouda, Mostafa/G-7324-2012</t>
  </si>
  <si>
    <t>20128</t>
  </si>
  <si>
    <t>20154</t>
  </si>
  <si>
    <t>10.1109/JIOT.2026.3657733</t>
  </si>
  <si>
    <t>http://dx.doi.org/10.1109/JIOT.2026.3657733</t>
  </si>
  <si>
    <t>HQ6SI</t>
  </si>
  <si>
    <t>WOS:001760393300040</t>
  </si>
  <si>
    <t>Ramadan, B; Liu, MC; Burkhart, MC; Parker, WF; Beaulieu-Jones, BK</t>
  </si>
  <si>
    <t>QuestionAre International Classification of Diseases (ICD) diagnostic codes, which are only finalized after hospital discharge, associated with inflated performance of artificial intelligence (AI) health care prediction models?FindingsIn this prognostic study of 180 640 patients, 40.2% of published AI models trained to predict same-admission outcomes used ICD codes as features. Prediction models for inpatient mortality trained on ICD codes predicted in-hospital mortality with high accuracy, with the most important codes (eg, brain death, encounter for palliative care) not available in time for clinically useful mortality prediction.MeaningThese findings suggest that to ensure that AI prediction models are both reliable and clinically deployable, greater diligence is needed in identifying and preventing label leakage.This prognostic study investigates whether artificial intelligence (AI) prediction models for in-hospital mortality using International Classification of Diseases diagnostic codes are associated with inflated performance metrics via label leakage.ImportanceArtificial intelligence models that predict same-admission outcomes for hospitalized patients, such as inpatient mortality, often rely on International Classification of Diseases (ICD) diagnostic codes, even when these codes are not finalized until after discharge.ObjectiveTo investigate the extent to which the inclusion of ICD codes as features in predictive models are associated with inflated performance metrics via label leakage (eg, including the code for cardiac arrest into an inpatient mortality prediction model) and assess the prevalence and implications of this practice in existing literature.Design, Setting, and ParticipantsThis prognostic study examined publicly available, deidentified inpatient electronic health record data from the Medical Information Mart for Intensive Care IV (MIMIC-IV) database. Patients admitted to an intensive care unit or emergency department at Beth Israel Deaconess Medical Center between January 1, 2008, and December 31, 2019, were included. These data were analyzed between December 18, 2024, and January 14, 2025. A targeted literature review of same-admission prediction models using MIMIC with ICD codes as features was performed between November 20 and 27, 2024.Main Outcome and MeasuresUsing a standard training-validation-test split procedure, prediction models were developed for inpatient mortality (logistic regression, random forest, and XGBoost) using only ICD codes as features. Performance in the test set was analyzed using areas under the receiver operating curve and variable importance. Frequencies of studies using same-admission prediction models using MIMIC with ICD codes were calculated from the targeted literature review.ResultsThe study cohort consisted of 180 640 patients (mean [SD] age at admission, 58.7 [19.2] years; 53.0% female), of whom 8573 (4.7%) died during the admission. The models using ICD codes predicted in-hospital mortality with high performance in the test dataset, with areas under the receiver operating curve of 0.976 (95% CI, 0.973-0.980) (logistic regression), 0.971 (95% CI, 0.967-0.974) (random forest), and 0.973 (95% CI, 0.968-0.977) (XGBoost). The most important ICD codes were subdural hemorrhage (OR, 389.99; 95% CI, 28.79-5283.59), cardiac arrest (OR, 219.58; 95% CI, 159.61-302.08), brain death (OR, 112.78; 95% CI, 13.42-947.70), and encounter for palliative care (OR, 98.04; 95% CI, 83.16-115.58). The literature review found that 37 of 92 studies (40.2%) using MIMIC to predict same-admission outcomes included ICD codes as features, even though both MIMIC publications and documentation clearly state that ICD codes are derived after discharge.Conclusions and RelevanceThis prognostic study of the MIMIC-IV database suggests that using ICD codes as features in same-admission prediction models may be a severe methodological flaw associated with inflated performance metrics, rendering models incapable of clinically useful predictions. The literature review found that the practice is common. Addressing this challenge is essential for advancing trustworthy artificial intelligence in health care.</t>
  </si>
  <si>
    <t>Ramadan, Bashar; Liu, Ming-Chieh; Burkhart, Michael C.; Parker, William F.; Beaulieu-Jones, Brett K.</t>
  </si>
  <si>
    <t>Beaulieu-Jones, BK (corresponding author), Univ Chicago, Dept Biomed Informat, Div Biol Sci, 5841 S Maryland Ave,M607, Chicago, IL 60637 USA.</t>
  </si>
  <si>
    <t>beaulieujones@uchicago.edu</t>
  </si>
  <si>
    <t>National Institute of Neurological Disorders and Stroke of the National Institutes of Health [R00NS114850]</t>
  </si>
  <si>
    <t>National Institute of Neurological Disorders and Stroke of the National Institutes of Health (United States Department of Health &amp; Human Services, National Institutes of Health (NIH) - USA, NIH National Institute of Neurological Disorders &amp; Stroke (NINDS))</t>
  </si>
  <si>
    <t>This work was funded, in part, by grant R00NS114850 from the National Institute of Neurological Disorders and Stroke of the National Institutes of Health (Dr Beaulieu-Jones).</t>
  </si>
  <si>
    <t>[Ramadan, Bashar; Liu, Ming-Chieh; Burkhart, Michael C.; Parker, William F.; Beaulieu-Jones, Brett K.] Univ Chicago, Ctr Computat Med &amp; Clin Artificial Intelligence, Dept Med, Chicago, IL USA; [Parker, William F.] Univ Chicago, MacLean Ctr Clin Med Eth, Chicago, IL USA</t>
  </si>
  <si>
    <t>University of Chicago; University of Chicago</t>
  </si>
  <si>
    <t>Diagnostic Codes in AI Prediction Models and Label Leakage of Same-Admission Clinical Outcomes</t>
  </si>
  <si>
    <t>IN-HOSPITAL MORTALITY; HIP FRACTURE; XGBOOST; SEPSIS</t>
  </si>
  <si>
    <t>Burkhart, Michael/KRR-0007-2024</t>
  </si>
  <si>
    <t>Ramadan, Bashar/0000-0003-2102-0900; Beaulieu-Jones, Brett K/0000-0002-6700-1468</t>
  </si>
  <si>
    <t>e2550454</t>
  </si>
  <si>
    <t>10.1001/jamanetworkopen.2025.50454</t>
  </si>
  <si>
    <t>http://dx.doi.org/10.1001/jamanetworkopen.2025.50454</t>
  </si>
  <si>
    <t>AM4GL</t>
  </si>
  <si>
    <t>41632159</t>
  </si>
  <si>
    <t>WOS:001651577500010</t>
  </si>
  <si>
    <t>Dedeoglu, AT; Yanik, H; Uysal, E; Fikir, G; Degirmenci, E; Türsen, Ü; Karabulut, YY</t>
  </si>
  <si>
    <t>Histopathological diagnosis of cutaneous drug eruptions (CDEs) presents a challenge in dermatopathology due to morphological overlap and high inter-observer variability. This retrospective study systematically compares the diagnostic performance of modern convolutional neural networks (ConvNeXt, ResNet 152, EfficientNet), hierarchical vision transformers (Swin Transformer), and traditional machine learning algorithms (HGBT, XGBoost) on whole-slide images (WSIs) of CDEs and validates decisions using explainable artificial intelligence (XAI). We analyzed 443 WSIs collected between 2014 and 2024, encompassing three diagnostic classes: CDE (n = 194), Atopic Dermatitis (n = 187), and histologically normal skin controls (n = 62), thereby better reflecting real-world clinical diagnostic challenges. Following controlled data augmentation to 600 images (200 per class), all models were evaluated on a held-out 20% test set (n = 120) using accuracy, sensitivity, specificity, precision, and F1-score across all three classes. Each WSI was processed as a single resized (512 &amp; times; 512 pixels) sample; no sub-patch tessellation or patch-level aggregation was performed. Gradient-weighted Class Activation Mapping (Grad-CAM) was applied to visualize the histological regions influencing model decisions. ConvNeXt emerged as the highest-performing model, achieving the highest accuracy rate (88.98%) and demonstrating strong multi-class differential diagnosis capability. ResNet 152 and Hybrid Feature Fusion models also achieved highly competitive results (86.44% accuracy). ConvNeXt demonstrated a statistically significant advantage over traditional methods and legacy architectures (p &lt; 0.05). Histogram-Based Gradient Enhancement Classification Tree (HGBT) and XGBoost were effective among traditional models, with accuracies of 77.97% and 77.12%, respectively. Grad-CAM confirmed that models focused on clinically meaningful histological features, including basal vacuolar degeneration and eosinophilic infiltration. These findings suggest that advanced deep learning architectures, particularly ConvNeXt, may assist pathologists as a decision-support and triage tool in multi-class CDE diagnosis; ensemble methods offer a viable alternative in resource-constrained settings. Pending external validation, these XAI-supported models have the potential to provide transparent, reproducible diagnostic assistance in dermatopathology.</t>
  </si>
  <si>
    <t>Dedeoglu, Ayse Turkmen; Yanik, Huseyin; Uysal, Erdem; Fikir, Gizem; Degirmenci, Evren; Tursen, Umit; Karabulut, Yasemin Yuyucu</t>
  </si>
  <si>
    <t>Karabulut, YY (corresponding author), Mersin Univ, Fac Med, Dept Pathol, Mersin, Turkiye.</t>
  </si>
  <si>
    <t>yykarabulut@yahoo.com.tr</t>
  </si>
  <si>
    <t>[Dedeoglu, Ayse Turkmen] Mersin City Training &amp; Res Hosp, Dept Pathol, Mersin, Turkiye; [Yanik, Huseyin] Sch Appl Technol &amp; Management, Dept Informat Syst &amp; Technol, Mersin, Turkiye; [Uysal, Erdem] Mersin Univ, Comp Engn, Mersin, Turkiye; [Fikir, Gizem; Karabulut, Yasemin Yuyucu] Mersin Univ, Fac Med, Dept Pathol, Mersin, Turkiye; [Degirmenci, Evren] Mersin Univ, Fac Engn, Dept Elect &amp; Elect Engn, Mersin, Turkiye; [Tursen, Umit] Mersin Univ, Fac Med, Dept Dermatol, Mersin, Turkiye</t>
  </si>
  <si>
    <t>Mersin University; Mersin University; Mersin University; Mersin University</t>
  </si>
  <si>
    <t>Deep Learning vs. Traditional Machine Learning in the Diagnosis of Cutaneous Drug Eruptions: A Comparative Study with Explainable AI on Whole-Slide Images</t>
  </si>
  <si>
    <t>Cutaneous drug eruptions; Deep learning; Atopic dermatitis; Whole-slide viewing; Explainable artificial intelligence (XAI); Hybrid feature fusion; Digital pathology</t>
  </si>
  <si>
    <t>HISTOPATHOLOGIC FEATURES</t>
  </si>
  <si>
    <t>Karabulut, Yasemin/A-6961-2016; /F-9251-2015; Turkmen Dedeoglu, Ayse/KHY-6527-2024; türsen, ümit/P-6626-2015</t>
  </si>
  <si>
    <t>10.1007/s10278-026-02057-0</t>
  </si>
  <si>
    <t>http://dx.doi.org/10.1007/s10278-026-02057-0</t>
  </si>
  <si>
    <t>JS1VX</t>
  </si>
  <si>
    <t>42315700</t>
  </si>
  <si>
    <t>WOS:001796697300001</t>
  </si>
  <si>
    <t>Tian, J; Zhao, ZR; Tang, LM; Song, YZ; Li, YC; Jiang, N</t>
  </si>
  <si>
    <t>Clinical artificial intelligence (AI) applications frequently fail to transition from short-term pilot projects into sustained components of routine clinical care, a phenomenon referred to in this viewpoint as the pilot trap. This persistent gap reflects not only technical or regulatory limitations but also insufficient governance capacity within health care organizations. We argue that such capacity is not fully established before deployment; rather, it develops through implementation as real-world operational tensions clarify organizational ownership, accountability boundaries, and coordination mechanisms. Drawing on an 18-month implementation of a provincial clinical AI platform in China, we develop a 6-module governance framework encompassing institutional carrier formation, infrastructure governance, regulatory and ethical governance, interdisciplinary coordination, translational scaling, and lifecycle evaluation and oversight. These modules represent functional governance conditions observed during implementation rather than a prescriptive institutional architecture to be installed prior to deployment. We further introduce the concept of functional transferability and position the framework as an upstream complement to existing international governance standards, which typically specify what governance should achieve, but often assume that the organizational capacity to implement it already exists. Advancing clinical AI beyond demonstration, therefore, depends less on model performance alone than on the ability of health systems to develop and sustain the institutional capacity required for routine clinical use. J Med Internet Res 2026;28:e92680; doi: 10.2196/92680</t>
  </si>
  <si>
    <t>Tian, Jin; Zhao, Zengren; Tang, Longmei; Song, Yongzhao; Li, Yuchang; Jiang, Nan</t>
  </si>
  <si>
    <t>Tian, J (corresponding author), First Hosp Hebei Med Univ, Hosp Management Innovat Ctr, 89 Donggang St, Shijiazhuang 050000, Hebei, Peoples R China.</t>
  </si>
  <si>
    <t>jtia716@aucklanduni.ac.nz</t>
  </si>
  <si>
    <t>[Tian, Jin; Zhao, Zengren; Li, Yuchang] First Hosp Hebei Med Univ, Hosp Management Innovat Ctr, 89 Donggang St, Shijiazhuang 050000, Hebei, Peoples R China; [Tang, Longmei; Jiang, Nan] Hebei Med Univ, Dept Social Med &amp; Hlth Serv Management, Shijiazhuang, Hebei, Peoples R China; [Tang, Longmei] Hebei Prov Key Lab Environm &amp; Human Hlth, Shijiazhuang, Hebei, Peoples R China; [Song, Yongzhao] First Hosp Hebei Med Univ, Dept Publ Hlth, Shijiazhuang, Hebei, Peoples R China</t>
  </si>
  <si>
    <t>Hebei Medical University</t>
  </si>
  <si>
    <t>From Pilot Trap to Institutional Capacity: A Governance Framework for Sustainable Clinical AI Implementation in Health Systems</t>
  </si>
  <si>
    <t>clinical artificial intelligence; AI governance; health systems; institutional infrastructure; implementation science; governance framework</t>
  </si>
  <si>
    <t>PERFORMANCE; CARE</t>
  </si>
  <si>
    <t>MAY 7 2026</t>
  </si>
  <si>
    <t>e92680</t>
  </si>
  <si>
    <t>10.2196/92680</t>
  </si>
  <si>
    <t>http://dx.doi.org/10.2196/92680</t>
  </si>
  <si>
    <t>HZ1SS</t>
  </si>
  <si>
    <t>42096643</t>
  </si>
  <si>
    <t>WOS:001766158200001</t>
  </si>
  <si>
    <t>Chari, S; Seneviratne, O; Ghalwash, M; Shirai, S; Gruen, DM; Meyer, P; Chakraborty, P; McGuinness, DL</t>
  </si>
  <si>
    <t>In the past decade, trustworthy Artificial Intelligence (AI) has emerged as a focus for the AI community to ensure better adoption of AI models, and explainable AI is a cornerstone in this area. Over the years, the focus has shifted from building transparent AI methods to making recommendations on how to make black-box or opaque machine learning models and their results more understandable by experts and non-expert users. In our previous work, to address the goal of supporting user-centered explanations that make model recommendations more explainable, we developed an Explanation Ontology (EO). The EO is a general-purpose representation that was designed to help system designers connect explanations to their underlying data and knowledge. This paper addresses the apparent need for improved interoperability to support a wider range of use cases. We expand the EO, mainly in the system attributes contributing to explanations, by introducing new classes and properties to support a broader range of state-of-the-art explainer models. We present the expanded ontology model, highlighting the classes and properties that are important to model a larger set of fifteen literature-backed explanation types that are supported within the expanded EO. We build on these explanation type descriptions to show how to utilize the EO model to represent explanations in five use cases spanning the domains of finance, food, and healthcare. We include competency questions that evaluate the EO's capabilities to provide guidance for system designers on how to apply our ontology to their own use cases. This guidance includes allowing system designers to query the EO directly and providing them exemplar queries to explore content in the EO represented use cases. We have released this significantly expanded version of the Explanation Ontology at https://purl.org/heals/eo and updated our resource website, https://tetherless-world.github.io/explanation-ontology, with supporting documentation. Overall, through the EO model, we aim to help system designers be better informed about explanations and support these explanations that can be composed, given their systems' outputs from various AI models, including a mix of machine learning, logical and explainer models, and different types of data and knowledge available to their systems.</t>
  </si>
  <si>
    <t>Chari, Shruthi; Seneviratne, Oshani; Ghalwash, Mohamed; Shirai, Sola; Gruen, Daniel M.; Meyer, Pablo; Chakraborty, Prithwish; McGuinness, Deborah L.</t>
  </si>
  <si>
    <t>Chari, S (corresponding author), Rensselaer Polytech Inst, Comp Sci, Troy, NY 12180 USA.</t>
  </si>
  <si>
    <t>shiras2@rpi.edu; gruend2@rpi.edu; charis@rpi.edu; senevo@rpi.edu; mohamed.ghalwash@ibm.com; dlm@cs.rpi.edu; prithwish.chakraborty@ibm.com; pmeyerr@us.ibm.com</t>
  </si>
  <si>
    <t>IBM Research AI through the AI Horizons Network</t>
  </si>
  <si>
    <t>IBM Research AI through the AI Horizons Network (International Business Machines (IBM))</t>
  </si>
  <si>
    <t>This work is done as part of the HEALS project, and is partially supported by IBM Research AI through the AI Horizons Network. We thank our colleague from RPI, Rebecca Cowan, Henrique Santos and Jamie McCusker, who provided insight and expertise in the writing of this paper.</t>
  </si>
  <si>
    <t>[Chari, Shruthi; Seneviratne, Oshani; Shirai, Sola; Gruen, Daniel M.; McGuinness, Deborah L.] Rensselaer Polytech Inst, Comp Sci, Troy, NY 12180 USA; [Ghalwash, Mohamed; Meyer, Pablo; Chakraborty, Prithwish] IBM Res, Ctr Computat Hlth, Yorktown Hts, NY USA</t>
  </si>
  <si>
    <t>Rensselaer Polytechnic Institute; International Business Machines (IBM); IBM USA</t>
  </si>
  <si>
    <t>Explanation Ontology: A general-purpose semantic representation for supporting user-centered explanations</t>
  </si>
  <si>
    <t>SEMANTIC WEB</t>
  </si>
  <si>
    <t>Explainable AI; semantic representation of explanations; Explanation Ontology; modeling explanation types - AI method outputs and knowledge; supporting patterns for explanation types</t>
  </si>
  <si>
    <t>COORDINATED EVOLUTION; KNOWLEDGE GRAPHS</t>
  </si>
  <si>
    <t>McGuinness, Deborah/HGC-4351-2022; Ghalwash, Mohamed/F-8926-2014; Chari, Shruthi/JXL-9579-2024</t>
  </si>
  <si>
    <t>meyer, pablo/0000-0001-5281-4661</t>
  </si>
  <si>
    <t>1570-0844</t>
  </si>
  <si>
    <t>2210-4968</t>
  </si>
  <si>
    <t>SEMANT WEB</t>
  </si>
  <si>
    <t>Semant. Web</t>
  </si>
  <si>
    <t>959</t>
  </si>
  <si>
    <t>989</t>
  </si>
  <si>
    <t>10.3233/SW-233282</t>
  </si>
  <si>
    <t>http://dx.doi.org/10.3233/SW-233282</t>
  </si>
  <si>
    <t>M2Y6Z</t>
  </si>
  <si>
    <t>WOS:001356253900003</t>
  </si>
  <si>
    <t>Namli, T; Sinaci, AA; Gönül, S; Herguido, CR; Garcia-Canadilla, P; Muñoz, AM; Esteve, AV; Ertürkmen, GBL</t>
  </si>
  <si>
    <t>Introduction Transparency and traceability are essential for establishing trustworthy artificial intelligence (AI). The lack of transparency in the data preparation process is a significant obstacle in developing reliable AI systems which can lead to issues related to reproducibility, debugging AI models, bias and fairness, and compliance and regulation. We introduce a formal data preparation pipeline specification to improve upon the manual and error-prone data extraction processes used in AI and data analytics applications, with a focus on traceability.Methods We propose a declarative language to define the extraction of AI-ready datasets from health data adhering to a common data model, particularly those conforming to HL7 Fast Healthcare Interoperability Resources (FHIR). We utilize the FHIR profiling to develop a common data model tailored to an AI use case to enable the explicit declaration of the needed information such as phenotype and AI feature definitions. In our pipeline model, we convert complex, high-dimensional electronic health records data represented with irregular time series sampling to a flat structure by defining a target population, feature groups and final datasets. Our design considers the requirements of various AI use cases from different projects which lead to implementation of many feature types exhibiting intricate temporal relations.Results We implement a scalable and high-performant feature repository to execute the data preparation pipeline definitions. This software not only ensures reliable, fault-tolerant distributed processing to produce AI-ready datasets and their metadata including many statistics alongside, but also serve as a pluggable component of a decision support application based on a trained AI model during online prediction to automatically prepare feature values of individual entities. We deployed and tested the proposed methodology and the implementation in three different research projects. We present the developed FHIR profiles as a common data model, feature group definitions and feature definitions within a data preparation pipeline while training an AI model for "predicting complications after cardiac surgeries".Discussion Through the implementation across various pilot use cases, it has been demonstrated that our framework possesses the necessary breadth and flexibility to define a diverse array of features, each tailored to specific temporal and contextual criteria.</t>
  </si>
  <si>
    <t>Namli, Tuncay; Sinaci, Ali Anil; Gonul, Suat; Herguido, Cristina Ruiz; Garcia-Canadilla, Patricia; Munoz, Adriana Modrego; Esteve, Arnau Valls; Erturkmen, Goekce Banu Laleci</t>
  </si>
  <si>
    <t>Namli, T (corresponding author), SRDC Software Res Dev &amp; Consultancy A S, Ankara, Turkiye.</t>
  </si>
  <si>
    <t>tuncay@srdc.com.tr</t>
  </si>
  <si>
    <t>European Commission10.13039/501100000780 [AI4HF]</t>
  </si>
  <si>
    <t>European Commission10.13039/501100000780</t>
  </si>
  <si>
    <t>We would like to acknowledge the support of the AICCELERATE, DataTools4Heart, and AI4HF consortiums.</t>
  </si>
  <si>
    <t>[Namli, Tuncay; Sinaci, Ali Anil; Gonul, Suat; Erturkmen, Goekce Banu Laleci] SRDC Software Res Dev &amp; Consultancy A S, Ankara, Turkiye; [Herguido, Cristina Ruiz; Garcia-Canadilla, Patricia; Munoz, Adriana Modrego; Esteve, Arnau Valls] Fdn St Joan De Deu, Barcelona, Spain</t>
  </si>
  <si>
    <t>A scalable and transparent data pipeline for AI-enabled health data ecosystems</t>
  </si>
  <si>
    <t>artificial intelligence; dataset; harmonization; transparency; FHIR; interoperability; health data spaces</t>
  </si>
  <si>
    <t>Garcia-Canadilla, Patricia/D-8085-2014</t>
  </si>
  <si>
    <t>Garcia-Canadilla, Patricia/0000-0002-0223-1617; Valls Esteve, Arnau/0000-0002-1151-3042; Sinaci, A. Anil/0000-0003-4397-3382; Modrego, Adriana/0000-0001-9678-5065</t>
  </si>
  <si>
    <t>JUL 30 2024</t>
  </si>
  <si>
    <t>1393123</t>
  </si>
  <si>
    <t>10.3389/fmed.2024.1393123</t>
  </si>
  <si>
    <t>http://dx.doi.org/10.3389/fmed.2024.1393123</t>
  </si>
  <si>
    <t>C5D6Y</t>
  </si>
  <si>
    <t>39139784</t>
  </si>
  <si>
    <t>WOS:001289573800001</t>
  </si>
  <si>
    <t>Yogarajan, V; Dobbie, G; Keegan, T</t>
  </si>
  <si>
    <t>Large language models (LLMs) are powerful decision-making tools widely adopted in healthcare, finance, and transportation. Embracing the opportunities and innovations of LLMs is inevitable. However, LLMs inherit stereotypes, misrepresentations, discrimination, and societies' biases from various sources-including training data, algorithm design, and user interactions-resulting in concerns about equality, diversity, and fairness. The bias problem has triggered increased research towards defining, detecting and quantifying bias and developing debiasing techniques. The predominant focus in tackling the bias problem is skewed towards resource-rich regions such as the US and Europe, resulting in a scarcity of research in other societies. As a small country with a unique history, culture and social composition, there is an opportunity for Aotearoa New Zealand's (NZ) research community to address this inadequacy. This paper presents an experimental evaluation of existing bias metrics and debiasing techniques in the NZ context. Research gaps derived from the study and a literature review are outlined, current and ongoing research in this space are discussed, and the suggested scope of research opportunities for NZ are presented.</t>
  </si>
  <si>
    <t>Yogarajan, Vithya; Dobbie, Gillian; Keegan, Te Taka</t>
  </si>
  <si>
    <t>Dobbie, G (corresponding author), Univ Auckland, Sch Comp Sci, Auckland, New Zealand.</t>
  </si>
  <si>
    <t>g.dobbie@auckland.ac.nz</t>
  </si>
  <si>
    <t>[Yogarajan, Vithya; Dobbie, Gillian] Univ Auckland, Sch Comp Sci, Auckland, New Zealand; [Keegan, Te Taka] Univ Waikato, Sch Comp &amp; Math Sci, Hamilton, New Zealand</t>
  </si>
  <si>
    <t>University of Auckland; University of Waikato</t>
  </si>
  <si>
    <t>Debiasing large language models: research opportunities</t>
  </si>
  <si>
    <t>JOURNAL OF THE ROYAL SOCIETY OF NEW ZEALAND</t>
  </si>
  <si>
    <t>Large language models; bias; responsible AI; generative AI; New Zealand</t>
  </si>
  <si>
    <t>MAORI</t>
  </si>
  <si>
    <t>Yogarajan, Vithya/0000-0002-6054-9543; Keegan, Te Taka/0000-0002-8628-4993; Dobbie, Gillian/0000-0001-7245-0367</t>
  </si>
  <si>
    <t>0303-6758</t>
  </si>
  <si>
    <t>1175-8899</t>
  </si>
  <si>
    <t>J ROY SOC NEW ZEAL</t>
  </si>
  <si>
    <t>J. R. Soc. N.Z.</t>
  </si>
  <si>
    <t>MAR 15 2025</t>
  </si>
  <si>
    <t>372</t>
  </si>
  <si>
    <t>395</t>
  </si>
  <si>
    <t>10.1080/03036758.2024.2398567</t>
  </si>
  <si>
    <t>http://dx.doi.org/10.1080/03036758.2024.2398567</t>
  </si>
  <si>
    <t>P2A7W</t>
  </si>
  <si>
    <t>39677375</t>
  </si>
  <si>
    <t>WOS:001314118200001</t>
  </si>
  <si>
    <t>van Kolfschooten, H; Hattab, G; Bächler, F; Stefanini, G</t>
  </si>
  <si>
    <t>The European Commission's Safe Hearts Plan positions AI as a key tool for enhancing the prevention, diagnosis, and care of cardiovascular disease. Although AI presents significant opportunities, the Safe Hearts Plan may be overstating its impact by prioritising technological capacity over implementation readiness. This Viewpoint examines the role assigned to AI within the Safe Hearts Plan through a policy and legal analysis, drawing on EU policy documents, WHO/Europe reports, and literature on AI governance and cardiovascular care. It argues that a persistent "benefits gap" exists between AI's technical performance and its real-world clinical impact, reflecting institutional, operational, and legal barriers to implementation. The Viewpoint further analyses how legal uncertainty surrounding regulation, liability, and patients' rights may hinder the responsible integration of AI into cardiovascular care. It concludes that AI should be embedded within robust legal, institutional, and operational frameworks to improve cardiovascular outcomes rather than simply generate more accurate predictions.</t>
  </si>
  <si>
    <t>van Kolfschooten, Hannah; Hattab, Georges; Bachler, Franziska; Stefanini, Giulio</t>
  </si>
  <si>
    <t>van Kolfschooten, H (corresponding author), Univ Basel, Ctr Life Sci Law, Peter Merian Weg 8, CH-4052 Basel, Switzerland.</t>
  </si>
  <si>
    <t>hannah.vankolfschooten@unibas.ch</t>
  </si>
  <si>
    <t>[van Kolfschooten, Hannah; Bachler, Franziska] Univ Basel, Ctr Life Sci Law, Peter Merian Weg 8, CH-4052 Basel, Switzerland; [Hattab, Georges] Robert Koch Inst, Ctr Artificial Intelligence Publ Hlth Res, Berlin, Germany; [Hattab, Georges] Free Univ Berlin, Dept Math &amp; Comp Sci, Berlin, Germany; [Stefanini, Giulio] Humanitas Univ, Dept Biomed Sci, Via Rita Levi Montalcini 4, I-20072 Milan, Italy; [Stefanini, Giulio] IRCSS Humanitas Res Hosp, Cardio Ctr, Milan, Italy</t>
  </si>
  <si>
    <t>University of Basel; Robert Koch Institute; Free University of Berlin; Humanitas University</t>
  </si>
  <si>
    <t>Artificial intelligence in the EU Safe Hearts Plan: prediction alone is not enough</t>
  </si>
  <si>
    <t>LANCET REGIONAL HEALTH-EUROPE</t>
  </si>
  <si>
    <t>Digital health; Artificial intelligence; EU policy; Cardiovascular disease; Patients' rights; large datasets (e.g. electronic health records; lifestyle</t>
  </si>
  <si>
    <t>Hattab, Georges/D-4154-2015; van Kolfschooten, Hannah/AAY-8822-2021; Stefanini, Giulio/GZG-4754-2022</t>
  </si>
  <si>
    <t>2666-7762</t>
  </si>
  <si>
    <t>LANCET REG HEALTH-EU</t>
  </si>
  <si>
    <t>Lancet Reg. Health-Eur.</t>
  </si>
  <si>
    <t>101784</t>
  </si>
  <si>
    <t>10.1016/j.lanepe.2026.101784</t>
  </si>
  <si>
    <t>http://dx.doi.org/10.1016/j.lanepe.2026.101784</t>
  </si>
  <si>
    <t>LX7HK</t>
  </si>
  <si>
    <t>WOS:001835718600001</t>
  </si>
  <si>
    <t>Garg, M</t>
  </si>
  <si>
    <t>The surge in internet use to express personal thoughts and beliefs makes it increasingly feasible for the social NLP research community to find and validate associations between social media posts and mental health status. Cross-sectional and longitudinal studies of social media data bring to fore the importance of real-time responsible AI models for mental health analysis. Aiming to classify the research directions for social computing and tracking advances in the development of machine learning (ML) and deep learning (DL) based models, we propose a comprehensive survey on quantifying mental health on social media. We compose a taxonomy for mental healthcare and highlight recent attempts in examining social well-being with personal writings on social media. We define all the possible research directions for mental healthcare and investigate a thread of handling online social media data for stress, depression and suicide detection for this work. The key features of this manuscript are (i) feature extraction and classification, (ii) recent advancements in AI models, (iii) publicly available dataset, (iv) new frontiers and future research directions. We compile this information to introduce young research and academic practitioners with the field of computational intelligence for mental health analysis on social media. In this manuscript, we carry out a quantitative synthesis and a qualitative review with the corpus of over 92 potential research articles. In this context, we release the collection of existing work on suicide detection in an easily accessible and updatable repository.</t>
  </si>
  <si>
    <t>Garg, Muskan</t>
  </si>
  <si>
    <t>Garg, M (corresponding author), Univ Florida, Gainesville, FL 32601 USA.</t>
  </si>
  <si>
    <t>muskanphd@gmail.com</t>
  </si>
  <si>
    <t>[Garg, Muskan] Univ Florida, Gainesville, FL 32601 USA</t>
  </si>
  <si>
    <t>State University System of Florida; University of Florida</t>
  </si>
  <si>
    <t>Mental Health Analysis in Social Media Posts: A Survey</t>
  </si>
  <si>
    <t>ARCHIVES OF COMPUTATIONAL METHODS IN ENGINEERING</t>
  </si>
  <si>
    <t>IDENTIFICATION; CLASSIFICATION</t>
  </si>
  <si>
    <t>GARG, MUSKAN/J-7673-2015; , MUSKAN/J-7673-2015</t>
  </si>
  <si>
    <t>, MUSKAN/0000-0003-0075-9802</t>
  </si>
  <si>
    <t>1134-3060</t>
  </si>
  <si>
    <t>1886-1784</t>
  </si>
  <si>
    <t>ARCH COMPUT METHOD E</t>
  </si>
  <si>
    <t>Arch. Comput. Method Eng.</t>
  </si>
  <si>
    <t>1819</t>
  </si>
  <si>
    <t>1842</t>
  </si>
  <si>
    <t>10.1007/s11831-022-09863-z</t>
  </si>
  <si>
    <t>http://dx.doi.org/10.1007/s11831-022-09863-z</t>
  </si>
  <si>
    <t>Computer Science, Interdisciplinary Applications; Engineering, Multidisciplinary; Mathematics, Interdisciplinary Applications</t>
  </si>
  <si>
    <t>Computer Science; Engineering; Mathematics</t>
  </si>
  <si>
    <t>A2NK7</t>
  </si>
  <si>
    <t>36619138</t>
  </si>
  <si>
    <t>WOS:000907048800003</t>
  </si>
  <si>
    <t>Duranay, FM; Murat, E; Katar, O; Demir, Y; Tan, RS; Yildirim, Ö; Acharya, UR</t>
  </si>
  <si>
    <t>The electrocardiogram(ECG) signals are usually converted to spectrogram images for analysis, but this approach has significant limitations. Firstly, it loses about time information, and secondly, it lacks resolution. In our research, we introduce an approach to directly convert ECG signals into PNG format and systematically sequentially incorporate each lead data. This method offers a precise depiction by maintaining the intricate temporal and spatial attributes of the signals through the use of Vision Transformer (ViT) models. The study evaluated the arrhythmia detection capabilities of four ViT models (ViT-B/224, ViT-L/224, ViT-B/384, ViT-L/ 384) for classifying ECG images. Six different Class Activation Mapping (CAM) techniques (ScoreCAM, Eigen-CAM, EigenGradCAM, GradCAM++, XGradCAM and LayerCAM) were employed to enhance model interpretability. Our best-performing model, ViT-B/384, achieved 96.79% accuracy and an F1-score of 96.78%, outperforming recent state-of-the-art CNN-based approaches for arrhythmia detection, such as DenseNet (F1: 98.9%, binary tasks) and ResNet-based models (Acc: 95.8%) in multi-class scenarios, while providing improved interpretability. Comparative analysis shows that our method improves multi-class arrhythmia classification accuracy by up to 1-2% over prior ViT or CNN-based methods on similar datasets. These results demonstrate that integrating high-resolution ECG image transformation with ViT models enhances diagnostic precision and model transparency, representing a significant step toward trustworthy AI-based medical diagnostic tools.</t>
  </si>
  <si>
    <t>Duranay, Fatma Murat; Murat, Ender; Katar, Oguzhan; Demir, Yakup; Tan, Ru-San; Yildirim, Ozal; Acharya, U. Rajendra</t>
  </si>
  <si>
    <t>Duranay, FM (corresponding author), Firat Univ, Dept Elect &amp; Elect Engn, Elazig, Turkiye.</t>
  </si>
  <si>
    <t>fmurat@firat.edu.tr; ydemir@firat.edu.tr; tanrsnhc@gmail.com; rajendrauacharya@gmail.com; okatar@firat.edu.tr; ozalyildirim@firat.edu.tr; ender.murat@sbu.edu.tr</t>
  </si>
  <si>
    <t>[Duranay, Fatma Murat; Demir, Yakup] Firat Univ, Dept Elect &amp; Elect Engn, Elazig, Turkiye; [Murat, Ender] Hlth Sci Univ, Gulhane Training &amp; Res Hosp, Dept Cardiol, Ankara, Turkiye; [Katar, Oguzhan] Firat Univ, Fac Technol, Dept Software Engn, Elazig, Turkiye; [Tan, Ru-San] Natl Heart Ctr, Singapore, Singapore; [Tan, Ru-San] Duke NUS Med Sch, Singapore, Singapore; [Yildirim, Ozal] Firat Univ, Fac Engn, Dept Artificial Intelligence &amp; Data Engn, Elazig, Turkiye; [Acharya, U. Rajendra] Univ Southern Queensland, Sch Math Phys &amp; Comp, Springfield, Australia; [Acharya, U. Rajendra] Univ Southern Queensland, Ctr Hlth Res, Springfield, Australia</t>
  </si>
  <si>
    <t>Firat University; Gulhane Training &amp; Research Hospital; University of Health Sciences Turkey; Firat University; National Heart Centre Singapore; National University of Singapore; Firat University; University of Southern Queensland; University of Southern Queensland</t>
  </si>
  <si>
    <t>Arrhythmia detection in multi-channel ECG images: vision transformer and explainable approaches</t>
  </si>
  <si>
    <t>ECG classification; Vision transformer (ViT); Explainable AI (XAI); Deep learning in cardiology</t>
  </si>
  <si>
    <t>NETWORK MODEL; DEEP</t>
  </si>
  <si>
    <t>Acharya, Rajendra/E-3791-2010; YILDIRIM, Özal/AAV-5584-2020; Murat, Ender/LFS-1680-2024; Tan, Ru San/HJI-5085-2023; Murat Duranay, Fatma/W-5035-2018; KATAR, Oğuzhan/GSO-3344-2022; /V-9039-2018</t>
  </si>
  <si>
    <t>Murat, Ender/0000-0002-0147-5476; Tan, Ru San/0000-0003-2086-6517; KATAR, Oğuzhan/0000-0002-5628-3543; Murat Duranay, Fatma/0000-0001-6881-9117</t>
  </si>
  <si>
    <t>DEC 3 2025</t>
  </si>
  <si>
    <t>114889</t>
  </si>
  <si>
    <t>10.1016/j.knosys.2025.114889</t>
  </si>
  <si>
    <t>http://dx.doi.org/10.1016/j.knosys.2025.114889</t>
  </si>
  <si>
    <t>C2681</t>
  </si>
  <si>
    <t>WOS:001620353700011</t>
  </si>
  <si>
    <t>Zhou, Y; Kanesan, J; Chow, CO; Xu, CB</t>
  </si>
  <si>
    <t>Accurate segmentation of brain tumors from multimodal magnetic resonance imaging (MRI) is essential for agnosis, treatment planning, radiotherapy targeting, and longitudinal assessment. Deep learning has advanced this task through convolutional neural networks, Transformers, state-space models, diffusion methods, and foundation models. However, strong benchmark performance does not guarantee clinical reliability because systems remain vulnerable to missing or degraded modalities, cross-center shift, and subregion-specific failures, particularly in enhancing tumor (ET) and tumor core (TC). This survey critically reviews deep learning for multimodal brain tumor segmentation from a deployment-oriented, failure-focused perspective. We introduce a unifying framework linking input reliability, fusion-architecture co-design, subregion-specific failure mechanisms, and uncertainty-aware clinical triage. Using this framework, we compare major architectural paradigms in contextual modeling, boundary preservation, computational feasibility, and robustness across ET, TC, and whole tumor (WT). We reinterpret multimodal fusion as a reliability-allocation problem and examine early, intermediate, token-level, sequence-aware, and adaptive strategies under incomplete or degraded inputs. We also synthesize robust learning approaches for sparse supervision, MRI quality degradation, cross-center variation, and test-time adaptation, and assess interpretability, uncertainty estimation, and human-in-the loop review as mechanisms for clinical risk control. Finally, our evidence-oriented benchmarking analysis identifies WT performance saturation, persistent ET/TC instability, inconsistent boundary-metric reporting, and insufficient stress testing, center-stratified evaluation, calibration assessment, and computational transparency. We conclude that progress should be judged not only by benchmark accuracy but also by subregion-level reliability under realistic deployment conditions.</t>
  </si>
  <si>
    <t>Zhou, Yi; Kanesan, Jeevan; Chow, Chee-Onn; Xu, Chengbao</t>
  </si>
  <si>
    <t>Chow, CO (corresponding author), Univ Malaya, Fac Engn, Dept Elect Engn, Lembah Pantai 50603, Kuala Lumpur, Malaysia.</t>
  </si>
  <si>
    <t>cochow@um.edu.my</t>
  </si>
  <si>
    <t>[Zhou, Yi; Kanesan, Jeevan; Chow, Chee-Onn] Univ Malaya, Fac Engn, Dept Elect Engn, Lembah Pantai 50603, Kuala Lumpur, Malaysia; [Zhou, Yi; Xu, Chengbao] Hubei Univ Med, Fac Publ Hlth, 16 Shanghai Rd, Shiyan 442000, Hubei, Peoples R China</t>
  </si>
  <si>
    <t>Deep learning for multimodal brain tumor segmentation: Architectures, fusion, robust learning, and deployment perspectives</t>
  </si>
  <si>
    <t>Brain tumor segmentation; Multimodal MRI; Deep learning; Multimodal fusion; Robust learning; Trustworthy AI</t>
  </si>
  <si>
    <t>IMAGE-ANALYSIS; MRI; NETWORK; NET</t>
  </si>
  <si>
    <t>157</t>
  </si>
  <si>
    <t>102807</t>
  </si>
  <si>
    <t>10.1016/j.compmedimag.2026.102807</t>
  </si>
  <si>
    <t>http://dx.doi.org/10.1016/j.compmedimag.2026.102807</t>
  </si>
  <si>
    <t>MT9MV</t>
  </si>
  <si>
    <t>42594738</t>
  </si>
  <si>
    <t>WOS:001850805500001</t>
  </si>
  <si>
    <t>Zuo, YY; Yang, ST; Zhao, WX</t>
  </si>
  <si>
    <t>Explainable Artificial Intelligence (XAI) holds the promise to compensate for the "black-box" nature of deep learning which impedes transcriptome-based cancer survival prediction. However, there is a lack of systematic benchmarking XAI frameworks tailored for high-dimensional survival data. To bridge this gap, we systematically evaluated six representative XAI methods in three main categories: gradient-based, propagation-based, and perturbation-based approaches by using a Self-Normalizing Neural Network (SNN) as the baseline survival model. 6,248 samples across 15 cancer types from The Cancer Genome Atlas (TCGA) was analysed in this evaluation with a unified framework we developed. The evaluation metrics encompassed three key dimensions: prognostic factor enrichment (univariate Cox regression significance), biological consistency (supported by four authoritative databases, including OpenTargets), and explanation stability (Kuncheva Index). Among the six XAI methods, we find that DeepSHAP achieved the best overall performance, identifying the highest number of statistically significant prognostic factors while maintaining superior explanation stability; LRP (Layer-wise Relevance Propagation) showed slightly lower prognostic specificity but the highest consensus with biological databases in capturing general cancer genes, making it suitable for validating biological plausibility. In contrast, the perturbation-based method, PFI (Permutation Feature Importance) exhibited systematic failure and extremely low stability due to its inability to handle feature collinearity in high-dimensional transcriptomic data. Furthermore, we identified explanation stability as a robust proxy for the biological validity of the XAI. Collectively, this study establishes an empirical framework for selecting trustworthy AI explanation tools for precision medicine.</t>
  </si>
  <si>
    <t>Zuo, Yiyi; Yang, Shuting; Zhao, Wenxue</t>
  </si>
  <si>
    <t>Zhao, WX (corresponding author), Sun Yat Sen Univ, Mol Canc Res Ctr, Sch Med, Shenzhen Campus, Shenzhen, Peoples R China.; Yang, ST (corresponding author), Sun Yat Sen Univ, Affiliated Hosp 6, Graceland Med Ctr, Dept Neurosurg, Guangzhou, Peoples R China.</t>
  </si>
  <si>
    <t>zhaowx5@mail.sysu.edu.cn; yangsht35@mail.sysu.edu.cn</t>
  </si>
  <si>
    <t>Guangdong Basic and Applied Basic Research Foundation [2024A1515011243]; Shenzhen Science and Technology Program [JCYJ20240813151233043]</t>
  </si>
  <si>
    <t>Guangdong Basic and Applied Basic Research Foundation (Guangdong Basic and Applied Basic Research Foundation); Shenzhen Science and Technology Program (Shenzhen Science and Technology Program)</t>
  </si>
  <si>
    <t>The author(s) declared that financial support was received for this work and/or its publication. This work was supported by Guangdong Basic and Applied Basic Research Foundation (2024A1515011243) and Shenzhen Science and Technology Program (JCYJ20240813151233043).</t>
  </si>
  <si>
    <t>[Zuo, Yiyi; Zhao, Wenxue] Sun Yat Sen Univ, Mol Canc Res Ctr, Sch Med, Shenzhen Campus, Shenzhen, Peoples R China; [Yang, Shuting] Sun Yat Sen Univ, Affiliated Hosp 6, Graceland Med Ctr, Dept Neurosurg, Guangzhou, Peoples R China</t>
  </si>
  <si>
    <t>Sun Yat Sen University; Sun Yat Sen University</t>
  </si>
  <si>
    <t>A systematic evaluation of explainable AI methods for high-dimensional transcriptome-based cancer survival prediction</t>
  </si>
  <si>
    <t>cancer; deep learning; explainable AI (XAI); survival prediction; transcriptomics</t>
  </si>
  <si>
    <t>1830956</t>
  </si>
  <si>
    <t>10.3389/fphys.2026.1830956</t>
  </si>
  <si>
    <t>http://dx.doi.org/10.3389/fphys.2026.1830956</t>
  </si>
  <si>
    <t>HL2PZ</t>
  </si>
  <si>
    <t>42099920</t>
  </si>
  <si>
    <t>WOS:001756724000001</t>
  </si>
  <si>
    <t>Carnazzo, V; Pignalosa, S; Tagliaferro, M; Gragnani, L; Zignego, AL; Racco, C; Di Biase, L; Basile, V; Rapaccini, GL; Di Santo, R; Niccolini, B; Marino, M; De Spirito, M; Gigante, G; Ciasca, G; Basile, U</t>
  </si>
  <si>
    <t>Background: Novel circulating markers for the non-invasive staging of chronic liver disease (CLD) are in high demand. Although underutilized, extracellular matrix (ECM) components offer significant diagnostic potential. This study evaluates ECM-related markers in hepatitis C virus (HCV)-positive patients across varying fibrosis stages. Methods: Sixty-eight patients with mild-to-moderate fibrosis (F1-F2), sixty-six with advanced fibrosis (F3-F4), and thirty healthy donors were recruited. Inclusion criteria were detectable HCV-RNA and no other liver diseases or co-infections. Levels of ECM markers-hyaluronic acid (HA), laminin (LN), collagen-III N-peptide (PIIIP N-P), collagen-IV (C-IV)-along with cholylglycine (CG) and Golgi protein-73 (GP73), were measured in serum using the MAGLUMI 800 CLIA platform. Results: Levels of LN, HA, C-IV, PIIIP N-P (p &lt; 0.001), and GP73 (p &lt;0.01) increased from controls to F1-F2 and F3-F4. CG levels were higher in pathological subjects compared to controls (p &lt; 0.001), but no significant differences emerged between fibrosis stages. These trends persisted after adjusting for age and sex. A multivariate ordinal regression identified LN, PIIIP N-P, and C-IV as promising markers, with an accuracy of 0.77. An XGBoost model improved accuracy to 0.87 and enhanced other metrics. SHAP analysis confirmed these variables as key contributors to the model's predictions. Conclusion: This study underscores the potential of ECM biomarkers, particularly LN, PIIIP N-P, and C-IV, in non- invasively staging CLD. Furthermore, our preliminary data suggest that a machine learning approach, combined with explainable AI, could further enhance diagnostic accuracy, potentially reducing the need for invasive biopsies.</t>
  </si>
  <si>
    <t>Carnazzo, Valeria; Pignalosa, Stefano; Tagliaferro, Marzia; Gragnani, Laura; Zignego, Anna Linda; Racco, Cosimo; Di Biase, Luigi; Basile, Valerio; Rapaccini, Gian Ludovico; Di Santo, Riccardo; Niccolini, Benedetta; Marino, Mariapaola; De Spirito, Marco; Gigante, Guido; Ciasca, Gabriele; Basile, Umberto</t>
  </si>
  <si>
    <t>Marino, M; Ciasca, G (corresponding author), Fdn Policlin Univ Agostino Gemelli IRCCS, I-00168 Rome, Italy.; Ciasca, G (corresponding author), Univ Cattolica Sacro Cuore, Dipartimento Neurosci, Sez Fis, I-00168 Rome, Italy.; Marino, M (corresponding author), Univ Cattolica Sacro Cuore, Dipartimento Med &amp; Chirurg Traslazionale, Rome, Italy.</t>
  </si>
  <si>
    <t>gabriele.ciasca@unicatt.it; mariapaola.marino@unicatt.it</t>
  </si>
  <si>
    <t>Universita Cattolica del Sacro Cuore Fondazione Policlinico Universitario "A. Gemelli" IRCCS</t>
  </si>
  <si>
    <t>This research and its publication have been funded from Universita Cattolica del Sacro Cuore Fondazione Policlinico Universitario "A. Gemelli" IRCCS as a part of its programs on promotion and dissemination of scientific research (Linea D1 to M.M.) that we gratefully acknowledged.</t>
  </si>
  <si>
    <t>[Carnazzo, Valeria; Pignalosa, Stefano; Tagliaferro, Marzia; Racco, Cosimo; Di Biase, Luigi; Basile, Umberto] AUSL Latina, Osped Santa Maria Goretti, Dipartimento Patol Clin, I-04100 Latina, Italy; [Gragnani, Laura] Univ Pisa, Dept Translat Res &amp; New Technol Med &amp; Surg, I-56126 Pisa, Italy; [Zignego, Anna Linda] Univ Florence, Ctr Syst Manifestat Hepatitis Viruses MaSVE, Dept Expt &amp; Clin Med, I-50121 Florence, Italy; [Basile, Valerio] IRCCS Regina Elena Natl Canc Inst, Dept Res &amp; Adv Technol, Clin Pathol Unit &amp; Canc Biobank, I-00144 Rome, Italy; [Rapaccini, Gian Ludovico; Marino, Mariapaola; De Spirito, Marco; Ciasca, Gabriele] Fdn Policlin Univ Agostino Gemelli IRCCS, I-00168 Rome, Italy; [Di Santo, Riccardo; Niccolini, Benedetta; De Spirito, Marco; Ciasca, Gabriele] Univ Cattolica Sacro Cuore, Dipartimento Neurosci, Sez Fis, I-00168 Rome, Italy; [Di Santo, Riccardo] Link Campus Univ, Dipartimento Sci Vita, Salute &amp; Professioni Sanitarie, Rome, Italy; [Marino, Mariapaola] Univ Cattolica Sacro Cuore, Dipartimento Med &amp; Chirurg Traslazionale, Rome, Italy; [Gigante, Guido] Ist Super Sanita, Natl Ctr Radiat Protect &amp; Computat Phys, I-00161 Rome, Italy</t>
  </si>
  <si>
    <t>University of Pisa; University of Florence; Catholic University of the Sacred Heart; IRCCS Policlinico Gemelli; Catholic University of the Sacred Heart; IRCCS Policlinico Gemelli; Catholic University of the Sacred Heart; IRCCS Policlinico Gemelli; Istituto Superiore di Sanita (ISS)</t>
  </si>
  <si>
    <t>Exploratory study of extracellular matrix biomarkers for non-invasive liver fibrosis staging: A machine learning approach with XGBoost and explainable AI</t>
  </si>
  <si>
    <t>CLINICAL BIOCHEMISTRY</t>
  </si>
  <si>
    <t>Biomarkers; ECM; Liver fibrosis; HCV; Collagen-IV; Collagen-III N -peptide; Machine learning; XGBoost; Explainable AI</t>
  </si>
  <si>
    <t>CHRONIC HEPATITIS-C; III PROCOLLAGEN; TERMINAL PEPTIDE; CIRRHOSIS; COMPLICATIONS; DIAGNOSIS; ASSAYS</t>
  </si>
  <si>
    <t>Di Santo, Riccardo/ABA-3111-2021; De Spirito, Marco/U-3817-2019; Ciasca, Gabriele/D-2447-2013; Gigante, Guido/LIG-1482-2024; Zignego, Anna/AAL-8205-2021; niccolini, benedetta/HGB-3923-2022; Basile, Umberto/E-1720-2018; Gragnani, Laura/H-7755-2019</t>
  </si>
  <si>
    <t>Di Santo, Riccardo/0000-0002-0400-4661</t>
  </si>
  <si>
    <t>0009-9120</t>
  </si>
  <si>
    <t>1873-2933</t>
  </si>
  <si>
    <t>CLIN BIOCHEM</t>
  </si>
  <si>
    <t>Clin. Biochem.</t>
  </si>
  <si>
    <t>135</t>
  </si>
  <si>
    <t>110861</t>
  </si>
  <si>
    <t>10.1016/j.clinbiochem.2024.110861</t>
  </si>
  <si>
    <t>http://dx.doi.org/10.1016/j.clinbiochem.2024.110861</t>
  </si>
  <si>
    <t>R6J4V</t>
  </si>
  <si>
    <t>39675656</t>
  </si>
  <si>
    <t>WOS:001392487100001</t>
  </si>
  <si>
    <t>Tian, CY; Yang, XC; Wang, KL; Cheung, AWL; Ma, JCH; Lu, CJ; Yu, JCY; Chan, CY; Chen, JM; Ouyang, K; Lin, IWK; Pang, THC; Zhao, S; Wang, YW; Wong, ELY</t>
  </si>
  <si>
    <t>Background: Artificial intelligence-enabled patient decision aids (AI-PDAs) hold promisefor supporting older adults with chronic diseases in accessing personalized health information, clarifying preferences, and engaging in shared decision-making. Achieving equity in their design requires attention to the complex health care and digital contexts in which these tools are used. While the Digital Health Equity Framework (DHEF) provides a conceptual foundation, practical strategies for its application remain limited. Objective: This study aimed to identify equity-related determinants and generate actionable design strategies for applying the DHEF toAI-PDAsforolderadults. Methods: A mixed methods study was conducted. Semistructured interviews were conducted with older adults living with hypertension and/or diabetes, health care providers, and medical students to explore equity determinants relevant to AI-PDAs. In parallel, a review of reviews synthesized existing evidence on approaches to addressing these determinants. Interview findings and review findings were integrated through an iterative mapping process conducted by the research team and refined through multidisciplinary expert consultation involving medicine, public health, social services, and computer science. Results: A total of 33 stakeholders were interviewed, including 15 older adults, 8 health care providers, and 10 medical students. Thirteen reviews were included in the umbrella review. The integrated synthesis identified equity determinants spanning individual, interpersonal, community, and societal levels across both the health care and digital environments, together with cross-level concerns related to algorithmic fairness. These findings informed 5 recommendations for equitable AI-PDA development: (1) co-design with end users to address their needs, (2) embrace relationship-centered design, (3) leveragecommunity resources to improve support, (4) promoteaccessibleand equitable artificial intelligence (AI) governance in society, and (5) enhance equitable AI through algorithmic fairness. Together, these recommendations provide practical guidance for design, pilot testing, implementation, and evaluation. Conclusions: By integrating stakeholder perspectives with synthesized review evidence, this study extends the DHEF from a primarily conceptual framework toward a more practice-oriented approach for AI-PDAs for older adults with chronic disease. Health care settings serve as a mediating sociotechnical context where AI tools may either support or constrain equitable care participation. The findings underscore the need for interdisciplinary collaboration to align technological innovation with equity-oriented design. Future work should focus on co-designed prototypes, real-world testing, and measurableequity outcomes. (J MedInternetRes2026;28:e89011)doi: 10.2196/89011</t>
  </si>
  <si>
    <t>Tian, Cindy Yue; Yang, Xiaochen; Wang, Kailu; Cheung, Annie Wai-Ling; Ma, Jonathan Chun-Hei; Lu, Canjie; Yu, Jasmine Cheuk-Ying; Chan, Crystal Ying; Chen, Jiamin; Ouyang, Kun; Lin, Ivan Wai-Kiu; Pang, Tim Hung-Cheong; Zhao, Shi; Wang, Yingwei; Wong, Eliza Lai-Yi</t>
  </si>
  <si>
    <t>Wong, ELY (corresponding author), Chinese Univ Hong Kong, Fac Med, JC Sch Publ Hlth &amp; Primary Care, Prince Wales Hosp,Shatin, Rm 418,Sch Publ Hlth Bldg, Hong Kong 999077, Peoples R China.</t>
  </si>
  <si>
    <t>lywong@cuhk.edu.hk</t>
  </si>
  <si>
    <t>Knowledge Transfer Project Fund of The Chinese University of Hong Kong [KPF25GWP47]</t>
  </si>
  <si>
    <t>Knowledge Transfer Project Fund of The Chinese University of Hong Kong</t>
  </si>
  <si>
    <t>Funding This work was funded by the Knowledge Transfer Project Fund of The Chinese University of Hong Kong (KPF25GWP47) .</t>
  </si>
  <si>
    <t>[Tian, Cindy Yue; Yang, Xiaochen; Wang, Kailu; Cheung, Annie Wai-Ling; Ma, Jonathan Chun-Hei; Lu, Canjie; Chan, Crystal Ying; Wong, Eliza Lai-Yi] Chinese Univ Hong Kong, Fac Med, JC Sch Publ Hlth &amp; Primary Care, Hong Kong, Peoples R China; [Tian, Cindy Yue; Wang, Kailu; Cheung, Annie Wai-Ling; Ma, Jonathan Chun-Hei; Lu, Canjie; Chan, Crystal Ying; Wong, Eliza Lai-Yi] Chinese Univ Hong Kong, Fac Med, Ctr Hlth Syst &amp; Policy Res, JC Sch Publ Hlth &amp; Primary Care, Hong Kong, Peoples R China; [Yu, Jasmine Cheuk-Ying] Chinese Univ Hong Kong, Fac Med, Hong Kong, Peoples R China; [Chen, Jiamin] Chinese Univ Hong Kong, Fac Engn, Dept Comp Sci &amp; Engn, Hong Kong, Peoples R China; [Ouyang, Kun] Natl Univ Singapore, Sch Comp, Singapore, Singapore; [Lin, Ivan Wai-Kiu; Pang, Tim Hung-Cheong] Soc Community Org, Hong Kong, Peoples R China; [Zhao, Shi] Tianjin Med Univ, Sch Publ Hlth, Tianjin, Peoples R China; [Wang, Yingwei] Tzu Chi Univ, Dept Med Humanities, Hualien, Taiwan; [Wang, Yingwei] Hualien Tzu Chi Hosp, Ctr Palliat Care, Hualien, Taiwan</t>
  </si>
  <si>
    <t>Chinese University of Hong Kong; Chinese University of Hong Kong; Chinese University of Hong Kong; Chinese University of Hong Kong; National University of Singapore; Tianjin Medical University; Tzu Chi University; Buddhist Tzu Chi General Hospital; Hualien Tzu Chi Hospital</t>
  </si>
  <si>
    <t>Operationalizing Digital Health Equity in Artificial Intelligence-Enabled Patient Decision Aids for Older Adults: Mixed Methods Study</t>
  </si>
  <si>
    <t>artificial intelligence; co-design; digital health equity; older adult care; patient decisionaids; umbrella review</t>
  </si>
  <si>
    <t>CHRONIC DISEASE MANAGEMENT</t>
  </si>
  <si>
    <t>Chan, Crystal/AAM-5167-2021; Wong, Eliza/ABI-2092-2020; Wang, Kailu/ACW-1041-2022</t>
  </si>
  <si>
    <t>Ma, Chun Hei Jonathan/0009-0007-6119-5605</t>
  </si>
  <si>
    <t>e89011</t>
  </si>
  <si>
    <t>10.2196/89011</t>
  </si>
  <si>
    <t>http://dx.doi.org/10.2196/89011</t>
  </si>
  <si>
    <t>KR3WH</t>
  </si>
  <si>
    <t>42372250</t>
  </si>
  <si>
    <t>WOS:001813787600001</t>
  </si>
  <si>
    <t>Agentic AI represents a transformative shift in artificial intelligence, but its rapid advancement has led to a fragmented understanding, often conflating modern neural systems with outdated symbolic models-a practice known as conceptual retrofitting. This survey cuts through this confusion by introducing a novel dual-paradigm framework that categorizes agentic systems into two distinct lineages: the symbolic/classical (relying on algorithmic planning and persistent state) and the neural/generative (leveraging stochastic generation and prompt-driven orchestration). Through a systematic PRISMA-based review of 90 studies (2018-2025), we provide a comprehensive analysis structured around this framework across three dimensions: (1) the theoretical foundations and architectural principles defining each paradigm; (2) domain-specific implementations in healthcare, finance, and robotics, demonstrating how application constraints dictate paradigm selection; and (3) paradigm-specific ethical and governance challenges, revealing divergent risks and mitigation strategies. Our analysis reveals that the choice of paradigm is strategic: symbolic systems dominate safety-critical domains (e.g., healthcare), while neural systems prevail in adaptive, data-rich environments (e.g., finance). Furthermore, we identify critical research gaps, including a significant deficit in governance models for symbolic systems and a pressing need for hybrid neuro-symbolic architectures. The findings culminate in a strategic roadmap arguing that the future of Agentic AI lies not in the dominance of one paradigm, but in their intentional integration to create systems that are both adaptable and reliable. This work provides the essential conceptual toolkit to guide future research, development, and policy toward robust and trustworthy hybrid intelligent systems.</t>
  </si>
  <si>
    <t>Dornaika, F (corresponding author), Univ Basque Country, San Sebastian, Spain.; Dornaika, F (corresponding author), Basque Fdn Sci, Ikerbasque, Bilbao, Spain.</t>
  </si>
  <si>
    <t>Universidad del Pas Vasco</t>
  </si>
  <si>
    <t>Open Access funding provided thanks to the CRUE-CSIC agreement with Springer Nature.</t>
  </si>
  <si>
    <t>[Abou Ali, Mohamad; Dornaika, Fadi] Univ Basque Country, San Sebastian, Spain; [Abou Ali, Mohamad] Lebanese Int Univ LIU, Beirut, Lebanon; [Abou Ali, Mohamad] Beirut Int Univ BIU, Beirut, Lebanon; [Dornaika, Fadi] Basque Fdn Sci, Ikerbasque, Bilbao, Spain; [Charafeddine, Jinan] De Vinci Res Ctr, De Vinci Higher Educ, Paris, France</t>
  </si>
  <si>
    <t>Agentic AI: a comprehensive survey of architectures, applications, and future directions</t>
  </si>
  <si>
    <t>Agentic AI; Artificial intelligence; Systematic review; Neural architectures; Symbolic AI; Multi-agent systems; AI governance; Neuro-symbolic AI</t>
  </si>
  <si>
    <t>Abou Ali, Mohamad/0000-0002-2887-8232</t>
  </si>
  <si>
    <t>10.1007/s10462-025-11422-4</t>
  </si>
  <si>
    <t>http://dx.doi.org/10.1007/s10462-025-11422-4</t>
  </si>
  <si>
    <t>9TF1I</t>
  </si>
  <si>
    <t>WOS:001614454400003</t>
  </si>
  <si>
    <t>Mourid, MR; Irfan, H; Oduoye, MO</t>
  </si>
  <si>
    <t>Background and AimEpilepsy is a major neurological challenge, especially for pediatric populations. It profoundly impacts both developmental progress and quality of life in affected children. With the advent of artificial intelligence (AI), there's a growing interest in leveraging its capabilities to improve the diagnosis and management of pediatric epilepsy. This review aims to assess the effectiveness of AI in pediatric epilepsy detection while considering the ethical implications surrounding its implementation.MethodologyA comprehensive systematic review was conducted across multiple databases including PubMed, EMBASE, Google Scholar, Scopus, and Medline. Search terms encompassed "pediatric epilepsy," "artificial intelligence," "machine learning," "ethical considerations," and "data security." Publications from the past decade were scrutinized for methodological rigor, with a focus on studies evaluating AI's efficacy in pediatric epilepsy detection and management.ResultsAI systems have demonstrated strong potential in diagnosing and monitoring pediatric epilepsy, often matching clinical accuracy. For example, AI-driven decision support achieved 93.4% accuracy in diagnosis, closely aligning with expert assessments. Specific methods, like EEG-based AI for detecting interictal discharges, showed high specificity (93.33%-96.67%) and sensitivity (76.67%-93.33%), while neuroimaging approaches using rs-fMRI and DTI reached up to 97.5% accuracy in identifying microstructural abnormalities. Deep learning models, such as CNN-LSTM, have also enhanced seizure detection from video by capturing subtle movement and expression cues. Non-EEG sensor-based methods effectively identified nocturnal seizures, offering promising support for pediatric care. However, ethical considerations around privacy, data security, and model bias remain crucial for responsible AI integration.ConclusionWhile AI holds immense potential to enhance pediatric epilepsy management, ethical considerations surrounding transparency, fairness, and data security must be rigorously addressed. Collaborative efforts among stakeholders are imperative to navigate these ethical challenges effectively, ensuring responsible AI integration and optimizing patient outcomes in pediatric epilepsy care.</t>
  </si>
  <si>
    <t>Mourid, Marina Ramzy; Irfan, Hamza; Oduoye, Malik Olatunde</t>
  </si>
  <si>
    <t>Oduoye, MO (corresponding author), Med Res Circle MedReC, Dept Res, Goma, DEM REP CONGO.</t>
  </si>
  <si>
    <t>malikolatunde36@gmail.com</t>
  </si>
  <si>
    <t>The authors received no specific funding for this work.</t>
  </si>
  <si>
    <t>The authors have nothing to report.</t>
  </si>
  <si>
    <t>[Mourid, Marina Ramzy] Alexandria Univ, Fac Med, Alexandria, Egypt; [Irfan, Hamza] Shaikh Khalifa Bin Zayed Al Nahyan Med &amp; Dent Coll, Dept Med, Lahore, Pakistan; [Oduoye, Malik Olatunde] Med Res Circle MedReC, Dept Res, Goma, DEM REP CONGO</t>
  </si>
  <si>
    <t>Egyptian Knowledge Bank (EKB); Alexandria University</t>
  </si>
  <si>
    <t>Artificial Intelligence in Pediatric Epilepsy Detection: Balancing Effectiveness With Ethical Considerations for Welfare</t>
  </si>
  <si>
    <t>artificial intelligence; diagnosis; ethical considerations; ethical implications; neurological disorder; patient outcomes; pediatric epilepsy</t>
  </si>
  <si>
    <t>SEIZURE DETECTION; LEARNING APPROACH; BIG DATA; DIAGNOSIS; SYSTEM</t>
  </si>
  <si>
    <t>Irfan, Hamza/JVD-8647-2023; Oduoye, Malik Olatunde/AIB-6044-2022</t>
  </si>
  <si>
    <t>Irfan, Hamza/0000-0002-0967-7523; Ramzy Mourid, Marina/0000-0001-7821-500X; Oduoye, Malik Olatunde/0000-0001-9635-9891</t>
  </si>
  <si>
    <t>e70372</t>
  </si>
  <si>
    <t>10.1002/hsr2.70372</t>
  </si>
  <si>
    <t>http://dx.doi.org/10.1002/hsr2.70372</t>
  </si>
  <si>
    <t>S9K1L</t>
  </si>
  <si>
    <t>39846037</t>
  </si>
  <si>
    <t>WOS:001401313200001</t>
  </si>
  <si>
    <t>Wu, J</t>
  </si>
  <si>
    <t>This Point introduces algorithmic status inequality that is, enduring disparities in social position, influence, and resource access reinforced by AI systems, as a critical lens for understanding technological stratification in organizations. I develop an integrative model showing how computational beliefs (i.e., cultural assumptions embedded in algorithmic design) interact with computational inequalities (i.e., disparities in technical capabilities) to produce persistent status hierarchies through self-reinforcing feedback loops. Illustrative cases in recruitment, healthcare and legal assistance demonstrate these mechanisms in practice, producing three consequential patterns: status schisms within minority-serving AI systems, status tensions between dominant and specialized algorithms and status disparities between AI systems and human experts. Unlike the Counterpoint perspectives that either emphasize market-based dynamic capabilities as self-correcting mechanisms for algorithmic disparities or locate the primary source of inequality in biased training data amenable to technical debiasing , I argue that neither purely technical approaches (such as diversifying training data) nor purely market-based approaches (such as relying on competitive dynamics) are sufficient to address algorithmic status inequality. This sociotechnical perspective explains why isolated interventions typically fail and provides a theoretical foundation for developing comprehensive strategies that simultaneously target embedded cultural beliefs and material inequalities in AI development.</t>
  </si>
  <si>
    <t>Wu, Jie</t>
  </si>
  <si>
    <t>Wu, J (corresponding author), Univ Aberdeen, Kings Coll, Business Sch, Strategy &amp; Entrepreneurship, Aberdeen AB24 3FX, Scotland.; Wu, J (corresponding author), Univ Aberdeen, Kings Coll, Business Sch, Postgrad Res, Aberdeen AB24 3FX, Scotland.</t>
  </si>
  <si>
    <t>jie.wu@abdn.ac.uk</t>
  </si>
  <si>
    <t>[Wu, Jie] Univ Aberdeen, Kings Coll, Business Sch, Strategy &amp; Entrepreneurship, Aberdeen AB24 3FX, Scotland; [Wu, Jie] Univ Aberdeen, Kings Coll, Business Sch, Postgrad Res, Aberdeen AB24 3FX, Scotland</t>
  </si>
  <si>
    <t>University of Aberdeen; University of Aberdeen</t>
  </si>
  <si>
    <t>Algorithmic Status Inequality: An Integrative Perspective on AI-Driven Social Stratification</t>
  </si>
  <si>
    <t>JOURNAL OF MANAGEMENT STUDIES</t>
  </si>
  <si>
    <t>AI governance; algorithmic status inequality; computational beliefs; computational inequalities; status hierarchies</t>
  </si>
  <si>
    <t>ARTIFICIAL-INTELLIGENCE; DIGITAL INEQUALITIES; HEALTH; DISPARITIES; SHIFTS; BIAS</t>
  </si>
  <si>
    <t>0022-2380</t>
  </si>
  <si>
    <t>1467-6486</t>
  </si>
  <si>
    <t>J MANAGE STUD</t>
  </si>
  <si>
    <t>J. Manage. Stud.</t>
  </si>
  <si>
    <t>10.1111/joms.70134</t>
  </si>
  <si>
    <t>http://dx.doi.org/10.1111/joms.70134</t>
  </si>
  <si>
    <t>KY6MY</t>
  </si>
  <si>
    <t>WOS:001818714700001</t>
  </si>
  <si>
    <t>Zhang, R; Wang, B; Liu, JX; Liu, YX</t>
  </si>
  <si>
    <t>This study addresses key challenges in image recognition using Artificial Intelligence neural networks, specifically the lack of trust and limited interpretability caused by their "black-box" decision-making mechanisms. Unlike existing research, which often focuses on a single interpretability method or model performance optimization, this study systematically investigates visualization and trust-building strategies for high-risk applications. An enhanced Convolutional Neural Network (CNN) is developed by integrating Grad-CAM and LIME methods to explore interpretability techniques in visual image recognition. Evaluated on the CIFAR-10 dataset and a subset of ImageNet, the proposed model achieves recognition accuracies of 89.8% and 96.33%, respectively, marking a 3.2% improvement over the baseline AlexNet model. A novel dual-modal interpretability framework is introduced. Grad-CAM generates class-discriminative heatmaps to visualize global attention regions, while LIME provides localized feature attribution for individual predictions. The combination of these techniques significantly enhances model transparency, achieving an interpretation consistency score of 0.82. Experimental results show that the model maintains strong classification performance, with an F1-score of 92.2%. Insertion and deletion tests further confirm the reliability of heatmap-based visualizations. To comprehensively evaluate interpretability, a multi-dimensional assessment system is implemented, combining quantitative metrics with expert human evaluation. This study provides valuable insights for the development of trustworthy AI systems, especially in high-stakes domains, such as medical diagnostics and autonomous driving.</t>
  </si>
  <si>
    <t>Zhang, Ru; Wang, Bin; Liu, Jingxuan; Liu, Yixiang</t>
  </si>
  <si>
    <t>Liu, YX (corresponding author), Qingdao Binhai Univ, Coll Arts &amp; Media, Qingdao 266555, Peoples R China.</t>
  </si>
  <si>
    <t>13096531769@163.com; wangbin19045@hanyang.ac.kr; 18035403405@163.com; zru2022@163.com</t>
  </si>
  <si>
    <t>[Zhang, Ru; Wang, Bin] Hanyang Univ, Coll Design, Seoul 04763, South Korea; [Liu, Jingxuan] Henan Univ Technol, Sch Int Educ, Zhengzhou 450001, Peoples R China; [Liu, Yixiang] Qingdao Binhai Univ, Coll Arts &amp; Media, Qingdao 266555, Peoples R China</t>
  </si>
  <si>
    <t>Henan University of Technology</t>
  </si>
  <si>
    <t>ARTIFICIAL INTELLIGENCE AND NEURAL NETWORK INTERPRETATION TECHNIQUES FOR IMAGE VISUALIZATION AND RECOGNITION</t>
  </si>
  <si>
    <t>JOURNAL OF MECHANICS IN MEDICINE AND BIOLOGY</t>
  </si>
  <si>
    <t>Artificial intelligence; neural network interpretability; deep learning; visualization; image recognition</t>
  </si>
  <si>
    <t>NET</t>
  </si>
  <si>
    <t>0219-5194</t>
  </si>
  <si>
    <t>1793-6810</t>
  </si>
  <si>
    <t>J MECH MED BIOL</t>
  </si>
  <si>
    <t>J. Mech. Med. Biol.</t>
  </si>
  <si>
    <t>04</t>
  </si>
  <si>
    <t>10.1142/S0219519426400506</t>
  </si>
  <si>
    <t>http://dx.doi.org/10.1142/S0219519426400506</t>
  </si>
  <si>
    <t>Biophysics; Engineering, Biomedical</t>
  </si>
  <si>
    <t>Biophysics; Engineering</t>
  </si>
  <si>
    <t>IQ7NI</t>
  </si>
  <si>
    <t>WOS:001729102400001</t>
  </si>
  <si>
    <t>Alghalbie, F; Elnaem, MH; Mccarron, PA</t>
  </si>
  <si>
    <t>Introduction: Artificial intelligence (AI) is transforming healthcare education; however, its integration into pharmacy curricula requires further exploration. This study aimed to explore the acceptance of AI-based technology in pharmacy education through the extended Unified Theory of Acceptance and Use of Technology (UTAUT) framework and identify opportunities for responsible integration via improved AI literacy. Methods: A qualitative study was conducted at the School of Pharmacy and Pharmaceutical Sciences, Ulster University, Northern Ireland, United Kingdom, in April 2025. Eight MPharm students were recruited through purposive sampling, with two participants from each of the four academic years (Years 1-4) to ensure representation of developmental perspectives. Informed by the extended UTAUT framework, semi-structured interviews were conducted via Microsoft Teams. Thematic analysis was conducted using Braun and Clarke's six-phase approach, with data management performed using NVivo 13. Results: Four major themes emerged from the analysis: (1) Current Understanding and Experience with AI Tools, (2) Perceived Benefits and Opportunities, (3) Challenges and Concerns, and (4) Recommendations for Responsible AI Integration. Students demonstrated a developmental progression in AI use, from basic concept clarification in the first year to complex clinical reasoning applications in senior years. Students primarily discovered AI tools through informal networks rather than formal academic channels. Key benefits included immediate conceptual clarification across multidisciplinary subjects, enhanced academic efficiency, and support for clinical preparation through simulated patient interactions. However, concerns were expressed regarding regional context limitations, accuracy and reliability issues, potential impacts on critical thinking development, uncertainties related to academic integrity, and affordability constraints for premium features. Conclusion: The findings reveal that students resourcefully use AI tools to enhance learning but navigate considerable challenges, including information inaccuracies, ethical uncertainties, and concerns about adverse impacts on critical thinking skills. Future recommendations include establishing clear institutional policies, implementing formal AI literacy training, developing UK-centric pharmacy-specific AI tools, and adopting scaffolded curriculum integration approaches.</t>
  </si>
  <si>
    <t>Alghalbie, Farah; Elnaem, Mohamed Hassan; Mccarron, Paul A.</t>
  </si>
  <si>
    <t>Elnaem, MH (corresponding author), Ulster Univ, Sch Pharm &amp; Pharmaceut Sci, Coleraine BT52 ISA, North Ireland.</t>
  </si>
  <si>
    <t>m.elnaem@ulster.ac.uk</t>
  </si>
  <si>
    <t>CW Young Fund under Pharmacy Forum Northern Ireland</t>
  </si>
  <si>
    <t>This work received support from the CW Young Fund under Pharmacy Forum Northern Ireland.</t>
  </si>
  <si>
    <t>[Alghalbie, Farah; Elnaem, Mohamed Hassan; Mccarron, Paul A.] Ulster Univ, Sch Pharm &amp; Pharmaceut Sci, Coleraine BT52 ISA, North Ireland</t>
  </si>
  <si>
    <t>Ulster University</t>
  </si>
  <si>
    <t>Perspectives on artificial intelligence use in pharmacy education in Northern Ireland: A qualitative study based on the unified theory of acceptance and use of technology</t>
  </si>
  <si>
    <t>CURRENTS IN PHARMACY TEACHING AND LEARNING</t>
  </si>
  <si>
    <t>Artificial intelligence; Pharmacy education; Pharmacy students; Northern Ireland; United Kingdom</t>
  </si>
  <si>
    <t>STUDENTS; AI</t>
  </si>
  <si>
    <t>Elnaem, Mohamed Hassan/O-9248-2017; McCarron, Paul/AAI-2473-2019</t>
  </si>
  <si>
    <t>Elnaem, Mohamed Hassan/0000-0003-0873-6541</t>
  </si>
  <si>
    <t>1877-1297</t>
  </si>
  <si>
    <t>1877-1300</t>
  </si>
  <si>
    <t>CURR PHARM TEACH LEA</t>
  </si>
  <si>
    <t>Curr. Pharm. Teach. Learn.</t>
  </si>
  <si>
    <t>102490</t>
  </si>
  <si>
    <t>10.1016/j.cptl.2025.102490</t>
  </si>
  <si>
    <t>http://dx.doi.org/10.1016/j.cptl.2025.102490</t>
  </si>
  <si>
    <t>7WD0Q</t>
  </si>
  <si>
    <t>40992243</t>
  </si>
  <si>
    <t>WOS:001581067400002</t>
  </si>
  <si>
    <t>Stahl, BC; Antoniou, J; Bhalla, N; Brooks, L; Jansen, P; Lindqvist, B; Kirichenko, A; Marchal, S; Rodrigues, R; Santiago, N; Warso, Z; Wright, D</t>
  </si>
  <si>
    <t>Artificial intelligence (AI) is producing highly beneficial impacts in many domains, from transport to healthcare, from energy distribution to marketing, but it also raises concerns about undesirable ethical and social consequences. AI impact assessments (AI-IAs) are a way of identifying positive and negative impacts early on to safeguard AI's benefits and avoid its downsides. This article describes the first systematic review of these AI-IAs. Working with a population of 181 documents, the authors identified 38 actual AI-IAs and subjected them to a rigorous qualitative analysis with regard to their purpose, scope, organisational context, expected issues, timeframe, process and methods, transparency and challenges. The review demonstrates some convergence between AI-IAs. It also shows that the field is not yet at the point of full agreement on content, structure and implementation. The article suggests that AI-IAs are best understood as means to stimulate reflection and discussion concerning the social and ethical consequences of AI ecosystems. Based on the analysis of existing AI-IAs, the authors describe a baseline process of implementing AI-IAs that can be implemented by AI developers and vendors and that can be used as a critical yardstick by regulators and external observers to evaluate organisations' approaches to AI.</t>
  </si>
  <si>
    <t>Stahl, Bernd Carsten; Antoniou, Josephina; Bhalla, Nitika; Brooks, Laurence; Jansen, Philip; Lindqvist, Blerta; Kirichenko, Alexey; Marchal, Samuel; Rodrigues, Rowena; Santiago, Nicole; Warso, Zuzanna; Wright, David</t>
  </si>
  <si>
    <t>Stahl, BC (corresponding author), Univ Nottingham, Sch Comp Sci, Nottingham, England.; Stahl, BC (corresponding author), De Montfort Univ, Ctr Comp &amp; Social Responsibil, Leicester, England.</t>
  </si>
  <si>
    <t>bernd.stahl@nottingham.ac.uk</t>
  </si>
  <si>
    <t>EU; European Union's Horizon 2020 Framework Programme for Research and Innovation [786641, 945539]; UK Engineering and Physical Sciences Research Council [Horizon Digital Economy Research Trusted Data Driven Products] [EP/T022493/1]; EPSRC [EP/T022493/1] Funding Source: UKRI</t>
  </si>
  <si>
    <t>EU (European Union (EU)); European Union's Horizon 2020 Framework Programme for Research and Innovation (Horizon 2020); UK Engineering and Physical Sciences Research Council [Horizon Digital Economy Research Trusted Data Driven Products]; EPSRC (UK Research &amp; Innovation (UKRI), Engineering &amp; Physical Sciences Research Council (EPSRC))</t>
  </si>
  <si>
    <t>The authors would like to acknowledge the contribution of colleagues from the SHERPA project as well as other researchers with whom this work was discussed. This article draws from research undertaken by the EU-funded projects SHERPA (www.project-sherpa.eu) and the Human Brain Project SGA3 (www.humanbrainproject) that have received funding from the European Union's Horizon 2020 Framework Programme for Research and Innovation under Grant Nos. 786641 and 945539. This work was supported by the UK Engineering and Physical Sciences Research Council [Horizon Digital Economy Research Trusted Data Driven Products: EP/T022493/1]</t>
  </si>
  <si>
    <t>[Stahl, Bernd Carsten] Univ Nottingham, Sch Comp Sci, Nottingham, England; [Stahl, Bernd Carsten; Bhalla, Nitika] De Montfort Univ, Ctr Comp &amp; Social Responsibil, Leicester, England; [Antoniou, Josephina] Univ Cent Lancashire Cyprus, Sch Sci, Larnaka, Cyprus; [Brooks, Laurence] Univ Sheffield, Informat Sch, Sheffield, England; [Jansen, Philip] Univ Twente, Dept Philosophy, Enschede, Netherlands; [Lindqvist, Blerta] Aalto Univ, Dept Comp Sci, Espoo, Finland; [Kirichenko, Alexey; Marchal, Samuel] WithSecure, Helsinki, Finland; [Rodrigues, Rowena; Santiago, Nicole; Wright, David] Trilateral Res, London, England; [Santiago, Nicole] Technol Ethics &amp; Policy Consulting, Kansas City, MO USA; [Warso, Zuzanna] Trilateral Res, Belview Port, Ireland; [Warso, Zuzanna] Open Future Fdn, Warsaw, Poland</t>
  </si>
  <si>
    <t>University of Nottingham; De Montfort University; University of Sheffield; University of Twente; Aalto University</t>
  </si>
  <si>
    <t>A systematic review of artificial intelligence impact assessments</t>
  </si>
  <si>
    <t>AI; Impact assessment; Systematic review; AI governance</t>
  </si>
  <si>
    <t>PRINCIPLES; AI; ETHICS; RIGHTS</t>
  </si>
  <si>
    <t>Stahl, Bernd Carsten/AAK-4828-2021; Marchal, Samuel/PWH-2231-2026; Antoniou, Josephina/GYA-0935-2022; Brooks, Laurence/AAN-8456-2021</t>
  </si>
  <si>
    <t>Stahl, Bernd Carsten/0000-0002-4058-4456; Marchal, Samuel/0000-0002-8522-2707; Antoniou, Josephina/0000-0003-0169-1299; Brooks, Laurence/0000-0002-5456-8799; Santiago, Nicole/0000-0002-0903-9599</t>
  </si>
  <si>
    <t>12799</t>
  </si>
  <si>
    <t>12831</t>
  </si>
  <si>
    <t>10.1007/s10462-023-10420-8</t>
  </si>
  <si>
    <t>http://dx.doi.org/10.1007/s10462-023-10420-8</t>
  </si>
  <si>
    <t>S4WT3</t>
  </si>
  <si>
    <t>37362899</t>
  </si>
  <si>
    <t>WOS:000960980500002</t>
  </si>
  <si>
    <t>Joseph, JS</t>
  </si>
  <si>
    <t>The article examines the foundational principles of biomedical ethics and their relevance to the intersection of artificial intelligence (AI) and biotechnological progress. It then analyzes the potential impact of the National Institutes of Health's (NIH or the Agency) proposed 2024 reorganization reforms, as presented by the House Committee on Energy and Commerce (E&amp;C), and advocates for the inclusion of provisions that would enable the Agency to develop and deploy "safe, secure, and trustworthy" AI within the biotechnology sector. Thus, the article proposes two key integrative reforms to address these concerns: (1) enhancing research collaborations among healthcare systems, academic institutions, and the private sector through AI-driven platforms, and (2) establishing an NIH office to oversee AI-based health initiatives. These reforms would require legislative amendments, including updates to the Patent and Trademark Law Amendments Act of 1980 (Bayh-Dole Act or Bayh Dole) and the 21st Century Cures Act of 2016 (Cures Act), while adhering to biomedical ethics. Such amendments would ensure (1) ethical standards in collaborative research and development (R&amp;D) among institutions and (2) effective health initiative design and implementation. In the same light, this article advocates for an updated legislative framework to the Health Insurance Portability and Accountability Act of 1996 (HIPAA) that regulates the role of such integrative efforts and balances the transformative potential of AI in biotechnology. In all, these regulatory steps ensure that innovation benefits society while safeguarding individual rights such as personal data and privacy and mitigating algorithmic bias.</t>
  </si>
  <si>
    <t>Joseph, Joshua S.</t>
  </si>
  <si>
    <t>Joseph, JS (corresponding author), Hofstra Univ, Maurice A Deane Sch Law, Hempstead, NY 11549 USA.</t>
  </si>
  <si>
    <t>jjoseph9@pride.hofstra.edu</t>
  </si>
  <si>
    <t>[Joseph, Joshua S.] Hofstra Univ, Maurice A Deane Sch Law, Hempstead, NY 11549 USA</t>
  </si>
  <si>
    <t>Hofstra University</t>
  </si>
  <si>
    <t>Balancing Innovation and Biomedical Ethics within National Institutes of Health: Integrative and Regulatory Reforms for Artificial Intelligence-Driven Biotechnology</t>
  </si>
  <si>
    <t>BIOTECHNOLOGY LAW REPORT</t>
  </si>
  <si>
    <t>Biomedical Ethics; Artificial Intelligence; Biotechnology; National Institutes of Health; Legislative Amendments</t>
  </si>
  <si>
    <t>CHALLENGES; RISKS; ACT</t>
  </si>
  <si>
    <t>MARY ANN LIEBERT, INC</t>
  </si>
  <si>
    <t>NEW ROCHELLE</t>
  </si>
  <si>
    <t>140 HUGUENOT STREET, 3RD FL, NEW ROCHELLE, NY 10801 USA</t>
  </si>
  <si>
    <t>0730-031X</t>
  </si>
  <si>
    <t>1557-8704</t>
  </si>
  <si>
    <t>BIOTECHNOL LAW REP</t>
  </si>
  <si>
    <t>Biotechnol. Law Rep.</t>
  </si>
  <si>
    <t>10.1089/blr.2025.360002.jj</t>
  </si>
  <si>
    <t>http://dx.doi.org/10.1089/blr.2025.360002.jj</t>
  </si>
  <si>
    <t>Biotechnology &amp; Applied Microbiology</t>
  </si>
  <si>
    <t>1LM9L</t>
  </si>
  <si>
    <t>WOS:001463113200001</t>
  </si>
  <si>
    <t>Alkhamali, EA; Allinjawi, AA; Ashari, RB; Tawfik, M</t>
  </si>
  <si>
    <t>Federated learning for speech emotion recognition faces fundamental challenges in simultaneously achieving high performance, privacy preservation, and model interpretability. This paper introduces FedSER-XAI, a novel framework that integrates Particle Swarm Optimization (PSO)-based feature selection, multi-stream cross-attention mechanisms, and graph-based feature extraction within an explainable federated learning architecture. Our approach combines Vision Transformer processing of mel-spectrograms with temporal-spatial graph convolutional networks to capture both contextual and structural speech relationships. The PSO algorithm achieves 78.1% dimensionality reduction (228\documentclass[12pt]{minimal} \usepackage{amsmath} \usepackage{wasysym} \usepackage{amsfonts} \usepackage{amssymb} \usepackage{amsbsy} \usepackage{mathrsfs} \usepackage{upgreek} \setlength{\oddsidemargin}{-69pt} \begin{document}$$\rightarrow$$\end{document}50 features) while improving discriminative power. The multi-stream architecture processes traditional acoustic features alongside novel graph-based representations derived from visibility and correlation graphs, fused through Transformer-based cross-attention mechanisms. Extensive evaluation on EMODB and SAVEE datasets demonstrates exceptional performance: 99.9% and 97.2% accuracy in centralized settings, with remarkable federated performance achieving global model accuracies of 99.7% (EMODB) and 97.2% (SAVEE) across 8 emotion-specialized clients, representing only 0.2% and 0.0% degradation compared to centralized training. The framework achieves rapid convergence within 10 communication rounds, representing minimal performance degradation (0.2% for EMODB) while preserving privacy. Cross-dataset evaluation on CREMA-D yields 68% accuracy, demonstrating reasonable generalization. The comprehensive explainability framework using SHAP and LIME provides global and local interpretations, validating that graph-based features contribute significantly to emotion discrimination. FedSER-XAI represents the first explainable federated speech emotion recognition system, advancing trustworthy AI for sensitive healthcare and human-computer interaction applications.</t>
  </si>
  <si>
    <t>Alkhamali, Eman Abdulrahman; Allinjawi, Arwa Abdulaziz; Ashari, Rehab Bahaaddin; Tawfik, Mohammed</t>
  </si>
  <si>
    <t>Alkhamali, EA (corresponding author), King Abdulaziz Univ, Dept Comp Sci, Jeddah 21589, Saudi Arabia.; Alkhamali, EA (corresponding author), Jouf Univ, Coll Comp &amp; Informat Sci, Dept Comp Sci, Sakaka 72341, Saudi Arabia.</t>
  </si>
  <si>
    <t>eeedalenizi@stu.kau.edu.sa</t>
  </si>
  <si>
    <t>[Alkhamali, Eman Abdulrahman; Allinjawi, Arwa Abdulaziz] King Abdulaziz Univ, Dept Comp Sci, Jeddah 21589, Saudi Arabia; [Alkhamali, Eman Abdulrahman] Jouf Univ, Coll Comp &amp; Informat Sci, Dept Comp Sci, Sakaka 72341, Saudi Arabia; [Ashari, Rehab Bahaaddin] King Abdulaziz Univ, Informat Syst Dept, Jeddah 21589, Saudi Arabia; [Tawfik, Mohammed] Ajloun Natl Univ, Fac Informat Technol, Dept Cyber Secur, Ajloun 26810, Jordan</t>
  </si>
  <si>
    <t>King Abdulaziz University; Al Jouf University; King Abdulaziz University</t>
  </si>
  <si>
    <t>FedSER-XAI: PSO-optimized multi-stream cross-attention transformer with graph features for explainable federated speech emotion recognition</t>
  </si>
  <si>
    <t>Speech emotion recognition; Federated learning; Explainable AI; Cross-attention mechanisms; Graph neural networks; Particle swarm optimization; Privacy preservation</t>
  </si>
  <si>
    <t>Ashari, Rehab/OLP-5277-2025; Tawfik Musaed, Mohammed/AEI-4828-2022</t>
  </si>
  <si>
    <t>Tawfik Musaed, Mohammed/0000-0002-1227-387X; TAWFIK, MOHAMMED/0009-0004-7622-5991</t>
  </si>
  <si>
    <t>NOV 24 2025</t>
  </si>
  <si>
    <t>43375</t>
  </si>
  <si>
    <t>10.1038/s41598-025-28686-z</t>
  </si>
  <si>
    <t>http://dx.doi.org/10.1038/s41598-025-28686-z</t>
  </si>
  <si>
    <t>R4783</t>
  </si>
  <si>
    <t>41286242</t>
  </si>
  <si>
    <t>WOS:001635632800001</t>
  </si>
  <si>
    <t>Grossi, E</t>
  </si>
  <si>
    <t>Artificial intelligence (AI) has its roots in the history of philosophy and of applied mathematics of the 17th, 18th and 19th centuries. Throughout the 20th century, significant advancements in mathematics and computer science laid the groundwork for modern AI, culminating in the establishment of the field as a formal discipline during the Dartmouth Conference in 1956. This pivotal event brought together leading researchers who envisioned creating machines capable of simulating human intelligence, setting the stage for decades of research and innovation in the field. The development of early AI systems focused on problem-solving and symbolic reasoning, leading to the creation of programmes that could play games like chess and solve mathematical equations, which show-cased the potential of machines to perform tasks previously thought to require human intellect. As these foundational systems evolved, researchers began to explore more complex algorithms and learning models, paving the way for advancements in machine learning and neural networks that would eventually revolutionise AI applications across various fields among which medicine. The growth of big data and increased computational power further accelerated these advancements, enabling machines to analyse vast amounts of health information and learn from patterns at unprecedented speeds. The revolution of deep learning and soon after large language models has enabled machines to achieve remarkable feats, such as image and speech recognition, natural language processing, and even creative tasks like art generation, pushing the boundaries of what was once thought possible. As organisations grapple with these challenges, there is growing emphasis on developing frameworks that ensure responsible AI deployment while maximising its potential benefits for human health.</t>
  </si>
  <si>
    <t>Grossi, E.</t>
  </si>
  <si>
    <t>Grossi, E (corresponding author), Via IV Novembre, I-22038 Tavernerio, CO, Italy.</t>
  </si>
  <si>
    <t>enzo.grossi@bracco.com</t>
  </si>
  <si>
    <t>[Grossi, E.] Villa Santa Maria Fdn, Tavernerio, Italy</t>
  </si>
  <si>
    <t>The long journey of artificial intelligence in medicine: an overview</t>
  </si>
  <si>
    <t>CLINICAL AND EXPERIMENTAL RHEUMATOLOGY</t>
  </si>
  <si>
    <t>artificial intelligence; medicine</t>
  </si>
  <si>
    <t>NEURAL-NETWORKS; RECOGNITION; DISEASE</t>
  </si>
  <si>
    <t>CLINICAL &amp; EXPER RHEUMATOLOGY</t>
  </si>
  <si>
    <t>PISA</t>
  </si>
  <si>
    <t>VIA SANTA MARIA 31, 56126 PISA, ITALY</t>
  </si>
  <si>
    <t>0392-856X</t>
  </si>
  <si>
    <t>1593-098X</t>
  </si>
  <si>
    <t>CLIN EXP RHEUMATOL</t>
  </si>
  <si>
    <t>Clin. Exp. Rheumatol.</t>
  </si>
  <si>
    <t>815</t>
  </si>
  <si>
    <t>821</t>
  </si>
  <si>
    <t>10.55563/clinexprheumatol/oamfed</t>
  </si>
  <si>
    <t>http://dx.doi.org/10.55563/clinexprheumatol/oamfed</t>
  </si>
  <si>
    <t>2LU4S</t>
  </si>
  <si>
    <t>40338059</t>
  </si>
  <si>
    <t>WOS:001485699900003</t>
  </si>
  <si>
    <t>Alqaissi, N; Qtait, M</t>
  </si>
  <si>
    <t>Artificial intelligence (AI) is increasingly integrated into healthcare education worldwide, yet disparities in access, training, and institutional readiness remain evident, particularly in low-resource and conflict-affected settings. Understanding how health sciences students engage with AI technologies and the barriers they encounter is essential for guiding the development of AI-ready curricula in Palestinian universities. This study aimed to examine the adoption patterns, perceived barriers, and determinants of artificial intelligence use among health sciences students at Palestine Polytechnic University in Palestine. A descriptive cross-sectional study was conducted among 666 undergraduate students from the Colleges of Nursing, Medicine and Health Sciences, and Dentistry. Data were collected using a validated self-administered questionnaire assessing demographic characteristics, AI knowledge, attitudes, practice behaviors, and perceived barriers. Descriptive statistics summarized usage patterns. Mann-Whitney U tests, Kruskal-Wallis tests, and chi-square analyses examined group differences. Multivariate logistic regression identified predictors of AI adoption. Statistical significance was set at p &lt;= .05. The result of the study. AI use was highly prevalent, with 93.4% of students reporting active engagement. AI was primarily used for study and learning (87.7%), written assignments (57.5%), and personal purposes (54.2%). Significant differences in AI usage were observed across academic disciplines (chi &amp; sup2; = 17.292, p = .008), with dentistry students reporting longer daily use. Major barriers included limited curriculum integration (48.2%), ethical and privacy concerns (47.9%), and insufficient training centers (40.4%). Multivariate analysis showed that college affiliation and knowledge score significantly predicted AI adoption, whereas gender, academic year, and previous AI training were not significant predictors. The Conclusion. Despite widespread exposure to AI technologies, students' engagement remains largely informal and constrained by curricular, infrastructural, and ethical barriers. Institutional strategies including curriculum reform, faculty development, and improved digital infrastructure are necessary to support responsible AI integration in health sciences education in Palestine.</t>
  </si>
  <si>
    <t>Alqaissi, Nesreen; Qtait, Mohammad</t>
  </si>
  <si>
    <t>Qtait, M (corresponding author), Palestine Polytech Univ, Nursing Coll, Hebron, Palestine.</t>
  </si>
  <si>
    <t>mohamadtaha98@hotmail.com</t>
  </si>
  <si>
    <t>[Alqaissi, Nesreen; Qtait, Mohammad] Palestine Polytech Univ, Nursing Coll, Hebron, Palestine</t>
  </si>
  <si>
    <t>Palestine Polytechnic University</t>
  </si>
  <si>
    <t>Barriers, adoption patterns, and determinants of artificial intelligence use among health sciences students in Palestine</t>
  </si>
  <si>
    <t>PLOS DIGITAL HEALTH</t>
  </si>
  <si>
    <t>2767-3170</t>
  </si>
  <si>
    <t>PLOS DIGIT HEALTH</t>
  </si>
  <si>
    <t>PLOS Digit. Health</t>
  </si>
  <si>
    <t>e0001575</t>
  </si>
  <si>
    <t>10.1371/journal.pdig.0001575</t>
  </si>
  <si>
    <t>http://dx.doi.org/10.1371/journal.pdig.0001575</t>
  </si>
  <si>
    <t>MI4QJ</t>
  </si>
  <si>
    <t>WOS:001843015600006</t>
  </si>
  <si>
    <t>Talbert, DA; Phillips, KL; Brown, KE; Talbert, S</t>
  </si>
  <si>
    <t>Trauma triage occurs in suboptimal environments for making consequential decisions. Published triage studies demonstrate the extremes of the complexity/accuracy trade-off, either studying simple models with poor accuracy or very complex models with accuracies nearing published goals. Using a Level I Trauma Center's registry cases (n = 50 644), this study describes, uses, and derives observations from a methodology to more thoroughly examine this trade-off. This or similar methods can provide the insight needed for practitioners to balance understandability with accuracy. Additionally, this study incorporates an evaluation of group-based fairness into this trade-off analysis to provide an additional dimension of insight into model selection. Lastly, this paper proposes and analyzes a multi-model approach to mitigating trust-related trade-offs. The experiments allow us to draw several conclusions regarding the machine learning models in the domain of trauma triage and demonstrate the value of our trade-off analysis to provide insight into choices regarding model complexity, model accuracy, and model fairness.</t>
  </si>
  <si>
    <t>Talbert, Douglas A.; Phillips, Katherine L.; Brown, Katherine E.; Talbert, Steve</t>
  </si>
  <si>
    <t>Talbert, DA (corresponding author), Tennessee Technol Univ, Comp Sci, 1 William L Jones Dr, Cookeville, TN 38505 USA.</t>
  </si>
  <si>
    <t>klphillips45@tntech.edu; dtalbert@tntech.edu; katherine.brown@vumc.org; steven.talbert@ucf.edu</t>
  </si>
  <si>
    <t>National Library of Medicine of the National Institutes of Health [R15LM013824]</t>
  </si>
  <si>
    <t>National Library of Medicine of the National Institutes of Health (United States Department of Health &amp; Human Services, National Institutes of Health (NIH) - USA, NIH National Library of Medicine (NLM))</t>
  </si>
  <si>
    <t>Research reported in this publication was supported by the National Library of Medicine of the National Institutes of Health under Award Number R15LM013824. The content is solely the responsibility of the authors and does not necessarily represent the official views of the National Institutes of Health</t>
  </si>
  <si>
    <t>[Talbert, Douglas A.; Phillips, Katherine L.] Tennessee Technol Univ, Comp Sci, 1 William L Jones Dr, Cookeville, TN 38505 USA; [Brown, Katherine E.] Vanderbilt Univ, Biomed Informat, 2525 West End Ave, Nashville, TN 37203 USA; [Talbert, Steve] Univ Cent Florida, Nursing, 12201 Res Pkwy, Orlando, FL 32826 USA</t>
  </si>
  <si>
    <t>Tennessee Technological University; Vanderbilt University; State University System of Florida; University of Central Florida</t>
  </si>
  <si>
    <t>Assessing and Addressing Model Trustworthiness Trade-offs in Trauma Triage</t>
  </si>
  <si>
    <t>Machine learning; trustworthy AI; trauma triage</t>
  </si>
  <si>
    <t>PREHOSPITAL TRIAGE; INJURED PATIENTS; FIELD TRIAGE; ACCURACY; VALIDATION; GUIDELINE; SYSTEMS</t>
  </si>
  <si>
    <t>Brown, Katherine/KIE-5847-2024</t>
  </si>
  <si>
    <t>Brown, Katherine/0000-0003-4443-8541</t>
  </si>
  <si>
    <t>03</t>
  </si>
  <si>
    <t>2460007</t>
  </si>
  <si>
    <t>10.1142/S0218213024600078</t>
  </si>
  <si>
    <t>http://dx.doi.org/10.1142/S0218213024600078</t>
  </si>
  <si>
    <t>OJ3Z4</t>
  </si>
  <si>
    <t>41479775</t>
  </si>
  <si>
    <t>WOS:001206876800005</t>
  </si>
  <si>
    <t>Mathes, S; Ferber, D; Dreyer, T; Borm, KJ; Modersohn, L; Willem, T; Dirven, R; Vibert, J; Kreutzfeldt, S; Perez-Lopez, R; Prelaj, A; Strand, F; Baird, RD; Boeker, M; Kather, JN; Tschochohei, M; Lammert, J</t>
  </si>
  <si>
    <t>Precision oncology leverages real-world data, essential for identifying biomarkers and therapies. Large language models (LLMs) can aid at structuring unstructured data, overcoming current bottlenecks in precision oncology. We propose a framework for responsible LLM integration into precision oncology, co-developed by multidisciplinary experts and supported by Cancer Core Europe. Five thematic dimensions and ten principles for practice are outlined and illustrated through application to uterine carcinosarcoma in a thought experiment.</t>
  </si>
  <si>
    <t>Mathes, Sonja; Ferber, Dyke; Dreyer, Tobias; Borm, Kai J.; Modersohn, Luise; Willem, Theresa; Dirven, Richard; Vibert, Julien; Kreutzfeldt, Simon; Perez-Lopez, Raquel; Prelaj, Arsela; Strand, Fredrik; Baird, Richard D.; Boeker, Martin; Kather, Jakob Nikolas; Tschochohei, Maximilian; Lammert, Jacqueline</t>
  </si>
  <si>
    <t>Mathes, S (corresponding author), Tech Univ Munich, TUM Sch Med &amp; Hlth, Dept Dermatol, Munich, Germany.; Mathes, S (corresponding author), Johannes Gutenberg Univ Mainz, Inst Hist Theory &amp; Ethics Med, Med Ctr, Mainz, Germany.</t>
  </si>
  <si>
    <t>sonja.mathes@mri.tum.de</t>
  </si>
  <si>
    <t>Projekt DEAL</t>
  </si>
  <si>
    <t>Projekt DEAL (Projekt DEAL)</t>
  </si>
  <si>
    <t>[Mathes, Sonja] Tech Univ Munich, TUM Sch Med &amp; Hlth, Dept Dermatol, Munich, Germany; [Mathes, Sonja] Johannes Gutenberg Univ Mainz, Inst Hist Theory &amp; Ethics Med, Med Ctr, Mainz, Germany; [Ferber, Dyke; Kather, Jakob Nikolas] Tech Univ Dresden, Else Kroener Fresenius Ctr Digital Hlth, Dresden, Germany; [Ferber, Dyke; Kather, Jakob Nikolas] Heidelberg Univ Hosp, Natl Ctr Tumor Dis, Heidelberg, Germany; [Ferber, Dyke; Kather, Jakob Nikolas] Heidelberg Univ Hosp, Dept Med Oncol, Heidelberg, Germany; [Dreyer, Tobias; Lammert, Jacqueline] Tech Univ Munich, TUM Sch Med &amp; Hlth, Dept Gynecol, Munich, Germany; [Dreyer, Tobias; Lammert, Jacqueline] Tech Univ Munich, Ctr Hereditary Breast &amp; Ovarian Canc, Munich, Germany; [Dreyer, Tobias; Lammert, Jacqueline] Tech Univ Munich, German Canc Consortium DKTK, Partner Site Munich, Munich, Germany; [Borm, Kai J.] Tech Univ Munich, Sch Med &amp; Hlth, Dept Radiat Oncol, Munich, Germany; [Borm, Kai J.] Tech Univ Munich, Bavarian Ctr Canc Res BZKF, Partner Site, Munich, Germany; [Modersohn, Luise; Boeker, Martin; Tschochohei, Maximilian; Lammert, Jacqueline] Tech Univ Munich, Inst Artificial Intelligence Med &amp; Healthcare, TUM Sch Med &amp; Hlth, Munich, Germany; [Willem, Theresa] Helmholtz Munich, Munich, Germany; [Dirven, Richard] Netherlands Canc Inst, Dept Head &amp; Neck Surg &amp; Oncol, Amsterdam, Netherlands; [Dirven, Richard] Radboud Univ Nijmegen, Med Ctr, Dept Otorhinolaryngol &amp; Head &amp; Neck Surg, Nijmegen, Netherlands; [Dirven, Richard; Vibert, Julien; Kreutzfeldt, Simon; Perez-Lopez, Raquel; Prelaj, Arsela; Baird, Richard D.; Kather, Jakob Nikolas] Canc Core Europe, Villejuif, France; [Vibert, Julien] Gustave Roussy, Drug Dev Dept, DITEP, Villejuif, France; [Kreutzfeldt, Simon] German Canc Res Ctr, Div Translat Med Oncol, Heidelberg, Germany; [Kreutzfeldt, Simon] NCT Heidelberg, Heidelberg, Germany; [Perez-Lopez, Raquel] Vall Hebron Inst Oncol, Radi Grp, Barcelona, Spain; [Prelaj, Arsela] Fdn IRCCS Ist Nazl Tumori INT, Dept Med Oncol, AI ON Lab, Milan, Italy; [Strand, Fredrik] Karolinska Inst, Dept Oncol &amp; Pathol, Solna, Sweden; [Strand, Fredrik] Karolinska Univ Hosp, Med Diagnost Karolinska, Solna, Sweden; [Baird, Richard D.] Canc Res UK Cambridge Ctr, Cambridge, England; [Kather, Jakob Nikolas] Univ Hosp Dresden, Dept Med 1, Dresden, Germany; [Tschochohei, Maximilian] Google Cloud, Munich, Germany; [Lammert, Jacqueline] Tech Univ Munich, TUM Sch Med &amp; Hlth, Ctr Personalized Med ZPM, Univ Hosp, Munich, Germany</t>
  </si>
  <si>
    <t>Technical University of Munich; Johannes Gutenberg University of Mainz; Technische Universitat Dresden; Ruprecht Karls University Heidelberg; Helmholtz Association; National Center for Tumor Diseases; German Cancer Research Center (DKFZ); Ruprecht Karls University Heidelberg; National Center for Tumor Diseases; Technical University of Munich; Technical University of Munich; Helmholtz Association; Technical University of Munich; German Cancer Research Center (DKFZ); Technical University of Munich; Technical University of Munich; Technical University of Munich; Netherlands Cancer Institute; Radboud University Nijmegen; UNICANCER; Gustave Roussy; Helmholtz Association; German Cancer Research Center (DKFZ); Ruprecht Karls University Heidelberg; Helmholtz Association; National Center for Tumor Diseases; German Cancer Research Center (DKFZ); Vall d'Hebron Institut d'Oncologia (VHIO); Fondazione IRCCS Istituto Nazionale Tumori Milan; Karolinska Institutet; Karolinska Institutet; Karolinska University Hospital; CRUK Cambridge Institute; Cancer Research UK; Technische Universitat Dresden; Carl Gustav Carus University Hospital; University of Munich; Technical University of Munich</t>
  </si>
  <si>
    <t>Collaborative framework on responsible AI in LLM-driven CDSS for precision oncology leveraging real-world patient data</t>
  </si>
  <si>
    <t>Perez, Raquel/KDN-6020-2024; Strand, Fredrik/AFH-8721-2022; Dreyer, Tobias/IYS-1076-2023; Kather, Jakob/D-4279-2015; Prelaj, Arsela/ABB-1872-2020; Vibert, Julien/PLR-4720-2026; /AFD-1919-2022; Baird, Richard/S-4764-2019; Willem, Theresa/LWK-6874-2024</t>
  </si>
  <si>
    <t>Lammert, Jacqueline/0000-0002-0380-574X; Baird, Richard/0000-0001-7071-6483; Willem, Theresa/0000-0001-7643-8816</t>
  </si>
  <si>
    <t>10.1038/s41698-025-01180-5</t>
  </si>
  <si>
    <t>http://dx.doi.org/10.1038/s41698-025-01180-5</t>
  </si>
  <si>
    <t>AZ3AH</t>
  </si>
  <si>
    <t>41345244</t>
  </si>
  <si>
    <t>WOS:001660325400001</t>
  </si>
  <si>
    <t>Kinross, JM; Lam, K; Yiu, A; Adams, K; Altaf, K; Burns, E; Duffourc, M; Eardley, N; Evans, C; Giannarou, S; Hancock, L; Hu, V; Javed, A; Khare, S; Mazomenos, E; McGeever, L; Moug, S; Nastro, P; Ourselin, S; Ramamoorthy, S; Roxburgh, C; Simister, C; Stoyanov, D; Thomas, G; Valdastri, P; Vass, M; Vimalachandran, D; Vercauteren, T; Davies, J</t>
  </si>
  <si>
    <t>Aim The ACPGBI has commissioned a taskforce to devise a strategy for integrating artificial intelligence (AI) into colorectal surgery. This report aims to (i) map current AI adoption amongst UK colorectal surgeons; (ii) evaluate knowledge, attitudes, perceptions and experience of AI technologies; and (iii) establish priority recommendations to drive innovation across the specialty. Methods A prospective 45-item questionnaire was circulated to the ACPGBI membership. Questionnaire findings were explored at a multidisciplinary round table of surgeons, allied professionals, computer scientists and lawyers. Strategic recommendations were then generated. Results 122 members responded (75.4% consultants; 72.1% male; modal age 41-50 years). Although 43.5% used AI daily, only one third said they could explain key concepts within AI. 86.9% anticipated routine future-AI use, with documentation and imaging ranked highest. 88.5% endorsed formal AI training. Major obstacles were unclear regulation, cost, medicolegal liability and professional or patient distrust. The round table generated 17 recommendations across clinical, educational and research domains and a ten-point action plan, including the establishment of a Colorectal AI Committee and the creation of an open-source colorectal foundational data initiative. Conclusion This taskforce report combines questionnaire insights from the ACPGBI membership and expert debate into 17 key recommendations and a ten-point action plan that will set the direction of future colorectal AI practice. The objective is to establish a framework through which colorectal surgical practice can be augmented by safe, trustworthy AI.</t>
  </si>
  <si>
    <t>Kinross, James M.; Lam, Kyle; Yiu, Andrew; Adams, Katie; Altaf, Kiran; Burns, Elaine; Duffourc, Mindy; Eardley, Nicola; Evans, Charles; Giannarou, Stamatia; Hancock, Laura; Hu, Victoria; Javed, Ahsan; Khare, Shivank; Mazomenos, Evangelos; Mcgeever, Linnet; Moug, Susan; Nastro, Piero; Ourselin, Sebastien; Ramamoorthy, Subramanian; Roxburgh, Campbell; Simister, Catherine; Stoyanov, Danail; Thomas, Gregory; Valdastri, Pietro; Vass, Marcus; Vimalachandran, Dale; Vercauteren, Tom; Davies, Justin</t>
  </si>
  <si>
    <t>Lam, K (corresponding author), Imperial Coll, St Marys Hosp, Dept Surg &amp; Canc, 10th Floor Queen Elizabeth Queen Mother Bldg, London W2 1NY, England.</t>
  </si>
  <si>
    <t>k.lam@imperial.ac.uk</t>
  </si>
  <si>
    <t>[Kinross, James M.; Lam, Kyle; Yiu, Andrew; Burns, Elaine; Giannarou, Stamatia; Hu, Victoria; Khare, Shivank; Simister, Catherine] Imperial Coll London, Dept Surg &amp; Canc, London, England; [Adams, Katie] Guys &amp; St Thomas NHS Fdn Trust, Dept Colorectal Surg, London, England; [Altaf, Kiran; Javed, Ahsan] Liverpool Univ Hosp NHS Fdn Trust, Dept Colorectal Surg, Liverpool, England; [Burns, Elaine; Thomas, Gregory] St Marks Natl Bowel Hosp, Dept Colorectal Surg, London, England; [Duffourc, Mindy] Maastricht Univ, Fac Law, Maastricht, Netherlands; [Eardley, Nicola] Univ Chester, Fac Hlth Med &amp; Soc, Chester, England; [Evans, Charles] Univ Hosp Coventry &amp; Warwickshire NHS Trust, Dept Colorectal Surg, Coventry, England; [Hancock, Laura] Manchester Univ NHS Fdn Trust, Dept Colorectal Surg, Manchester, England; [Mazomenos, Evangelos; Stoyanov, Danail] UCL, Dept Med Phys &amp; Biomed Engn, London, England; NHS Forth Valley, Dept Colorectal Surg, Stirling, Scotland; [Moug, Susan] Royal Alexandra Hosp, Dept Colorectal Surg, Paisley, Scotland; [Moug, Susan] Golden Jubilee Univ Natl Hosp, Dept Colorectal Surg, Clydebank, Scotland; [Nastro, Piero] Dartford &amp; Gravesham NHS Trust, Dept Colorectal Surg, Dartford, England; [Ourselin, Sebastien; Vercauteren, Tom] Kings Coll London, Sch Biomed Engn &amp; Imaging Sci, London, England; [Ramamoorthy, Subramanian] Univ Edinburgh, Sch Informat, Edinburgh, Scotland; [Roxburgh, Campbell] Univ Glasgow, Sch Canc Sci, Glasgow City, Scotland; [Valdastri, Pietro] Univ Leeds, Sch Elect &amp; Elect Engn, Leeds, England; [Vass, Marcus] Osborne Clarke LLP, London, England; [Vimalachandran, Dale] Univ Liverpool, Dept Mol &amp; Clin Canc Med, Liverpool, England; [Davies, Justin] Cambridge Univ Hosp NHS Fdn Trust, Dept Colorectal Surg, Cambridge, England; [Davies, Justin] Univ Cambridge, Sch Clin Med, Cambridge, England</t>
  </si>
  <si>
    <t>Imperial College London; Guy's &amp; St Thomas' NHS Foundation Trust; Maastricht University; University of Chester; University of Warwick; Manchester University NHS Foundation Trust; University of London; University College London; University of London; King's College London; University of Edinburgh; University of Glasgow; University of Leeds; University of Liverpool; University of Cambridge; University of Cambridge</t>
  </si>
  <si>
    <t>The ACPGBI AI taskforce report: A mixed-methods roadmap for AI in colorectal surgery</t>
  </si>
  <si>
    <t>COLORECTAL DISEASE</t>
  </si>
  <si>
    <t>artificial intelligence; foundational datasets; generative AI; implementation strategy; machine learning; surgical education; surgical innovation</t>
  </si>
  <si>
    <t>Ourselin, Sebastien/IYJ-1105-2023; vimalachandran, dale/J-5693-2019; aljiffry, Murad/KBD-4042-2024; Yiu, Andrew/OXA-9336-2025; Lam, Kyle/IYS-5925-2023; Valdastri, Pietro/AAG-1706-2019; Duffourc, Mindy/LZI-7025-2025; Burns, Elaine/V-5416-2019; Vercauteren, Tom/I-7290-2013; Stoyanov, Danail/V-1043-2019; /AID-4172-2022</t>
  </si>
  <si>
    <t>Ourselin, Sebastien/0000-0002-5694-5340; vimalachandran, dale/0000-0001-5817-8969; Eardley, Nicola/0000-0001-6528-4292; Lam, Kyle/0000-0001-6407-4912; Duffourc, Mindy/0000-0001-6215-7925; Kinross, James/0000-0002-0427-7643; Vercauteren, Tom/0000-0003-1794-0456; Giannarou, Stamatia/0000-0002-8745-1343; Mazomenos, Evangelos/0000-0003-0357-5996</t>
  </si>
  <si>
    <t>1462-8910</t>
  </si>
  <si>
    <t>1463-1318</t>
  </si>
  <si>
    <t>COLORECTAL DIS</t>
  </si>
  <si>
    <t>Colorectal Dis.</t>
  </si>
  <si>
    <t>e70232</t>
  </si>
  <si>
    <t>10.1111/codi.70232</t>
  </si>
  <si>
    <t>http://dx.doi.org/10.1111/codi.70232</t>
  </si>
  <si>
    <t>Gastroenterology &amp; Hepatology; Surgery</t>
  </si>
  <si>
    <t>8EO3J</t>
  </si>
  <si>
    <t>40958429</t>
  </si>
  <si>
    <t>WOS:001586796500023</t>
  </si>
  <si>
    <t>hybrid; Green Submitted; Green Published; Green Accepted</t>
  </si>
  <si>
    <t>Sharma, D; Subramaniam, M; Anabala, M; Muniyan, R</t>
  </si>
  <si>
    <t>Background Triple negative breast cancer (TNBC) is an aggressive disease characterized by a poor prognosis, high decline rates, lack of hormonal receptors for targeted therapy, limited effectiveness of existing treatments, and the emergence of chemoresistance. Sirtuin1 (SIRT1) is an epigenetic modifier and nicotinamide adenine dinucleotide (NAD+) dependent class III histone deacetylase (HDACs) protein. It promotes the modulation of several tumour suppressors and oncogenes. The evidence also suggests that inhibiting SIRT1 activity using selective SIRT1 inhibitors could restore E-cadherin expression and suppress EMT-mediated metastasis in TNBC cells. Though we have many SIRT1 protein inhibitors, they exhibited off-target effects, low isoform selectivity, and inefficiency at the clinical trial stage.Methods In this study, we aim to identify SIRT1 isoform inhibitors by utilizing an integrated computational approach. Three stages of ML modelling were performed to find the best model from the SIRT1-based dataset. The QDA + ROS and XGBClassifier + ROS models were identified as the most robust, and they were subjected to the SHAP framework (XAI approach) to address the "black box" nature of the developed ML models. The NPASS natural compound dataset was first screened with the applicability domain of the developed models, followed by a two-step virtual screening with UniDock and AutoDock GPU in Scientiflow. Finally, the selected compounds were taken for molecular dynamics simulation, with rigorous trajectory analysis, and preliminary experimental validation was done.Results The compounds with NPASS IDs: NPC216682, NPC480509, NPC210910, and NPC247082 were identified as the most promising hits. Among these hits, Praziquantel (NPC480509), the only available test compound with reported anticancer properties, revealed the cytotoxic nature on MDA-MD-231 and MCF7 breast cancer cell lines, whereas non-cytotoxic on normal breast cell line (MCF10A).Conclusion This study is exploratory. Exact SIRT1 selective inhibition by Praziquantel, along with other hits, may be further studies thorugh in-vitro and in vivo evaluation to understand the exact mechanism of action of these hits. The integrated in silico, and preliminary in-vitro approach proposed in this study could lead to innovative outcomes when applied in a pharmaceutical framework distinct from traditional methods.</t>
  </si>
  <si>
    <t>Sharma, Deepak; Subramaniam, Madhan; Anabala, Madhu; Muniyan, Rajiniraja</t>
  </si>
  <si>
    <t>Muniyan, R (corresponding author), Vellore Inst Technol, Sch Biosci &amp; Technol, Vellore, India.</t>
  </si>
  <si>
    <t>rajiniraja.m@vit.ac.in</t>
  </si>
  <si>
    <t>Vellore Institute of Technology (VIT), Vellore [SG20250148]</t>
  </si>
  <si>
    <t>Vellore Institute of Technology (VIT), Vellore</t>
  </si>
  <si>
    <t>We would like to thank Vellore Institute of Technology (VIT), Vellore for providing partial funding as 'VIT-SEED Grant' (SEED Grant No: SG20250148).</t>
  </si>
  <si>
    <t>[Sharma, Deepak; Anabala, Madhu; Muniyan, Rajiniraja] Vellore Inst Technol, Sch Biosci &amp; Technol, Vellore, India; [Subramaniam, Madhan] Univ Coll Engn Thirukkuvalai, Dept Comp Sci &amp; Engn, Nagapattinam, India</t>
  </si>
  <si>
    <t>An integrative machine learning, explainable AI, molecular simulation, and cytotoxicity validation framework for the discovery of selective SIRT1 inhibitors against triple negative breast cancer</t>
  </si>
  <si>
    <t>FRONTIERS IN BIOINFORMATICS</t>
  </si>
  <si>
    <t>AI; cytotoxicity; machine learning; molecular docking; molecular dynamics simulation; SIRTUIN; TNBC</t>
  </si>
  <si>
    <t>FORCE-FIELD</t>
  </si>
  <si>
    <t>Anabala, Madhu/OUI-4010-2025; Muniyan, Rajiniraja/T-4774-2019</t>
  </si>
  <si>
    <t>2673-7647</t>
  </si>
  <si>
    <t>FRONT BIOINFORM</t>
  </si>
  <si>
    <t>Front. Bioinform.</t>
  </si>
  <si>
    <t>1827014</t>
  </si>
  <si>
    <t>10.3389/fbinf.2026.1827014</t>
  </si>
  <si>
    <t>http://dx.doi.org/10.3389/fbinf.2026.1827014</t>
  </si>
  <si>
    <t>JX8JY</t>
  </si>
  <si>
    <t>42358625</t>
  </si>
  <si>
    <t>WOS:001800532600001</t>
  </si>
  <si>
    <t>Mohammed, TJ; Albahri, AS; Alnoor, A; Khaw, KW; Chew, XY; Lim, ST</t>
  </si>
  <si>
    <t>Background/Objectives: Viral diseases remain a major threat to global public health, particularly during outbreaks when limited therapeutic resources must be rapidly and fairly distributed to large populations. Although Convalescent Plasma (CP) transfusion has shown clinical promise, existing allocation frameworks treat patient prioritization, donor selection, and validation as separate processes. This study proposes a credible, converged smart framework integrating multicriteria decision-making (MCDM) and regression-based validation within a telemedicine environment to enable transparent, data-driven CP allocation. Methods: The proposed framework consists of three stages: (i) Analytic Hierarchy Process (AHP) for weighting five clinically relevant biomarkers, (ii) dual prioritization of patients and donors using Order Preference by Similarity to Ideal Solution (TOPSIS) and Vi &amp; scaron;ekriterijumsko Kompromisno Rangiranje (VIKOR) with Group Decision-Making (GDM), and (iii) regression-based model selection to identify the most robust prioritization model. An external dataset of 80 patients and 80 donors was used for independent validation. Results: The external GDM AHP-VIKOR prediction model demonstrated strong predictive performance and internal consistency, with R2 = 0.971, MSE = 0.0010, RMSE = 0.032, and MAE = 0.025. Correlation analysis confirmed biomarker behavior consistency and stability in ranking, thereby reinforcing the reliability of the prioritization outcomes. Conclusions: The proposed patient-donor matching framework is accurate, interpretable, and timely. This work presents an initial step toward realizing safe AI-enabled transfusion systems within telemedicine, supporting transparent and equitable CP allocation in future outbreak settings.</t>
  </si>
  <si>
    <t>Mohammed, Thura J.; Albahri, Ahmed S.; Alnoor, Alhamzah; Khaw, Khai Wah; Chew, Xin Ying; Lim, Shiuh Tong</t>
  </si>
  <si>
    <t>Chew, XY (corresponding author), Univ Sains Malaysia, Sch Comp Sci, Minden 11800, Pulau Pinang, Malaysia.; Khaw, KW (corresponding author), Univ Sains Malaysia, Sch Management, Malacca 11800, Pulau Pinang, Malaysia.</t>
  </si>
  <si>
    <t>khaiwah@usm.my; thurajamal@student.usm.my; ahmed.bahri1978@gmail.com; alhamzah.malik@stu.edu.iq; shiuhtong1997@gmail.com; xinying@usm.my</t>
  </si>
  <si>
    <t>Universiti Sains Malaysia, Bridging [R501-LR-RND003-0000000913-0000]</t>
  </si>
  <si>
    <t>Universiti Sains Malaysia, Bridging (Universiti Sains Malaysia)</t>
  </si>
  <si>
    <t>This work was supported by Universiti Sains Malaysia, Bridging with Project No: R501-LR-RND003-0000000913-0000.</t>
  </si>
  <si>
    <t>[Mohammed, Thura J.; Chew, Xin Ying] Univ Sains Malaysia, Sch Comp Sci, Minden 11800, Pulau Pinang, Malaysia; [Albahri, Ahmed S.] Imam Jaafar Al Sadiq Univ, Tech Coll, Baghdad 10001, Iraq; [Alnoor, Alhamzah] ASharqiyah Univ, Coll Business Adm, Ibra 400, Oman; [Khaw, Khai Wah; Lim, Shiuh Tong] Univ Sains Malaysia, Sch Management, Malacca 11800, Pulau Pinang, Malaysia</t>
  </si>
  <si>
    <t>Universiti Sains Malaysia; Imam Jaa'far al-Sadiq University; Universiti Sains Malaysia</t>
  </si>
  <si>
    <t>Intelligent Patient Management in Viral Diseases: An Integrated Regression Model and Multi-Criteria Decision-Making Approach to Convalescent Plasma Transfusion</t>
  </si>
  <si>
    <t>convalescent plasma transfusion; intelligent patient management; regression model; telemedicine; trustworthy AI; viral diseases</t>
  </si>
  <si>
    <t>ARTIFICIAL-INTELLIGENCE; SELECTION</t>
  </si>
  <si>
    <t>CHEW, XINYING/B-7391-2018; KHAW, KHAI WAH/T-1931-2018; Albahri, Ahmed/E-7428-2018; J. Mohammed, Thura/LQJ-1906-2024; Al Sayed Noor, Alhamzah Malik/R-2878-2018</t>
  </si>
  <si>
    <t>Lim, Shiuh Tong/0009-0002-7741-9873; CHEW, XINYING/0000-0001-5539-1959; KHAW, KHAI WAH/0000-0003-2646-6477; Albahri, Ahmed/0000-0003-3335-457X; J. Mohammed, Thura/0009-0001-5763-2899; Al Sayed Noor, Alhamzah Malik/0000-0003-2873-2054</t>
  </si>
  <si>
    <t>DEC 6 2025</t>
  </si>
  <si>
    <t>3199</t>
  </si>
  <si>
    <t>10.3390/healthcare13243199</t>
  </si>
  <si>
    <t>http://dx.doi.org/10.3390/healthcare13243199</t>
  </si>
  <si>
    <t>AF1CE</t>
  </si>
  <si>
    <t>41464268</t>
  </si>
  <si>
    <t>WOS:001646631600001</t>
  </si>
  <si>
    <t>Alqheedan, A; Alzughaibi, S</t>
  </si>
  <si>
    <t>Background Vibe coding-generating software through natural-language prompts to large language models without reviewing the underlying code-has moved rapidly from consumer technology into peer-reviewed clinical applications. By early 2026, clinicians had published vibe-coded teaching tools, a validated clinical nomogram, and an end-to-end omics platform built in under 10 minutes for under two dollars. Collins Dictionary named vibe coding its 2025 Word of the Year. No governance framework currently addresses the practice in healthcare.Objective To introduce VIBE-HI, a health-informatics-specific framework for evaluating the appropriateness, quality, and safety of vibe coding across clinical contexts, and to specify its decision logic, quality constructs, and regulatory mapping in operational detail.Methods VIBE-HI was developed as a conceptual framework through a structured, theory-informed narrative synthesis of three literatures-emerging biomedical vibe-coding reports, empirical software-engineering and security research on AI-generated code and established sociotechnical health-informatics theory and software-quality standards-following recognized conceptual-framework methodology. It was refined through illustrative application to four published clinician-built tools. This is a conceptual contribution; it is not a systematic review or a consensus (Delphi) study, and formal empirical validation is identified as the next step.Results VIBE-HI organizes governance into three sequential layers. (1) Risk and Role Stratification assign one of four risk tiers-Green, Yellow, Orange, Red-and a matched clinician-developer role, from prototype to requirements analyst, using four criteria combined by an explicit dominant-criterion rule. (2) Quality and Validation extend ISO/IEC 25010:2023 with three measurable constructs-Code Provenance Transparency, Comprehension Coverage, and Hallucination Resilience-each with defined indicators and tier-dependent thresholds. (3) Compliance and Governance maps HIPAA, IEC 62304, FDA SaMD criteria, and the EU AI Act onto each tier and binds a named accountability owner. The framework treats comprehension abdication-the structural surrender of understanding to a generative system-as the core sociotechnical hazard distinguishing vibe coding from prior AI-assisted development, grounded in the automation-bias, responsibility-gap, and sociotechnical-systems literatures.Conclusion Clinical vibe coding needs risk-stratified governance now, before largely invisible adoption outpaces the field's capacity to assess it. VIBE-HI offers an architecture institutions can apply immediately and provides a clear pathway for empirical validation, beginning with a modified-Delphi consensus study and stakeholder review.</t>
  </si>
  <si>
    <t>Alqheedan, Ahmed; Alzughaibi, Saleh</t>
  </si>
  <si>
    <t>Alzughaibi, S (corresponding author), Saudi Elect Univ, Coll Hlth Sci, Dept Hlth Informat, Riyadh, Saudi Arabia.</t>
  </si>
  <si>
    <t>salzughaibi@seu.edu.sa</t>
  </si>
  <si>
    <t>[Alqheedan, Ahmed; Alzughaibi, Saleh] Saudi Elect Univ, Coll Hlth Sci, Dept Hlth Informat, Riyadh, Saudi Arabia</t>
  </si>
  <si>
    <t>Saudi Electronic University</t>
  </si>
  <si>
    <t>The VIBE-HI framework: a conceptual model for evaluating vibe coding appropriateness, quality, and safety in health informatics</t>
  </si>
  <si>
    <t>AI governance; clinical software safety; clinician-developers; comprehension abdication; health informatics; large language models; vibe coding</t>
  </si>
  <si>
    <t>AUTOMATION; BIAS</t>
  </si>
  <si>
    <t>JUL 23 2026</t>
  </si>
  <si>
    <t>1882814</t>
  </si>
  <si>
    <t>10.3389/frai.2026.1882814</t>
  </si>
  <si>
    <t>http://dx.doi.org/10.3389/frai.2026.1882814</t>
  </si>
  <si>
    <t>MG0CE</t>
  </si>
  <si>
    <t>WOS:001841346200001</t>
  </si>
  <si>
    <t>Higgins, O; Chalup, SK; Wilson, RL</t>
  </si>
  <si>
    <t>Background: Trustworthiness in Artificial Intelligence (AI) innovation is a priority for governments, researchers and clinicians; however, clinicians have highlighted trust and confidence as barriers to their acceptance of AI within a clinical application. While there is a call to design and develop AI that is considered trustworthy, AI still lacks the emotional capability to facilitate the reciprocal nature of trust.Aim: This paper aims to highlight and discuss the enigma of seeking or expecting trust attributes from a machine and, secondly, reframe the interpretation of trustworthiness for AI through evaluating its reliability and validity as consistent with the use of other clinical instruments.Results: AI interventions should be described in terms of competence, reliability and validity as expected of other clinical tools where quality and safety are a priority. Nurses should be presented with treatment recommendations that describe the validity and confidence of prediction with the final decision for care made by nurses. Future research should be framed to better understand how AI is used to deliver care. Finally, there is a responsibility for developers and researchers to influence the conversation about AI and its power towards improving outcomes.Conclusion: The sole focus on demonstrating trust rather than the business-as-usual requirement for reliability and validity attributes during implementation phases may result in negative experiences for nurses and clinical users.Implications for practice: This research will have significant implications for the way in which future nursing is practised. As AI-based systems become a part of routine practice, nurses will be faced with an increasing number of interventions that require complex trust systems to operate. For any AI researchers and developers, understanding the complexity of trust and creditability in the use of AI in nursing will be crucial for successful implementation. This research will contribute and assist in understanding nurses' role in this change.</t>
  </si>
  <si>
    <t>Higgins, Oliver; Chalup, Stephan K.; Wilson, Rhonda L.</t>
  </si>
  <si>
    <t>Higgins, O (corresponding author), Univ Newcastle, Sch Nursing &amp; Midwifery, C-O Rhonda Wilson,77a Holden St, Gosford, NSW 2250, Australia.</t>
  </si>
  <si>
    <t>Oliver.Higgins@newcastle.edu.au</t>
  </si>
  <si>
    <t>Central Coast Local Health District</t>
  </si>
  <si>
    <t>Authors would like to acknowledge the support of Central Coast Local Health District.</t>
  </si>
  <si>
    <t>[Higgins, Oliver] Univ Newcastle, Sch Nursing &amp; Midwifery, Gosford, NSW, Australia; [Higgins, Oliver] Cent Coast Local Hlth Dist, Population Data &amp; Outcome Measures, Mental Hlth, Gosford, NSW, Australia; [Chalup, Stephan K.] Sch Informat &amp; Phys Sci Comp Sci &amp; Software Engn, Data Sci, Newcastle, NSW, Australia; [Wilson, Rhonda L.] Sch Nursing &amp; Gosford, Gosford, NSW, Australia; [Higgins, Oliver] Univ Newcastle, Sch Nursing &amp; Midwifery, C-O Rhonda Wilson,77a Holden St, Gosford, NSW 2250, Australia</t>
  </si>
  <si>
    <t>University of Newcastle; Central Coast Local Health District; University of Newcastle</t>
  </si>
  <si>
    <t>Artificial Intelligence in nursing: trustworthy or reliable?</t>
  </si>
  <si>
    <t>JOURNAL OF RESEARCH IN NURSING</t>
  </si>
  <si>
    <t>artificial intelligence; machine learning; mental health; nursing; psychosis; technology</t>
  </si>
  <si>
    <t>Higgins, Oliver/ABD-9586-2021; Wilson, Rhonda/H-6045-2019; Chalup, Stephan/O-8914-2019</t>
  </si>
  <si>
    <t>Higgins, Oliver/0000-0001-6545-145X; Wilson, Rhonda/0000-0001-9252-2321; Chalup, Stephan/0000-0002-7886-3653</t>
  </si>
  <si>
    <t>1744-9871</t>
  </si>
  <si>
    <t>1744-988X</t>
  </si>
  <si>
    <t>J RES NURS</t>
  </si>
  <si>
    <t>J. Res. Nurs.</t>
  </si>
  <si>
    <t>10.1177/17449871231215696</t>
  </si>
  <si>
    <t>http://dx.doi.org/10.1177/17449871231215696</t>
  </si>
  <si>
    <t>RN1Y0</t>
  </si>
  <si>
    <t>39070561</t>
  </si>
  <si>
    <t>WOS:001176160000001</t>
  </si>
  <si>
    <t>Sosa, JVC; Huancahuire-Vega, S</t>
  </si>
  <si>
    <t>Background: The growing integration of artificial intelligence (AI) in higher education has transformed learning processes but also raised concerns about potential mental health risks. Medical students represent a particularly vulnerable group due to high academic stress and increasing reliance on generative AI tools for study and decision-making tasks. Despite this, the relationship between AI dependence and psychological distress remains underexplored in Latin American contexts. Objective: This study aimed to evaluate the association between generative AI dependence and levels of stress, anxiety, and depression among medical students. Methods: A cross-sectional study was conducted with 187 human medicine students from a Peruvian university during the first academic semester of 2025. The Dependence on Artificial Intelligence Scale and the Depression, Anxiety, and Stress Scale-21 were applied. Negative binomial regression models, both crude and adjusted for sex, age, income, and year of study, were used to assess associations, reporting rate ratios (RRs) and 95% CIs. Results: Participants had a median age of 22 (IQR 19-24) years, and 58.8% (110/187) were female. The median Dependence on Artificial Intelligence Scale score was 10 (IQR 7-14). Generative AI dependence showed significant correlations with anxiety (rho=0.336, 95% CI 0.22-0.44) and depression (rho=0.316, 95% CI 0.20-0.43) and a smaller correlation with stress (rho=0.277, 95% CI 0.16-0.39). In the adjusted regression models, each 1-point increase in generative AI dependence was associated with a 5% higher expected anxiety score (RR 1.05, 95% CI 1.01-1.09; P=.01) and a 4% higher depression score (RR 1.04, 95% CI 1.01-1.08; P=.03), whereas the association with stress was positive but nonsignificant (RR 1.03, 95% CI 1.00-1.07; P=.08). Fifth-year students had significantly greater anxiety levels than their sixth-year peers (RR 1.82, 95% CI 1.09-3.01; P=.02). No significant effects were observed for sex, age, or income. Conclusions: This study empirically examined generative AI dependence as a distinct behavioral construct and its association with mental health symptoms in medical students. Unlike prior research, this study evaluated psychological dependence on generative AI and modeled its relationship with anxiety and depression using appropriate count-based regression techniques. By providing early evidence from a Latin American context, it contributes to the emerging field of digital mental health and medical education research. These findings underscore the need for universities to promote balanced and responsible AI use, integrate digital literacy with mental health support strategies, and develop preventive policies that mitigate potential maladaptive reliance on generative AI tools.</t>
  </si>
  <si>
    <t>Sosa, Janett V. Chavez; Huancahuire-Vega, Salomon</t>
  </si>
  <si>
    <t>Huancahuire-Vega, S (corresponding author), Univ Peruana Union UPeU, Escuela Med Humana, Fac Ciencias Salud, Basic Sci Dept, Carretera Cent Km 19,Nana, Lima, Peru.</t>
  </si>
  <si>
    <t>salomonhuancahuire@upeu.edu.pe</t>
  </si>
  <si>
    <t>[Sosa, Janett V. Chavez] Univ Peruana Union UPeU, Escuela Posgrad, Unidad Salud, Lima, Peru; [Huancahuire-Vega, Salomon] Univ Peruana Union UPeU, Escuela Med Humana, Fac Ciencias Salud, Basic Sci Dept, Carretera Cent Km 19,Nana, Lima, Peru</t>
  </si>
  <si>
    <t>Universidad Peruana Union; Universidad Peruana Union</t>
  </si>
  <si>
    <t>Anxiety and Depression Associated With the Dependent Use of Generative AI in Medical Students: Cross-Sectional Study</t>
  </si>
  <si>
    <t>artificial intelligence; AI; mental health; anxiety disorders; depressive disorders; medical students</t>
  </si>
  <si>
    <t>ARTIFICIAL-INTELLIGENCE; MENTAL-HEALTH; EDUCATION; MODEL</t>
  </si>
  <si>
    <t>Huancahuire-Vega, Salomon/E-8803-2019</t>
  </si>
  <si>
    <t>Huancahuire-Vega, Salomon/0000-0002-4848-4767</t>
  </si>
  <si>
    <t>e82667</t>
  </si>
  <si>
    <t>10.2196/82667</t>
  </si>
  <si>
    <t>http://dx.doi.org/10.2196/82667</t>
  </si>
  <si>
    <t>IH4VM</t>
  </si>
  <si>
    <t>42085672</t>
  </si>
  <si>
    <t>WOS:001771795100033</t>
  </si>
  <si>
    <t>Elliott, CF; Duncan, JPC; Tang, TM; Behr, M; Kumbier, K; Yu, B</t>
  </si>
  <si>
    <t>Simulations play a crucial role in the modern scientific process. Yet despite (or due to) this ubiquity, the Data Science community shares neither a comprehensive definition for a "high-quality" study nor a consolidated guide to designing one. Inspired by the Predictability-Computability-Stability (PCS) framework for "veridical" Data Science, we propose six MERITS that a simulation study should satisfy. (M odularity and E fficiency support the computability of a study, encouraging clean and flexible implementation. R ealism and S tability address the conceptualization of the research problem: How well does a study predict reality, such that its conclusions generalize to new data/contexts? Finally, I ntuitiveness and T ransparency encourage good communication and trustworthiness of study design and results.) Drawing an analogy between simulation and cooking, we moreover offer (a) a conceptual framework for thinking about the anatomy of a simulation "recipe"; (b) a baker's dozen in guidelines to aid the Data Science practitioner in designing one; and (c) a case study demonstrating the practical utility of our framework by using it to autopsy a preexisting simulation study. With this "PCS primer" for high-quality Data Science simulation, we seek to distill and enrich the best practices of simulation across disciplines into a cohesive recipe for trustworthy, veridical Data Science.</t>
  </si>
  <si>
    <t>Elliott, Corrine F.; Duncan, James P. C.; Tang, Tiffany M.; Behr, Merle; Kumbier, Karl; Yu, Bin</t>
  </si>
  <si>
    <t>Elliott, CF (corresponding author), Univ Calif Berkeley, Dept Stat, Berkeley, CA 94720 USA.</t>
  </si>
  <si>
    <t>cfelliott@berkeley.edu</t>
  </si>
  <si>
    <t>Institute for Artificial CyberThreat Intelligence and OperatioN (ACTION); Deutsche Forschungsgemeinschaft [#509149993]; Foundations of Data Science Institute (FODSI); NSF Graduate Research Fellowship Program [DGE-2146752]; NSF Research Training [1745640]</t>
  </si>
  <si>
    <t>Institute for Artificial CyberThreat Intelligence and OperatioN (ACTION); Deutsche Forschungsgemeinschaft (German Research Foundation (DFG)); Foundations of Data Science Institute (FODSI); NSF Graduate Research Fellowship Program (National Science Foundation (NSF)); NSF Research Training</t>
  </si>
  <si>
    <t>The authors gratefully acknowledge partial support from NSF grant DMS-2413265; NSF Grant 2023505 for the Foundations of Data Science Institute (FODSI); and NSF grant MC2378 to the Institute for Artificial CyberThreat Intelligence and OperatioN (ACTION). CFE acknowledges NSF Research Training Grant 1745640; TMT acknowledges the NSF Graduate Research Fellowship Program (DGE-2146752); and MB acknowledges Deutsche Forschungsgemeinschaft (DFG, German Research Foundation) (project #509149993, TRR 374). CFE thanks Giles Hooker for multiple reviews and D. Stephen Voss for a thorough edit of an early draft and critical discussion. Any errors belong to the authors alone.</t>
  </si>
  <si>
    <t>[Elliott, Corrine F.; Yu, Bin] Univ Calif Berkeley, Dept Stat, Berkeley, CA 94720 USA; [Duncan, James P. C.; Yu, Bin] Univ Calif Berkeley, Grad Grp Biostat, Berkeley, CA USA; [Tang, Tiffany M.] Univ Michigan, Dept Stat, Ann Arbor, MI USA; [Behr, Merle] Univ Regensburg, Fac Informat &amp; Data Sci, Regensburg, Germany; [Kumbier, Karl] Univ Calif San Francisco, Dept Pharmaceut Chem, San Francisco, CA USA; [Tang, Tiffany M.] Univ Notre Dame, Dept Appl &amp; Computat Math &amp; Stat, Notre Dame, IN 46556 USA</t>
  </si>
  <si>
    <t>University of California System; University of California Berkeley; University of California System; University of California Berkeley; University of Michigan System; University of Michigan; University of Regensburg; University of California System; University of California San Francisco; University of Notre Dame</t>
  </si>
  <si>
    <t>Designing a Data Science Simulation with MERITS: A Primer</t>
  </si>
  <si>
    <t>JOURNAL OF COMPUTATIONAL AND GRAPHICAL STATISTICS</t>
  </si>
  <si>
    <t>PCS framework; Simulation design; Trustworthy AI; Veridical data science</t>
  </si>
  <si>
    <t>CLINICAL-TRIAL SIMULATION; INFORMATION; ROBUSTNESS; PROTOCOL</t>
  </si>
  <si>
    <t>Elliott, Corrine/0000-0001-7935-9945; Duncan, James/0000-0003-3297-681X; Tang, Tiffany/0000-0002-8079-6867; Yu, Bin/0000-0002-8888-4060; Behr, Merle/0000-0002-4255-5237</t>
  </si>
  <si>
    <t>1061-8600</t>
  </si>
  <si>
    <t>1537-2715</t>
  </si>
  <si>
    <t>J COMPUT GRAPH STAT</t>
  </si>
  <si>
    <t>J. Comput. Graph. Stat.</t>
  </si>
  <si>
    <t>APR 3 2026</t>
  </si>
  <si>
    <t>704</t>
  </si>
  <si>
    <t>10.1080/10618600.2025.2561905</t>
  </si>
  <si>
    <t>http://dx.doi.org/10.1080/10618600.2025.2561905</t>
  </si>
  <si>
    <t>Statistics &amp; Probability</t>
  </si>
  <si>
    <t>HY7KX</t>
  </si>
  <si>
    <t>WOS:001619647400001</t>
  </si>
  <si>
    <t>Kulkarni, AV; Zech, JR; Yi, PH</t>
  </si>
  <si>
    <t>Deep learning (DL) chest radiograph (CXR) models are often trained on downsampled images to reduce computational overhead, despite clinical workflows operating at high resolution. Previous studies have investigated the impact of input resolution on CXR classification accuracy, yet two fundamental pillars of safe and trustworthy AI, explainability and generalizability, remain underexplored. In this retrospective study, we evaluated how training image resolution affects CXR classification performance and explanation quality in internal versus external testing. We trained Convolutional Neural Networks (CNN) for disease classification on the SIIM-ACR Pneumothorax and RSNA Pneumonia datasets at six resolutions (ranging from 64x64 to 1024x1024) using five-fold cross-validation and evaluated models on internal and external test sets. Internal performance was high across resolutions (AUROC &gt;0.85), but external testing showed substantially worse generalizability at lower training resolutions, with internal-to-external drops &gt;20% versus 4.2%-10.7% at higher resolutions (512x512 to 1024x1024). Higher resolutions also produced more concise explanations, with the tightest saliency-map coverage at 1024x1024 (&lt;4%) across models and datasets, and improved explanation quality on external data (peak precision plateauing at 768x768 for pneumothorax). Overall, training at higher CXR resolutions improved both generalizability and explainability, providing practical guidance for radiology AI design beyond internal test performance.</t>
  </si>
  <si>
    <t>Kulkarni, Aditya V.; Zech, John R.; Yi, Paul H.</t>
  </si>
  <si>
    <t>Yi, PH (corresponding author), St Jude Childrens Res Hosp, Dept Radiol, 262 Danny Thomas Pl, Memphis, TN 38105 USA.</t>
  </si>
  <si>
    <t>paul.yi@stjude.org</t>
  </si>
  <si>
    <t>[Kulkarni, Aditya V.; Yi, Paul H.] St Jude Childrens Res Hosp, Dept Radiol, 262 Danny Thomas Pl, Memphis, TN 38105 USA; [Zech, John R.] Columbia Univ, Irving Med Ctr, Dept Radiol, New York, NY USA</t>
  </si>
  <si>
    <t>St Jude Children's Research Hospital; Columbia University; Cornell University; Weill Cornell Medicine; NewYork-Presbyterian Hospital</t>
  </si>
  <si>
    <t>Sharpness matters: Higher image resolution improves generalization and explainability in chest X-ray classification</t>
  </si>
  <si>
    <t>Machine learning; Deep learning; Neural networks; Convolutional neural networks (CNN ); Explainable AI</t>
  </si>
  <si>
    <t>JUL 13 2026</t>
  </si>
  <si>
    <t>21856</t>
  </si>
  <si>
    <t>10.1038/s41598-026-49129-3</t>
  </si>
  <si>
    <t>http://dx.doi.org/10.1038/s41598-026-49129-3</t>
  </si>
  <si>
    <t>LA6CZ</t>
  </si>
  <si>
    <t>42443216</t>
  </si>
  <si>
    <t>WOS:001820044500005</t>
  </si>
  <si>
    <t>Karako, K</t>
  </si>
  <si>
    <t>Rare and intractable diseases affect an estimated 3.5% to 5.9% of the global population but remain largely underserved in terms of diagnosis and treatment, with effective therapies available for only about 5% of conditions. This paper presents an overview of recent advances in artificial intelligence (AI) applications targeting these challenges. In diagnostic support, AI has been utilized to analyze genomic data and facial images, enhancing the accuracy and efficiency of identifying rare genetic syndromes. In therapeutic development, AI-driven analysis of biomedical knowledge graphs has enabled the prediction of potential treatment candidates for diseases lacking existing therapies. Additionally, generative models have accelerated drug discovery by identifying novel targets and designing candidate compounds, some of which have progressed to clinical evaluation. AI has also facilitated clinical trial support by automating patient eligibility screening using electronic health records, improving recruitment efficiency for trials that often struggle with small, geographically dispersed patient populations. Despite these advancements, challenges remain in ensuring data quality, interpretability of AI outputs, and the standardization of infrastructure across institutions. Moving forward, international data-sharing platforms integrating diverse modalities - clinical, genomic and image - are expected to play a pivotal role in enabling reliable, scalable, and ethically responsible AI applications. These developments hold the potential to transform the landscape of rare disease diagnosis, treatment, and research.</t>
  </si>
  <si>
    <t>Karako, Kenji</t>
  </si>
  <si>
    <t>Karako, K (corresponding author), Univ Tokyo, Grad Sch Med, Dept Surg, 7-3-1 Hongo,Bunkyo Ku, Tokyo 1138655, Japan.</t>
  </si>
  <si>
    <t>tri.leafs@gmail.com</t>
  </si>
  <si>
    <t>[Karako, Kenji] Univ Tokyo, Grad Sch Med, Dept Surg, 7-3-1 Hongo,Bunkyo Ku, Tokyo 1138655, Japan</t>
  </si>
  <si>
    <t>Artificial intelligence applications in rare and intractable diseases: Advances, challenges, and future directions</t>
  </si>
  <si>
    <t>INTRACTABLE &amp; RARE DISEASES RESEARCH</t>
  </si>
  <si>
    <t>rare diseases; intractable diseases; artificial intelligence</t>
  </si>
  <si>
    <t>INT RESEARCH &amp; COOPERATION ASSOC BIO &amp; SOCIO-SCIENCES ADVANCEMENT</t>
  </si>
  <si>
    <t>INT RESEARCH &amp; COOPERATION ASSOC BIO &amp; SOCIO-SCIENCES ADVANCEMENT, TOKYO, 00000, JAPAN</t>
  </si>
  <si>
    <t>2186-3644</t>
  </si>
  <si>
    <t>2186-361X</t>
  </si>
  <si>
    <t>INTRACTABLE RARE DIS</t>
  </si>
  <si>
    <t>INTRACTABLE RARE DIS. RES.</t>
  </si>
  <si>
    <t>10.5582/irdr.2025.01030</t>
  </si>
  <si>
    <t>http://dx.doi.org/10.5582/irdr.2025.01030</t>
  </si>
  <si>
    <t>3NV3Y</t>
  </si>
  <si>
    <t>40485885</t>
  </si>
  <si>
    <t>WOS:001504782700001</t>
  </si>
  <si>
    <t>Ahmed, M; Okba, K; Harous, S; Sufyan, M</t>
  </si>
  <si>
    <t>The convergence of Generative Artificial Intelligence (GenAI) and the Internet of Things (IoT) represents a transformative advancement in intelligent system design, offering powerful capabilities in data synthesis, real-time decision-making, predictive analytics, and autonomous operations. This paper presents a comprehensive exploration of the synergistic relationship between GenAI and IoT, examining how their integration can address pressing challenges such as data deluge, latency, resource constraints, scalability, interoperability, and security vulnerabilities in distributed environments. Key enablers including federated learning, on-device inference, knowledge distillation, and model compression are evaluated for their potential to optimize performance in constrained and dynamic IoT ecosystems. The study also investigates critical ethical concerns surrounding privacy, fairness, transparency, environmental sustainability, and accountability, emphasizing the importance of explainable and responsible AI practices. By analyzing current limitations, technical solutions, and emerging opportunities across domains like healthcare, smart cities, cybersecurity, and industrial automation, this work contributes a structured roadmap for future research and deployment. Ultimately, the integration of GenAI with IoT is poised to foster the next generation of adaptive, secure, and human-centered intelligent systems.</t>
  </si>
  <si>
    <t>Ahmed, Maqbol; Okba, Kazar; Harous, Saad; Sufyan, Mubarak</t>
  </si>
  <si>
    <t>Ahmed, M (corresponding author), Univ Saba Reg, Coll IT &amp; CS, Marib, Yemen.</t>
  </si>
  <si>
    <t>harous@sharjah.ac.ae; mub.sufyan2015@gmail.com; Maqbol3@usr.ac; okba.kazar@ukb.ac.ae</t>
  </si>
  <si>
    <t>[Ahmed, Maqbol; Sufyan, Mubarak] Univ Saba Reg, Coll IT &amp; CS, Marib, Yemen; [Okba, Kazar] Univ Kalba, Coll Comp &amp; Intelligent Syst, Dept Comp Sci, Sharjah, U Arab Emirates; [Harous, Saad] Univ Sharjah, Coll Comp &amp; Informat, Dept Comp Sci, Sharjah, U Arab Emirates</t>
  </si>
  <si>
    <t>University of Kalba; University of Sharjah</t>
  </si>
  <si>
    <t>Synergizing Generative AI and the Internet of Things: Fundamentals, Challenges, and Opportunities</t>
  </si>
  <si>
    <t>Synergizing; Generative AI; Internet of Things (IoT); Artificial Intelligence; Applications</t>
  </si>
  <si>
    <t>NEURAL-NETWORKS; IOT; SECURITY</t>
  </si>
  <si>
    <t>Harous, Saad/AAU-6859-2020; Sufyan, Mubarak Mohammed Al-Ezzi/ACX-8774-2022; Kazar, Okba/W-2313-2019</t>
  </si>
  <si>
    <t>Sufyan, Mubarak Mohammed Al-Ezzi/0000-0002-0443-6819</t>
  </si>
  <si>
    <t>3440</t>
  </si>
  <si>
    <t>3469</t>
  </si>
  <si>
    <t>10.3837/tiis.2025.10.009</t>
  </si>
  <si>
    <t>http://dx.doi.org/10.3837/tiis.2025.10.009</t>
  </si>
  <si>
    <t>9LE8G</t>
  </si>
  <si>
    <t>WOS:001608998600009</t>
  </si>
  <si>
    <t>Sun, Y; Pongsakornrungsilp, S; Pongsakornrungsilp, P; Tonsakunthaweeteam, S; Wongwaropakorn, W; Chinchanachokchai, S</t>
  </si>
  <si>
    <t>This study examines how platform-based artificial intelligence resources (PAIRs) influence sustainable performance in e-business ecosystems by shaping stakeholder cognition and behavior. Guided by the Resource-Based View (RBV), the Theory of Planned Behavior (TPB), and institutional theory, we examine the psychological mechanisms-particularly trust in AI and environmental identity-that mediate the relationship between PAIRs and green value co-creation (GVC), with sustainable development (SD) acting as a moderating factor. Drawing on survey data from 466 platform managers in China's digital economy hubs (Yangtze River Delta, Pearl River Delta, Beijing-Tianjin), covering diverse industries (e-commerce, consumer goods, healthcare), our data suggest that PAIRs may influence firm performance via GVC, and that this association appears to be stronger under high-SD contexts. Our results underscore the importance of responsible and psychologically informed AI design-such as algorithmic transparency, cognitive load reduction, and ethical calibration-to facilitate stakeholder trust and pro-environmental engagement. This research contributes both theoretically and practically to elucidating how AI integration in e-business can be leveraged for responsible innovation and sustainable value creation.</t>
  </si>
  <si>
    <t>Sun, Yan; Pongsakornrungsilp, Siwarit; Pongsakornrungsilp, Pimlapas; Tonsakunthaweeteam, Sasawalai; Wongwaropakorn, Wari; Chinchanachokchai, Sydney</t>
  </si>
  <si>
    <t>Pongsakornrungsilp, S (corresponding author), Walailak Univ, Ctr Excellence Tourism Business Management &amp; Creat, Sch Management, Dept Digital Mkt, Nakhon Si Thammarat 80160, Thailand.</t>
  </si>
  <si>
    <t>sasawalai.to@wu.ac.th; sunyan8693@xhsysu.edu.cn; psiwarit@wu.ac.th; kpimlapa@wu.ac.th; wwantane@wu.ac.th; schinchana@uakron.edu</t>
  </si>
  <si>
    <t>[Sun, Yan] Walailak Univ, Sch Accountancy &amp; Finance, Nakhon Si Thammarat 80160, Thailand; [Sun, Yan] Guangzhou Xinhua Coll, Sch Management, Guangzhou 510520, Peoples R China; [Pongsakornrungsilp, Siwarit; Tonsakunthaweeteam, Sasawalai] Walailak Univ, Ctr Excellence Tourism Business Management &amp; Creat, Sch Management, Dept Digital Mkt, Nakhon Si Thammarat 80160, Thailand; [Pongsakornrungsilp, Pimlapas] Walailak Univ, Sch Management, Dept Tourism &amp; Prochef, Nakhon Si Thammarat 80160, Thailand; [Wongwaropakorn, Wari] Walailak Univ, Sch Liberal Arts, Nakorn Si Thammarat 80160, Thailand; [Chinchanachokchai, Sydney] Univ Akron, Coll Business, Dept Mkt, Akron, OH 44325 USA</t>
  </si>
  <si>
    <t>Walailak University; Guangzhou Xinhua University; Walailak University; Walailak University; Walailak University; University System of Ohio; University of Akron</t>
  </si>
  <si>
    <t>Platform AI Resources and Green Value Co-Creation: Paving the Way for Sustainable Firm Performance in the Digital Age</t>
  </si>
  <si>
    <t>SUSTAINABILITY</t>
  </si>
  <si>
    <t>platform AI resources; green value co-creation; firm performance; sustainable development; responsible AI; e-business</t>
  </si>
  <si>
    <t>Chinchanachokchai, Sydney/AAL-2689-2020; Pongsakornrungsilp, Siwarit/ABD-1104-2020</t>
  </si>
  <si>
    <t>Pongsakornrungsilp, Siwarit/0000-0001-5378-2489; Chinchanachokchai, Sydney/0000-0003-3967-5155</t>
  </si>
  <si>
    <t>2071-1050</t>
  </si>
  <si>
    <t>SUSTAINABILITY-BASEL</t>
  </si>
  <si>
    <t>Sustainability</t>
  </si>
  <si>
    <t>SEP 7 2025</t>
  </si>
  <si>
    <t>8058</t>
  </si>
  <si>
    <t>10.3390/su17178058</t>
  </si>
  <si>
    <t>http://dx.doi.org/10.3390/su17178058</t>
  </si>
  <si>
    <t>Green &amp; Sustainable Science &amp; Technology; Environmental Sciences; Environmental Studies</t>
  </si>
  <si>
    <t>Science &amp; Technology - Other Topics; Environmental Sciences &amp; Ecology</t>
  </si>
  <si>
    <t>7FV6L</t>
  </si>
  <si>
    <t>WOS:001570024600001</t>
  </si>
  <si>
    <t>Zhu, YC; Lu, XH</t>
  </si>
  <si>
    <t>Affable design is increasingly employed in AI conversational agents to foster smoother interaction and enhance user experience. However, a growing concern is that this overemphasis on social appeal often overlooks corrective interventions, particularly when users hold false or biased beliefs. Such omissions carry the risk of reinforcing user misconceptions and ultimately undermining the effectiveness of human-AI collaboration. Drawing upon the attribution theory, this study investigates whether the error-correction behavior of AI agents offset these risks and improve user engagement. Empirical evidence from three experimental studies verifies that AI agents' error-correction behavior indeed enhances users' perceived responsibility of AI agents and strengthens their engagement intentions. This effect does not appear to compromise social comfort, especially in the context where responsibility takes precedence, such as healthcare. This study further finds that the high expertise of AI agents amplifies the positive effects of error-correction behavior, while high entitativity diminishes these effects by blurring AI agents' responsibility. These findings offer important guidance for designing responsible AI agents and highlight the value of AI error-correction behaviors in human-AI interaction.</t>
  </si>
  <si>
    <t>Zhu, Yunchang; Lu, Xianghua</t>
  </si>
  <si>
    <t>Lu, XH (corresponding author), Fudan Univ, Sch Management, Shanghai, Peoples R China.</t>
  </si>
  <si>
    <t>lxhua@fudan.edu.cn; yczhu23@m.fudan.edu.cn</t>
  </si>
  <si>
    <t>National Natural Science Foundation of China [72442011, 72225004]</t>
  </si>
  <si>
    <t>X. Lu appreciates the support from the National Natural Science Foundation of China (Grant No. 72442011 and No. 72225004) . The authors thank the editors and the reviewers for their insightful com-ments and constructive suggestions throughout the review process.</t>
  </si>
  <si>
    <t>[Zhu, Yunchang; Lu, Xianghua] Fudan Univ, Sch Management, Shanghai, Peoples R China</t>
  </si>
  <si>
    <t>Fudan University</t>
  </si>
  <si>
    <t>Being responsible or affable: Investigating the effects of AI error correction behaviors on user engagement</t>
  </si>
  <si>
    <t>DECISION SUPPORT SYSTEMS</t>
  </si>
  <si>
    <t>Error-correction behavior; Perceived responsibility; Internal attribution; AI conversational agents; User engagement</t>
  </si>
  <si>
    <t>SERVICE; BLAME; ENTITATIVITY; IDENTITY; CHATBOTS; IMPACT; SCALE</t>
  </si>
  <si>
    <t>0167-9236</t>
  </si>
  <si>
    <t>1873-5797</t>
  </si>
  <si>
    <t>DECIS SUPPORT SYST</t>
  </si>
  <si>
    <t>Decis. Support Syst.</t>
  </si>
  <si>
    <t>114542</t>
  </si>
  <si>
    <t>10.1016/j.dss.2025.114542</t>
  </si>
  <si>
    <t>http://dx.doi.org/10.1016/j.dss.2025.114542</t>
  </si>
  <si>
    <t>Computer Science, Artificial Intelligence; Computer Science, Information Systems; Operations Research &amp; Management Science</t>
  </si>
  <si>
    <t>8BS3L</t>
  </si>
  <si>
    <t>WOS:001584861800001</t>
  </si>
  <si>
    <t>Königstorfer, F</t>
  </si>
  <si>
    <t>Purpose - Companies are increasingly benefiting from artificial intelligence (AI) applications in various domains, but also facing its negative impacts. The challenge lies in the lack of clear governance mechanisms for AI. While documentation is a key governance tool, standard software engineering practices are inadequate for AI. Practitioners are unsure about how to document AI, raising questions about the effectiveness of current documentation guidelines. This review examines whether AI documentation guidelines meet regulatory and industry needs for AI applications and suggests directions for future research. Design/methodology/approach - A structured literature review was conducted. In total, 38 papers from top journals and conferences in the fields of medicine and information systems as well as journals focused on fair, accountable and transparent AI were reviewed. Findings - This literature review contributes to the literature by investigating the extent to which current documentation guidelines can meet the documentation requirements for AI applications from regulatory bodies and industry practitioners and by presenting avenues for future research. This paper finds contemporary documentation guidelines inadequate in meeting regulators' and professionals'' expectations. This paper concludes with three recommended avenues for future research. Originality/value - This paper benefits from the insights from comprehensive and up-to-date sources on the documentation of AI applications.</t>
  </si>
  <si>
    <t>Koenigstorfer, Florian</t>
  </si>
  <si>
    <t>Königstorfer, F (corresponding author), Karl Franzens Univ Graz, Business Analyt &amp; Data Sci Ctr, BANDAS Ctr, Graz, Austria.</t>
  </si>
  <si>
    <t>florian.koenigstorfer@edu.uni-graz.at</t>
  </si>
  <si>
    <t>[Koenigstorfer, Florian] Karl Franzens Univ Graz, Business Analyt &amp; Data Sci Ctr, BANDAS Ctr, Graz, Austria</t>
  </si>
  <si>
    <t>University of Graz</t>
  </si>
  <si>
    <t>A comprehensive review of techniques for documenting artificial intelligence</t>
  </si>
  <si>
    <t>DIGITAL POLICY REGULATION AND GOVERNANCE</t>
  </si>
  <si>
    <t>Artificial intelligence; AI documentation; AI development; AI governance</t>
  </si>
  <si>
    <t>AI; GOVERNANCE</t>
  </si>
  <si>
    <t>2398-5038</t>
  </si>
  <si>
    <t>2398-5046</t>
  </si>
  <si>
    <t>DIGIT POLICY REGUL G</t>
  </si>
  <si>
    <t>Digit. Policy Regul. Gov.</t>
  </si>
  <si>
    <t>AUG 1 2024</t>
  </si>
  <si>
    <t>559</t>
  </si>
  <si>
    <t>10.1108/DPRG-01-2024-0008</t>
  </si>
  <si>
    <t>http://dx.doi.org/10.1108/DPRG-01-2024-0008</t>
  </si>
  <si>
    <t>A2U3P</t>
  </si>
  <si>
    <t>WOS:001234643400001</t>
  </si>
  <si>
    <t>Abtahi, F; Seoane, F; Pau, I; Vega-Barbas, M</t>
  </si>
  <si>
    <t>Background: Health care artificial intelligence (AI) systems are increasingly integrated into clinical workflows, yet remain vulnerable to data-poisoning attacks. A small number of manipulated training samples can compromise AI models used for diagnosis, documentation, and resource allocation. Existing privacy regulations, including the Health Insurance Portability and Accountability Act and the General Data Protection Regulation, may inadvertently complicate anomaly detection and cross-institutional auditing, thereby limiting visibility into adversarial activity. Objective: This study provides a comprehensive threat analysis of data poisoning vulnerabilities across major health care AI architectures. The goals are to (1) identify attack surfaces in clinical AI systems, (2) evaluate the feasibility and detectability of poisoning attacks analytically modeled in prior security research, and (3) propose a multilayered defense framework appropriate for health care settings. Methods: We synthesized empirical findings from 41 key security studies published between 2019 and 2025 and integrated them into an analytical threat-modeling framework specific to health care. We constructed 8 hypothetical yettechnically grounded attack scenarios across 4 categories: (1) architecture-specific attacks on convolutional neural networks, large language models, and reinforcement learning agents (scenario A); (2) infrastructure exploitation in federated learning and clinical documentation pipelines (scenario B); (3) poisoning of critical resourceallocation systems (scenario C); and (4) supply chain attacksaffecting commercial foundation models (scenario D). Scenarios were aligned with realistic insider-access threat modelsand current clinical deployment practices. Results: Multiple empirical studies demonstrate that attackers with access to as few as 100-500 poisoned samples can compromise health care AI systems, with attack success rates typically &gt;= 60%. Critically, attack success depends on the absolute number of poisoned samples rather than their proportion of the training corpus, a finding that fundamentally challenges assumptions that larger datasets provide inherent protection. We estimate that detection delays commonly range from 6 to 12 months and may extend to years in distributed or privacy-constrained environments. Analytical scenarios highlight that (1) routine insider access creates numerous injection points across health care data infrastructure, (2) federated learning amplifies risks by obscuring attribution, and (3) supply chain compromises can simultaneously affect dozens to hundreds of institutions. Privacy regulations further complicate cross-patient correlation and model audit processes, substantially delaying the detection of subtle poisoning campaigns. Conclusions: Health care AI systems face significant security challenges that current regulatory frameworks and validation practices do not adequately address. We propose a multilayered defense strategy that combines ensemble disagreement monitoring, adversarial testing, privacy-preserving yet auditable mechanisms, and strengthened governance requirements. Ensuring patient safety may require a shift from opaque, high-performance models toward more interpretable and constraint-driven architectures with verifiable robustness guarantees.</t>
  </si>
  <si>
    <t>Abtahi, Farhad; Seoane, Fernando; Pau, Ivan; Vega-Barbas, Mario</t>
  </si>
  <si>
    <t>Abtahi, F (corresponding author), Karolinska Inst, Dept Clin Sci Intervent &amp; Technol, Alfred Nobels Alle 8, S-14152 Huddinge, Stockholm, Sweden.</t>
  </si>
  <si>
    <t>farhad.abtahi@ki.se</t>
  </si>
  <si>
    <t>Stockholm Medical Artificial Intelligence and Learning Environments (SMAILE) core facility at Karolinska Institutet</t>
  </si>
  <si>
    <t>This study was supported by the Stockholm Medical Artificial Intelligence and Learning Environments (SMAILE) core facility at Karolinska Institutet. The authors used artificial intelligence-based tools during the preparation of this manuscript. Large language models were employed for English proofreading and to improve the readability of the text. Additionally, Scite and SciSpace were used to assist with the literature review, including citation analysis and the identification of relevant research articles. Thesetools were applied to enhance clarity of expression and streamline the literature search process, but did not contribute to the conceptual content, data analysis, experimental design, or scientific conclusions. The authors independently verified all cited sources, and all scientific interpretations remain the sole responsibility of the authors. The authors take full responsibility for the content of the manuscript.</t>
  </si>
  <si>
    <t>[Abtahi, Farhad; Seoane, Fernando] Karolinska Inst, Dept Clin Sci Intervent &amp; Technol, Alfred Nobels Alle 8, S-14152 Huddinge, Stockholm, Sweden; [Abtahi, Farhad] KTH Royal Inst Technol, Dept Biomed Engn &amp; Hlth Syst, Huddinge, Stockholm, Sweden; [Abtahi, Farhad; Seoane, Fernando] Karolinska Univ Hosp, Dept Clin Physiol, Huddinge, Stockholm, Sweden; [Seoane, Fernando] Karolinska Univ Hosp, Dept Med Technol, Stockholm, Sweden; [Seoane, Fernando] Univ Boras, Dept Text Technol, Boras, Vastra Gotaland, Sweden; [Pau, Ivan; Vega-Barbas, Mario] Univ Politecn Madrid, ETSIS Telecomunicac, Madrid, Spain</t>
  </si>
  <si>
    <t>Karolinska Institutet; Royal Institute of Technology; Karolinska Institutet; Karolinska University Hospital; Karolinska Institutet; Karolinska University Hospital; University of Boras; Universidad Politecnica de Madrid</t>
  </si>
  <si>
    <t>Data Poisoning Vulnerabilities Across Health Care Artificial Intelligence Architectures: Analytical Security Framework and Defense Strategies</t>
  </si>
  <si>
    <t>artificial intelligence; health care security; data poisoning; backdoor attacks; clinical decision support; federated learning; large language models; medical imaging; patient safety; AI governance</t>
  </si>
  <si>
    <t>Vega-Barbas, Mario/F-3009-2014; Seoane, Fernando/L-3113-2015; Abtahi, Farhad/J-5237-2019</t>
  </si>
  <si>
    <t>e87969</t>
  </si>
  <si>
    <t>10.2196/87969</t>
  </si>
  <si>
    <t>http://dx.doi.org/10.2196/87969</t>
  </si>
  <si>
    <t>DF4XS</t>
  </si>
  <si>
    <t>41575020</t>
  </si>
  <si>
    <t>WOS:001682182200003</t>
  </si>
  <si>
    <t>Eom, D; Renner, J; Zhu, YE; Shao, AQ; Choi, S; Newman, T; Brossard, D; Scheufele, D</t>
  </si>
  <si>
    <t>This study uses a 4 &amp; times; 2 factorial experiment (N = 1,640) to examine how perceptions of AI as autonomous agents versus decision-support tools, along with application context (medical diagnosis, screenwriting, law enforcement, or genetic screening), influence public concerns about AI and support for its regulation among U.S. adults. Counter to theoretical expectations based on algorithm aversion literature, neither AI agency nor application context produced significant main effects on public attitudes. In contrast, three key dispositions consistently predicted outcomes across contexts: authenticity preference, concern about disproportionate impacts on vulnerable groups, and general attitudes toward AI. These effects remained consistent across all experimental conditions, indicating that public responses to AI are fundamentally driven by pre-existing individual dispositions rather than contextual features or implementation approaches. These results are consistent with moral foundations and mind-sponge accounts of value-based judgment. The findings imply that risk-tiered regulatory frameworks, while necessary, are unlikely to be sufficient on their own; durable governance will require deliberative engagement with the authenticity and equity intuitions that drive public response, and longitudinal attention to how those orientations are themselves reshaped by sustained algorithmic exposure.</t>
  </si>
  <si>
    <t>Eom, Dayeon; Renner, Julianne; Zhu, Yijia Erika; Shao, Anqi; Choi, Soobin; Newman, Todd; Brossard, Dominique; Scheufele, Dietram</t>
  </si>
  <si>
    <t>Eom, D; Scheufele, D (corresponding author), Univ Wisconsin Madison, Dept Life Sci Commun, Madison, WI 53706 USA.</t>
  </si>
  <si>
    <t>deom4@wisc.edu; scheufele@wisc.edu</t>
  </si>
  <si>
    <t>University of Wisconsin-Madison, Office of the Vice Chancellor for Research; Wisconsin Alumni Research Foundation; Morgridge Institute for Research</t>
  </si>
  <si>
    <t>University of Wisconsin-Madison, Office of the Vice Chancellor for Research (University of Wisconsin Madison); Wisconsin Alumni Research Foundation (University of Wisconsin Madison, Wisconsin Alumni Research Foundation); Morgridge Institute for Research (University of Wisconsin Madison)</t>
  </si>
  <si>
    <t>Support for this research was provided by the University of Wisconsin-Madison, Office of the Vice Chancellor for Research with Funding from the Wisconsin Alumni Research Foundation, and by the Morgridge Institute for Research.</t>
  </si>
  <si>
    <t>[Eom, Dayeon; Renner, Julianne; Zhu, Yijia Erika; Shao, Anqi; Newman, Todd; Brossard, Dominique; Scheufele, Dietram] Univ Wisconsin Madison, Dept Life Sci Commun, Madison, WI 53706 USA; [Choi, Soobin; Brossard, Dominique; Scheufele, Dietram] Morgridge Inst Res, Madison, WI USA; [Shao, Anqi] Arizona State Univ, Global Inst Sustainabil &amp; Innovat, Tempe, AZ USA; [Choi, Soobin] Ewha Womans Univ, Div Commun &amp; Media, Seoul, South Korea</t>
  </si>
  <si>
    <t>University of Wisconsin System; University of Wisconsin Madison; University of Wisconsin System; University of Wisconsin Madison; The Morgridge Institute for Research, Inc.; Arizona State University; Arizona State University-Tempe; Ewha Womans University</t>
  </si>
  <si>
    <t>The human factor in AI governance: Dispositional predictors of public concern and regulatory suppor</t>
  </si>
  <si>
    <t>TECHNOLOGY IN SOCIETY</t>
  </si>
  <si>
    <t>Artificial intelligence; Authenticity; Agency; Context; Regulation; Algorithm aversion</t>
  </si>
  <si>
    <t>TECHNOLOGY; FRAMEWORK</t>
  </si>
  <si>
    <t>Shao, Anqi/NGR-6859-2025; Scheufele, Dietram/A-8737-2008</t>
  </si>
  <si>
    <t>0160-791X</t>
  </si>
  <si>
    <t>1879-3274</t>
  </si>
  <si>
    <t>TECHNOL SOC</t>
  </si>
  <si>
    <t>Technol. Soc.</t>
  </si>
  <si>
    <t>103389</t>
  </si>
  <si>
    <t>10.1016/j.techsoc.2026.103389</t>
  </si>
  <si>
    <t>http://dx.doi.org/10.1016/j.techsoc.2026.103389</t>
  </si>
  <si>
    <t>Social Issues; Social Sciences, Interdisciplinary</t>
  </si>
  <si>
    <t>Social Issues; Social Sciences - Other Topics</t>
  </si>
  <si>
    <t>JL3FQ</t>
  </si>
  <si>
    <t>WOS:001792040300001</t>
  </si>
  <si>
    <t>Zou, TY; Zhao, YM; Yao, ZJ; Qin, XB</t>
  </si>
  <si>
    <t>Orthopaedic training necessitates an objective and scalable evaluation of technical skills. The prevailing methodology depends on labor-intensive expert assessments and small, heterogeneous datasets. This study introduces a deep learning pipeline that transforms procedural video, optionally integrated with kinematic data, into calibrated ordinal and continuous estimates aligned with Objective Structured Assessment of Technical Skills and Global Rating Scale scores. The pipeline utilizes large-scale self-supervised and weakly supervised pretraining, incorporating temporal contrastive learning, masked video modeling, and phase and tool cues, alongside an orthopaedic-specific curriculum and distribution alignment across simulators, cadavers, benchtop models, and operating rooms. Skill prediction employs an uncertainty-aware ordinal head and heteroscedastic regression with post hoc calibration, facilitating selective prediction and principled deferral in high-stakes environments. Phase and tool-conditioned spatiotemporal attributions offer interpretable, formative feedback for learners. The model is paired with an evaluation framework that addresses validity, reliability, transportability, educational utility, and fairness through institution and surgeon-aware splits, transport tests, and pretrain on X test on Y scenarios. Metrics encompass rank correlation, mean absolute error, ordinal accuracy, calibration error, and proxy measures such as phase F1 score, tool average precision, and temporal F1 at k. Compared with classical feature-based methods, 3D convolutional networks, Transformers, and surgical self-supervised learning baselines, our domain-adapted pretraining enhances calibration, label efficiency, and maintains competitive accuracy while abstention policies mitigate errors at moderate coverage.</t>
  </si>
  <si>
    <t>Zou, Tianyi; Zhao, Yiming; Yao, Zhongjun; Qin, Xiabing</t>
  </si>
  <si>
    <t>Qin, XB (corresponding author), Hubei Univ Med, Shiyan Taihe Hosp, Dept Hand Surg &amp; Microsurg, Shiyan, Hubei, Peoples R China.</t>
  </si>
  <si>
    <t>xiabing.qin@hotmail.com; amyzhao0418@163.com; yzj2005@126.com; zty19970422@163.com</t>
  </si>
  <si>
    <t>[Zou, Tianyi; Yao, Zhongjun; Qin, Xiabing] Hubei Univ Med, Shiyan Taihe Hosp, Dept Hand Surg &amp; Microsurg, Shiyan, Hubei, Peoples R China; [Zhao, Yiming] Hubei Univ Med, Sch Humanities &amp; Social Sci, Shiyan, Hubei, Peoples R China</t>
  </si>
  <si>
    <t>Hubei University of Medicine; Hubei University of Medicine</t>
  </si>
  <si>
    <t>Learning trustworthy video representations for orthopaedic skill assessment in medical education</t>
  </si>
  <si>
    <t>Surgical skill assessment; Deep learning; Orthopaedic training; Video analysis; Representation learning; Trustworthy AI</t>
  </si>
  <si>
    <t>OBJECTIVE STRUCTURED ASSESSMENT; ARTHROSCOPIC KNEE SURGERY; DELIBERATE PRACTICE; VALIDITY; RECOGNITION; DATASET; OSATS</t>
  </si>
  <si>
    <t>MAR 18 2026</t>
  </si>
  <si>
    <t>10.1007/s44443-026-00647-0</t>
  </si>
  <si>
    <t>http://dx.doi.org/10.1007/s44443-026-00647-0</t>
  </si>
  <si>
    <t>JS5AP</t>
  </si>
  <si>
    <t>WOS:001796912600003</t>
  </si>
  <si>
    <t>Ji, RQ; Riek, NT; Bouzid, Z; Kraevsky-Phillips, K; Gokhale, T; Zègre-Hemsey, JK; Clermont, G; Saba, S; Martin-Gill, C; Callaway, CW; Akcakaya, M; Sejdic, E; Al-Zaiti, SS</t>
  </si>
  <si>
    <t>Objective: Acute coronary syndrome (ACS) is a life-threatening condition requiring accurate diagnosis for better outcomes. However, variability in signs and symptoms among racial subgroups could cause disparities in diagnostic accuracy. In this study, we use machine learning models to diagnose ACS, focusing on mitigating disparities and ensuring fairness between Black and non-Black populations. Methods: We built on a state-of-the-art random forest classifier to compare three mitigation strategies. The first two approaches involved resampling or partitioning the data prior to training, while the third approach proposed an innovative framework called adversarial debiasing. To evaluate our model performance, we used the receiver operating characteristic (ROC) curve and an operating point at 80% specificity for clinical importance. Results: After mitigation with adversarial debiasing, the difference in sensitivities between the two subgroups decreased from 9.8% to 1.3%. Specifically, this approach achieved areas under the ROC of 0.810 and 0.817, and sensitivities of 70.1% and 71.4%, respectively for Black and non-Black subgroups. Conclusion: The proposed adversarial debiasing model outperformed the other two methods in both diagnostic accuracy and effectiveness in minimizing disparities. Significance: We expect this framework to achieve fair diagnostic models across diverse demographic populations globally and be generalizable to other outcomes.</t>
  </si>
  <si>
    <t>Ji, Rui Qi; Riek, Nathan T.; Bouzid, Zeineb; Kraevsky-Phillips, Karina; Gokhale, Tanmay; Zegre-Hemsey, Jessica K.; Clermont, Gilles; Saba, Samir; Martin-Gill, Christian; Callaway, Clifton W.; Akcakaya, Murat; Sejdic, Ervin; Al-Zaiti, Salah S.</t>
  </si>
  <si>
    <t>Ji, RQ (corresponding author), Univ Toronto, Edward S Rogers Dept Elect &amp; Comp Engn, Toronto, ON M5S 3G4, Canada.</t>
  </si>
  <si>
    <t>ruiqi.ji@mail.utoronto.ca</t>
  </si>
  <si>
    <t>National Institutes of Health [R01HL137761]</t>
  </si>
  <si>
    <t>This work was supported by the National Institutes of Health under Grant R01HL137761.</t>
  </si>
  <si>
    <t>[Ji, Rui Qi] Univ Toronto, Edward S Rogers Dept Elect &amp; Comp Engn, Toronto, ON M5S 3G4, Canada; [Riek, Nathan T.; Akcakaya, Murat] Univ Pittsburgh, Dept Elect &amp; Comp Engn, Pittsburgh, PA USA; [Bouzid, Zeineb] Georgia Inst Technol, Sch Elect &amp; Comp Engn, Atlanta, GA USA; [Kraevsky-Phillips, Karina; Gokhale, Tanmay; Saba, Samir; Martin-Gill, Christian; Callaway, Clifton W.] Univ Pittsburgh, Med Ctr, Pittsburgh, PA USA; [Kraevsky-Phillips, Karina; Martin-Gill, Christian; Callaway, Clifton W.] Univ Pittsburgh, Dept Emergency Med, Pittsburgh, PA USA; [Gokhale, Tanmay; Saba, Samir] Univ Pittsburgh, Div Cardiol, Pittsburgh, PA USA; [Zegre-Hemsey, Jessica K.] Univ North Carolina, Sch Nursing, Chapel Hill, NC USA; [Clermont, Gilles] Univ Pittsburgh, Dept Crit Care Med, Pittsburgh, PA USA; [Sejdic, Ervin] Univ Toronto, Edward S Rogers Dept Elect &amp; Comp Engn, Toronto, ON, Canada; [Sejdic, Ervin] North York Gen Hosp, Toronto, ON, Canada; [Al-Zaiti, Salah S.] Univ Rochester, Sch Nursing, Rochester, NY USA; [Al-Zaiti, Salah S.] Univ Jordan, Sch Nursing, Aqaba, Jordan</t>
  </si>
  <si>
    <t>University of Toronto; Pennsylvania Commonwealth System of Higher Education (PCSHE); University of Pittsburgh; University System of Georgia; Georgia Institute of Technology; Pennsylvania Commonwealth System of Higher Education (PCSHE); University of Pittsburgh; Pennsylvania Commonwealth System of Higher Education (PCSHE); University of Pittsburgh; University of North Carolina; University of North Carolina Chapel Hill; Pennsylvania Commonwealth System of Higher Education (PCSHE); University of Pittsburgh; University of Toronto; University of Toronto; North York General Hospital; University of Rochester</t>
  </si>
  <si>
    <t>Adversarial Debiasing for Equitable and Fair Detection of Acute Coronary Syndrome Using 12-Lead ECG</t>
  </si>
  <si>
    <t>Electrocardiography; Measurement; Medical services; Computational modeling; Accuracy; Machine learning; Data models; Training; Myocardium; Feature extraction; Neural networks; adversarial learning; acute coronary syndrome; fair and responsible AI; 12-lead ECG</t>
  </si>
  <si>
    <t>MYOCARDIAL-INFARCTION; DISPARITIES; DIAGNOSIS; ONSET</t>
  </si>
  <si>
    <t>Al-Zaiti, Salah/G-7962-2019; Bouzid, Zeineb/HZL-4215-2023; Martin-Gill, Christian/KHW-0803-2024; /A-1555-2017; Ji, RuiQi/PDV-9467-2025; Kraevsky-Phillips, Karina/AFB-7041-2022; Callaway, Clifton/JCN-9287-2023</t>
  </si>
  <si>
    <t>Al-Zaiti, Salah/0000-0002-6862-0658; Ji, Rui Qi/0009-0002-6626-9793; Zègre-Hemsey, Jessica/0000-0002-5650-0464</t>
  </si>
  <si>
    <t>1062</t>
  </si>
  <si>
    <t>10.1109/TBME.2025.3597527</t>
  </si>
  <si>
    <t>http://dx.doi.org/10.1109/TBME.2025.3597527</t>
  </si>
  <si>
    <t>DZ0XJ</t>
  </si>
  <si>
    <t>40788801</t>
  </si>
  <si>
    <t>WOS:001695492700010</t>
  </si>
  <si>
    <t>Pan, HX; Liu, JL; Liu, SR</t>
  </si>
  <si>
    <t>As generative artificial intelligence (AI), particularly large language model-based tools, is increasingly integrated into diagnosis, triage, decision support, and treatment planning, it offers potential gains in efficiency and information access. However, real-world deployment also introduces important risks, including hallucinations, miscalibrated confidence, automation bias, and increased verification burden on physicians. This burden may divert attention from independent clinical reasoning, contribute to deskilling, and increase vulnerability when models fail silently or perform poorly in unfamiliar clinical contexts. Existing AI governance frameworks emphasize data quality, transparency, accountability, and ethical deployment, but pay less attention to physician-facing resilience, defined in this paper as the capacity to sustain independent and safe clinical judgment when collaborating with generative AI. In this viewpoint, we propose a multilevel governance framework organized around 3 coordinated domains: cognitive workload shaping, clinical authority governance and allocation, and organizational safety governance and accountability. Together, these domains aim to reduce verification burden, preserve physician decisional authority, and align institutional oversight with safe and context-sensitive AI use. The framework includes mechanisms such as risk-sensitive verification triggers, bounded delegation, structured interprofessional review, and organizational monitoring to support safe clinical integration while minimizing avoidable workflow disruption. At the same time, implementation may be limited by workflow friction, alert fatigue, variable institutional resources, and the need for ongoing monitoring and recalibration to ensure that safeguards remain clinically useful rather than burdensome. Accordingly, this paper outlines a structured governance framework to guide safer integration of generative AI into clinical care and inform future evaluation across specialties, workflows, and institutional settings.</t>
  </si>
  <si>
    <t>Pan, Hongxia; Liu, Jialin; Liu, Siru</t>
  </si>
  <si>
    <t>Liu, JL (corresponding author), Sichuan Univ, West China Hosp, Dept Med Informat, Guoxue Xiang St, Chengdu 610041, Sichuan, Peoples R China.</t>
  </si>
  <si>
    <t>dljl8@163.com</t>
  </si>
  <si>
    <t>Funding The authors declared no financial support was received for this work.</t>
  </si>
  <si>
    <t>[Pan, Hongxia] Sichuan Univ, West China Hosp, Rehabil Med Ctr, Chengdu, Sichuan, Peoples R China; [Pan, Hongxia] Sichuan Univ, West China Hosp, Inst Rehabil Med, Chengdu, Sichuan, Peoples R China; [Liu, Jialin] Sichuan Univ, West China Hosp, Dept Med Informat, Guoxue Xiang St, Chengdu 610041, Sichuan, Peoples R China; [Liu, Jialin] Sichuan Univ, West China Hosp, Dept Otolaryngol Head &amp; Neck Surg, Chengdu, Sichuan, Peoples R China; [Liu, Siru] Vanderbilt Univ, Med Ctr, Dept Biomed Informat, Nashville, TN USA</t>
  </si>
  <si>
    <t>Sichuan University; Sichuan University; Sichuan University; Sichuan University; Vanderbilt University</t>
  </si>
  <si>
    <t>Enhancing Physician Resilience to Generative AI: Multilevel Framework for Shared Authority, Verification, and Skill Preservation</t>
  </si>
  <si>
    <t>cognitive load; authority; accountability; artificial intelligence; AI; generative artificial intelligence; generative AI; clinical safety; physician</t>
  </si>
  <si>
    <t>e88058</t>
  </si>
  <si>
    <t>10.2196/88058</t>
  </si>
  <si>
    <t>http://dx.doi.org/10.2196/88058</t>
  </si>
  <si>
    <t>42341297</t>
  </si>
  <si>
    <t>WOS:001814621800004</t>
  </si>
  <si>
    <t>Nazir, A; Chakravarthy, TK; Cecchini, DA; Khajuria, R; Sharma, P; Mirik, AT; Kocaman, V; Talby, D</t>
  </si>
  <si>
    <t>The use of natural language processing (NLP) models, including the more recent large language models (LLM) in real -world applications obtained relevant success in the past years. To measure the performance of these systems, traditional performance metrics such as accuracy, precision, recall, and f1 -score are used. Although it is important to measure the performance of the models in those terms, natural language often requires an holistic evaluation that consider other important aspects such as robustness, bias, accuracy, toxicity, fairness, safety, efficiency, clinical relevance, security, representation, disinformation, political orientation, sensitivity, factuality, legal concerns, and vulnerabilities. To address the gap, we introduce LangTest, an open source Python toolkit, aimed at reshaping the evaluation of LLMs and NLP models in real -world applications. The project aims to empower data scientists, enabling them to meet high standards in the ever -evolving landscape of AI model development. Specifically, it provides a comprehensive suite of more than 60 test types, ensuring a more comprehensive understanding of a model's behavior and responsible AI use. In this experiment, a Named Entity Recognition (NER) clinical model showed significant improvement in its capabilities to identify clinical entities in text after applying data augmentation for robustness.</t>
  </si>
  <si>
    <t>Nazir, Arshaan; Chakravarthy, Thadaka Kalyan; Cecchini, David Amore; Khajuria, Rakshit; Sharma, Prikshit; Mirik, Ali Tarik; Kocaman, Veysel; Talby, David</t>
  </si>
  <si>
    <t>Kocaman, V (corresponding author), John Snow Labs, Coastal Highway, Lewes, DE 19958 USA.</t>
  </si>
  <si>
    <t>veysel@johnsnowlabs.com</t>
  </si>
  <si>
    <t>[Nazir, Arshaan; Chakravarthy, Thadaka Kalyan; Cecchini, David Amore; Khajuria, Rakshit; Sharma, Prikshit; Mirik, Ali Tarik; Kocaman, Veysel; Talby, David] John Snow Labs, Coastal Highway, Lewes, DE 19958 USA</t>
  </si>
  <si>
    <t>LangTest: A comprehensive evaluation library for custom LLM and NLP models</t>
  </si>
  <si>
    <t>LLM; Evaluation; Harness; NLP</t>
  </si>
  <si>
    <t>Cecchini, David Amore/P-5507-2016</t>
  </si>
  <si>
    <t>Kocaman, Veysel/0000-0002-0065-6478; THADAKA, KALYAN CHAKRAVARTHY/0000-0003-2303-3887; Cecchini, David Amore/0009-0009-5939-0027</t>
  </si>
  <si>
    <t>100619</t>
  </si>
  <si>
    <t>10.1016/j.simpa.2024.100619</t>
  </si>
  <si>
    <t>http://dx.doi.org/10.1016/j.simpa.2024.100619</t>
  </si>
  <si>
    <t>LL4T1</t>
  </si>
  <si>
    <t>WOS:001186949300001</t>
  </si>
  <si>
    <t>Esen, FS</t>
  </si>
  <si>
    <t>In an increasingly technopolar world, artificial intelligence (AI) is pivotal for national competitiveness and security. This article examines how T &amp; uuml;rkiye, a rising regional power, leverages AI initiatives to bridge the digital divide while ensuring robust economic growth and defense capabilities. Situated within broader debates on digital governance, the study elucidates the interplay between T &amp; uuml;rkiye's national policies and global tech competition. Drawing on policy documents and case studies, it traces the nation's transition from technology adopter to proactive innovator in key sectors like defense, healthcare, and education. The article underscores the importance of inclusive AI that prioritizes human capital, equitable access, and data governance. It also highlights T &amp; uuml;rkiye's pursuit of AI-driven defense modernization to establish strategic autonomy against modern threats. This work contends that T &amp; uuml;rkiye's AI ambitions must be analyzed within the context of geopolitics, domestic regulation, and AI governance, not just through a technological lens. By offering policy recommendations for fostering cross-sector partnerships and investing in critical infrastructure, the study provides insights into balancing economic development with social equity and national security. Ultimately, this research contributes to the discourse on how emerging technologies reshape power structures, offering a deeper understanding of T &amp; uuml;rkiye's evolving role in the digital age.</t>
  </si>
  <si>
    <t>Esen, Fatih Sinan</t>
  </si>
  <si>
    <t>Esen, FS (corresponding author), Khazar Univ, ETAI Ctr, Baku, Azerbaijan.</t>
  </si>
  <si>
    <t>[Esen, Fatih Sinan] Khazar Univ, ETAI Ctr, Baku, Azerbaijan</t>
  </si>
  <si>
    <t>Ministry of Education of Azerbaijan Republic; Khazar University</t>
  </si>
  <si>
    <t>From Adopter to Innovator: Türkiye's Strategic AI Initiatives for National Security and Inclusive Growth</t>
  </si>
  <si>
    <t>Artificial Intelligence; T &amp; uuml;rkiye; Digital Divide; Inclusive Growth; National Security; AI Strategy; Digital Transformation</t>
  </si>
  <si>
    <t>Esen, Fatih/MGS-4369-2025</t>
  </si>
  <si>
    <t>10.25253/99.2025272.11</t>
  </si>
  <si>
    <t>http://dx.doi.org/10.25253/99.2025272.11</t>
  </si>
  <si>
    <t>WOS:001552074400012</t>
  </si>
  <si>
    <t>Abdelhay, O; Altamimi, T; Abdelhay, H</t>
  </si>
  <si>
    <t>Automated machine learning (AutoML) promises "easy AI" by lowering barriers to predictive modeling, but this convenience can mask serious deployment risks if leakage, weak validation, poor calibration, and subgroup performance are not rigorously examined. Existing responsible-AI frameworks provide valuable guidance, yet they typically do not serve as enforceable pre-deployment gates that translate governance principles into explicit ship/no-ship decisions. In this paper, we introduce the Automation Risk Checklist (ARC) as a practical deployment gate for AutoML pipelines and demonstrate its impact through a healthcare case study. ARC combines auditable checks across data integrity, leakage prevention, structure-aware validation, calibration, fairness, reproducibility, and operational readiness. We evaluate ARC on the Diabetes 130-US Hospitals dataset, a realistic setting for common AutoML risks because it contains repeated patient entries, post-discharge variables with leakage potential, and subgroup fields relevant to fairness assessment. In a na &amp; iuml;ve evaluation, models achieved apparent perfect discrimination (AUROC = 1.0). After enforcing ARC-based exclusions and patient-level grouped validation, performance fell to more realistic levels (AUROC approximately 0.64), revealing the extent of leakage-driven inflation. ARC also identified underconfident probability estimates in some models, with calibration improving after temperature scaling, and enabled transparent subgroup auditing across sex and race. This study does not claim universal validation of ARC across domains. Rather, it provides proof-of-impact that an auditable deployment gate can materially alter conclusions about AutoML readiness in a realistic, leakage-prone setting. ARC is intended as a practical governance mechanism to help teams document, test, and justify deployment decisions more transparently in high-stakes applications.</t>
  </si>
  <si>
    <t>Abdelhay, Osama; Altamimi, Taghreed; Abdelhay, Hussam</t>
  </si>
  <si>
    <t>Abdelhay, O (corresponding author), Princess Sumaya Univ Technol, Dept Data Sci &amp; Artificial Intelligence, Amman, Jordan.</t>
  </si>
  <si>
    <t>o.abdelhay@psut.edu.jo</t>
  </si>
  <si>
    <t>No funding was received for conducting this study.</t>
  </si>
  <si>
    <t>[Abdelhay, Osama] Princess Sumaya Univ Technol, Dept Data Sci &amp; Artificial Intelligence, Amman, Jordan; [Altamimi, Taghreed] Alfaisal Univ, Coll Engn &amp; Adv Comp, Riyadh, Saudi Arabia; [Abdelhay, Hussam] Tamayouz Business, Riyadh, Saudi Arabia</t>
  </si>
  <si>
    <t>Princess Sumaya University for Technology; Alfaisal University</t>
  </si>
  <si>
    <t>Beyond "Easy AI": a proof-of-impact case study of an Automation Risk Checklist for AutoML deployment</t>
  </si>
  <si>
    <t>AutoML governance; Deployment readiness checklist; Data leakage prevention; Grouped/blocked cross-validation; Algorithmic fairness; Model calibration</t>
  </si>
  <si>
    <t>Altamimi, Taghreed/MFK-1377-2025</t>
  </si>
  <si>
    <t>234</t>
  </si>
  <si>
    <t>10.1007/s41060-026-01210-w</t>
  </si>
  <si>
    <t>http://dx.doi.org/10.1007/s41060-026-01210-w</t>
  </si>
  <si>
    <t>LG2JP</t>
  </si>
  <si>
    <t>WOS:001823855200001</t>
  </si>
  <si>
    <t>Upreti, G</t>
  </si>
  <si>
    <t>PurposeThis narrative review examines the evolving landscape of artificial intelligence (AI) integration in skull base surgery, exploring its multifaceted applications and impact on various aspects of patient care.MethodsExtensive literature review was conducted to gather insights into the role of AI in skull base surgery. Key aspects such as diagnosis, image analysis, surgical planning, navigation, predictive analytics, clinical decision-making, postoperative care, rehabilitation, and virtual simulations were explored. Studies were sourced from PubMed using keyword search strategy for relevant headings, sub-headings and cross-referencing.ResultsAI enhances early diagnosis through diagnostic algorithms that guide investigations based on clinical and radiological data. AI-driven image analysis enables accurate segmentation of intricate structures and extraction of radiomics data, optimizing preoperative planning and predicting treatment response. In surgical planning, AI aids in identifying critical structures, leading to precise interventions. Real-time AI-based navigation offers adaptive guidance, enhancing surgical accuracy and safety. Predictive analytics empower risk assessment, treatment planning, and outcome prediction. AI-driven clinical decision support systems optimize resource allocation and support shared decision-making. Postoperative care benefits from AI's monitoring capabilities and personalized rehabilitation protocols. Virtual simulations powered by AI expedite skill development and decision-making in complex procedures.ConclusionAI contributes to accurate diagnosis, surgical planning, navigation, predictive analysis, and postoperative care. Ethical considerations and data quality assurance are essential, ensuring responsible AI implementation. While AI serves as a valuable complement to clinical expertise, its potential to enhance decision-making, precision, and efficiency in skull base surgery is evident.</t>
  </si>
  <si>
    <t>Upreti, Garima</t>
  </si>
  <si>
    <t>Upreti, G (corresponding author), All India Inst Med Sci, Dept Otorhinolaryngol, Rajkot, Gujarat, India.</t>
  </si>
  <si>
    <t>grmprt@gmail.com</t>
  </si>
  <si>
    <t>[Upreti, Garima] All India Inst Med Sci, Dept Otorhinolaryngol, Rajkot, Gujarat, India</t>
  </si>
  <si>
    <t>All India Institute of Medical Sciences, Rajkot</t>
  </si>
  <si>
    <t>Advancements in Skull Base Surgery: Navigating Complex Challenges with Artificial Intelligence</t>
  </si>
  <si>
    <t>INDIAN JOURNAL OF OTOLARYNGOLOGY AND HEAD &amp; NECK SURGERY</t>
  </si>
  <si>
    <t>Artificial Intelligence; Skull base Surgery; Machine Learning; Deep Learning; Neural Networks, Computer</t>
  </si>
  <si>
    <t>Upreti, Garima/0000-0003-1519-9553</t>
  </si>
  <si>
    <t>2231-3796</t>
  </si>
  <si>
    <t>0973-7707</t>
  </si>
  <si>
    <t>INDIAN J OTOLARYNGOL</t>
  </si>
  <si>
    <t>Indian J. Otolaryngol. Head Neck Surg.</t>
  </si>
  <si>
    <t>10.1007/s12070-023-04415-8</t>
  </si>
  <si>
    <t>http://dx.doi.org/10.1007/s12070-023-04415-8</t>
  </si>
  <si>
    <t>CR5J8</t>
  </si>
  <si>
    <t>38566692</t>
  </si>
  <si>
    <t>WOS:001126980600002</t>
  </si>
  <si>
    <t>Almughamisi, N; Abosamra, G; Albar, A; Saleh, M</t>
  </si>
  <si>
    <t>Background/Objectives: The clinical adoption of AI in radiology requires models that balance high accuracy with interpretable, anatomically plausible reasoning. This study presents an integrated diagnostic framework that addresses this need by unifying a hybrid deep-learning architecture with explicit anatomical guidance and neuro-symbolic inference. Methods: The proposed system employs a dual-path model: an enhanced EfficientNetV2 backbone extracts hierarchical local features, whereas a refined Vision Transformer captures global contextual dependencies across the thoracic cavity. These representations are fused and critically disciplined through auxiliary segmentation supervision using CheXmask. This anchors the learned features to lung and cardiac anatomy, reducing reliance on spurious artifacts. This anatomical basis is fundamental to the interpretability pipeline. It confines Gradient-weighted Class Activation Mapping (Grad-CAM) visual explanations to clinically valid regions. Then, a novel neuro-symbolic reasoning layer is introduced. Using a fuzzy logic engine and radiological ontology, this module translates anatomically aligned neural activations into structured, human-readable diagnostic statements that explicitly articulate the model's clinical rationale. Results: Evaluated on the NIH ChestX-ray14 dataset, the framework achieved a macro-AUROC of 0.9056 and a macro-accuracy of 93.9% across 14 pathologies, with outstanding performance on emphysema (0.9694), hernia (0.9711), and cardiomegaly (0.9589). The model's generalizability was confirmed through external validation on the CheXpert dataset, yielding a macro-AUROC of 0.85. Conclusions: This study demonstrates a cohesive path toward clinically transparent and trustworthy AI by seamlessly integrating data-driven learning with anatomical knowledge and symbolic reasoning.</t>
  </si>
  <si>
    <t>Almughamisi, Naif; Abosamra, Gibrael; Albar, Adnan; Saleh, Mostafa</t>
  </si>
  <si>
    <t>Almughamisi, N (corresponding author), King Abdulaziz Univ, Fac Comp &amp; Informat Technol, Dept Informat Syst, Jeddah 21589, Saudi Arabia.</t>
  </si>
  <si>
    <t>ambar@kau.edu.sa; msherbini@kau.edu.sa; nalmughamisi@stu.kau.edu.sa; gabosamra@kau.edu.sa</t>
  </si>
  <si>
    <t>KAU Endowment (WAQF)</t>
  </si>
  <si>
    <t>The project was funded by KAU Endowment (WAQF) at King Abdulaziz University, Jeddah, Saudi Arabia. The authors, therefore, acknowledge with thanks WAQF and the Deanship of Scientific Research (DSR) for technical and financial support.</t>
  </si>
  <si>
    <t>[Almughamisi, Naif; Abosamra, Gibrael; Albar, Adnan; Saleh, Mostafa] King Abdulaziz Univ, Fac Comp &amp; Informat Technol, Dept Informat Syst, Jeddah 21589, Saudi Arabia</t>
  </si>
  <si>
    <t>Anatomy-Guided Hybrid CNN-ViT Model with Neuro-Symbolic Reasoning for Early Diagnosis of Thoracic Diseases Multilabel</t>
  </si>
  <si>
    <t>hybrid CNN-ViT; anatomy-guided learning; Grad-CAM; neuro-symbolic reasoning; chest X-ray; thoracic disease classification</t>
  </si>
  <si>
    <t>Abosamra, Gibrael Elamin/D-8943-2013; AlBar, Adnan/N-9884-2013</t>
  </si>
  <si>
    <t>ALMUGHAMISI, NAIF/0009-0001-6982-7431; Abosamra, Gibrael Elamin/0000-0003-4871-1867</t>
  </si>
  <si>
    <t>JAN 4 2026</t>
  </si>
  <si>
    <t>10.3390/diagnostics16010159</t>
  </si>
  <si>
    <t>http://dx.doi.org/10.3390/diagnostics16010159</t>
  </si>
  <si>
    <t>AV4QG</t>
  </si>
  <si>
    <t>41515654</t>
  </si>
  <si>
    <t>WOS:001657719900001</t>
  </si>
  <si>
    <t>Haber, Y; Shoval, DH; Levkovich, I; Yinon, D; Gigi, K; Pen, OR; Angert, T; Elyoseph, Z</t>
  </si>
  <si>
    <t>Introduction Externalization techniques are well established in psychotherapy approaches, including narrative therapy and cognitive behavioral therapy. These methods elicit internal experiences such as emotions and make them tangible through external representations. Recent advances in generative artificial intelligence (GenAI), specifically large language models (LLMs), present new possibilities for therapeutic interventions; however, their integration into core psychotherapy practices remains largely unexplored. This study aimed to examine the clinical, ethical, and theoretical implications of integrating GenAI into the therapeutic space through a proof-of-concept (POC) of AI-driven externalization techniques, while emphasizing the essential role of the human therapist.Methods To this end, we developed two customized GPTs agents: VIVI (visual externalization), which uses DALL-E 3 to create images reflecting patients' internal experiences (e.g., depression or hope), and DIVI (dialogic role-play-based externalization), which simulates conversations with aspects of patients' internal content. These tools were implemented and evaluated through a clinical case study under professional psychological guidance.Results The integration of VIVI and DIVI demonstrated that GenAI can serve as an "artificial third", creating a Winnicottian playful space that enhances, rather than supplants, the dyadic therapist-patient relationship. The tools successfully externalized complex internal dynamics, offering new therapeutic avenues, while also revealing challenges such as empathic failures and cultural biases.Discussion These findings highlight both the promise and the ethical complexities of AI-enhanced therapy, including concerns about data security, representation accuracy, and the balance of clinical authority. To address these challenges, we propose the SAFE-AI protocol, offering clinicians structured guidelines for responsible AI integration in therapy. Future research should systematically evaluate the generalizability, efficacy, and ethical implications of these tools across diverse populations and therapeutic contexts.</t>
  </si>
  <si>
    <t>Haber, Yuval; Shoval, Dorit Hadar; Levkovich, Inbar; Yinon, Dror; Gigi, Karny; Pen, Oori; Angert, Tal; Elyoseph, Zohar</t>
  </si>
  <si>
    <t>Haber, Y (corresponding author), Bar Ilan Univ, Program Hermeneut &amp; Cultural Studies, Interdisciplinary Studies Unit, Jerusalem, Israel.</t>
  </si>
  <si>
    <t>yuvalhaber@gmail.com</t>
  </si>
  <si>
    <t>[Haber, Yuval; Yinon, Dror] Bar Ilan Univ, Program Hermeneut &amp; Cultural Studies, Interdisciplinary Studies Unit, Jerusalem, Israel; [Shoval, Dorit Hadar] Max Stern Acad Coll Emek Yezreel, Dept Psychol, Yezreel Valley, Israel; [Levkovich, Inbar] Tel Hai Acad Coll, Fac Educ, Kiryat Shmona, Israel; [Gigi, Karny; Pen, Oori; Angert, Tal; Elyoseph, Zohar] Univ Haifa, Fac Educ, Dept Counseling &amp; Human Dev, Haifa, Israel; [Elyoseph, Zohar] Imperial Coll London, Fac Med, Dept Brain Sci, London, England</t>
  </si>
  <si>
    <t>Bar Ilan University; Max Stern Yezreel Valley College; The University of Kiryat Shmona in the Galilee; University of Haifa; Imperial College London</t>
  </si>
  <si>
    <t>The externalization of internal experiences in psychotherapy through generative artificial intelligence: a theoretical, clinical, and ethical analysis</t>
  </si>
  <si>
    <t>generative artificial intelligence (GenAI); externalization techniques; psychotherapy; ethical considerations; SAFE-AI protocol; clinical implementation</t>
  </si>
  <si>
    <t>Levkovich, Inbar/AFT-9007-2022; Yinon, Dror/HLH-7674-2023</t>
  </si>
  <si>
    <t>Haber, Yuval/0000-0003-4933-2113; Levkovich, Inbar/0000-0003-1582-3889</t>
  </si>
  <si>
    <t>FEB 4 2025</t>
  </si>
  <si>
    <t>1512273</t>
  </si>
  <si>
    <t>10.3389/fdgth.2025.1512273</t>
  </si>
  <si>
    <t>http://dx.doi.org/10.3389/fdgth.2025.1512273</t>
  </si>
  <si>
    <t>X1W4X</t>
  </si>
  <si>
    <t>39968063</t>
  </si>
  <si>
    <t>WOS:001423337300001</t>
  </si>
  <si>
    <t>Okolo, CT; Agarwal, D; Dell, N; Vashistha, A</t>
  </si>
  <si>
    <t>AI-driven tools are increasingly deployed to support low-skilled community health workers (CHWs) in hard-to-reach communities in the Global South. This paper examines how CHWs in rural India engage with and perceive AI explanations and how we might design explainable AI (XAI) interfaces that are more understandable to them. We conducted semi-structured interviews with CHWs who interacted with a design probe to predict neonatal jaundice in which AI recommendations are accompanied by explanations. We (1) identify how CHWs interpreted AI predictions and the associated explanations, (2) unpack the benefits and pitfalls they perceived of the explanations, and (3) detail how different design elements of the explanations impacted their AI understanding. Our findings demonstrate that while CHWs struggled to understand the AI explanations, they nevertheless expressed a strong preference for the explanations to be integrated into AI-driven tools and perceived several benefits of the explanations, such as helping CHWs learn new skills and improved patient trust in AI tools and in CHWs. We conclude by discussing what elements of AI need to be made explainable to novice AI users like CHWs and outline concrete design recommendations to improve the utility of XAI for novice AI users in non-Western contexts.</t>
  </si>
  <si>
    <t>Okolo, Chinasa T.; Agarwal, Dhruv; Dell, Nicola; Vashistha, Aditya</t>
  </si>
  <si>
    <t>Okolo, CT (corresponding author), Cornell Univ, Comp Sci, 350 Gates Hall, Ithaca, NY 14853 USA.</t>
  </si>
  <si>
    <t>da399@cornell.edu; chinasa@cs.cornell.edu; nixdell@cornell.edu; adityav@cornell.edu</t>
  </si>
  <si>
    <t>National Science Foundation [1748903]; Cornell Center for Health Equity</t>
  </si>
  <si>
    <t>National Science Foundation; Cornell Center for Health Equity</t>
  </si>
  <si>
    <t>We express our sincere gratitude to the participants for sharing their insights. We are also grateful to NYST for their facilitation of our research. This work was funded in part by the National Science Foundation grant #1748903 and the Cornell Center for Health Equity.</t>
  </si>
  <si>
    <t>[Okolo, Chinasa T.] Cornell Univ, Comp Sci, 350 Gates Hall, Ithaca, NY 14853 USA; [Agarwal, Dhruv; Dell, Nicola; Vashistha, Aditya] Cornell Univ, Informat Sci, Ithaca, NY USA</t>
  </si>
  <si>
    <t>Cornell University; Cornell University</t>
  </si>
  <si>
    <t>"If it is easy to understand, then it will have value": Examining Perceptions of Explainable AI with Community Health Workers in Rural India</t>
  </si>
  <si>
    <t>PROCEEDINGS OF THE ACM ON HUMAN COMPUTER INTERACTION</t>
  </si>
  <si>
    <t>Artificial Intelligence; Machine Learning; Community Health Workers; Mobile Health; Explainability; HCI4D; XAI4D; ICTD; Global South</t>
  </si>
  <si>
    <t>Okolo, Chinasa T/ADE-6091-2022</t>
  </si>
  <si>
    <t>Agarwal, Dhruv/0000-0002-1090-3583; Vashistha, Aditya/0000-0001-5693-3326; Okolo, Chinasa T/0000-0002-6474-3378; Dell, Nicola/0000-0002-6119-705X</t>
  </si>
  <si>
    <t>ASSOC COMPUTING MACHINERY</t>
  </si>
  <si>
    <t>1601 Broadway, 10th Floor, NEW YORK, NY USA</t>
  </si>
  <si>
    <t>2573-0142</t>
  </si>
  <si>
    <t>P ACM HUM COMPUT INT</t>
  </si>
  <si>
    <t>Proc. ACM Hum. Comput. Interact.</t>
  </si>
  <si>
    <t>CSCW1</t>
  </si>
  <si>
    <t>CCW1</t>
  </si>
  <si>
    <t>10.1145/3637348</t>
  </si>
  <si>
    <t>http://dx.doi.org/10.1145/3637348</t>
  </si>
  <si>
    <t>Computer Science, Cybernetics; Computer Science, Information Systems</t>
  </si>
  <si>
    <t>6GZ2P</t>
  </si>
  <si>
    <t>WOS:001553128900003</t>
  </si>
  <si>
    <t>AlHamad, H; Alenezi, A; Alnaser, MZ; Almutairi, D; AlObaid, F; AlHarban, S; AlRasheed, S</t>
  </si>
  <si>
    <t>Background Artificial intelligence (AI) is increasingly integrated into healthcare and health-professions education. While it may improve efficiency, decision support, and learning, it also raises concerns about workforce impacts, safety, privacy, and accountability. Gulf-region evidence on how students and faculty perceive AI across disciplines within a single health science center remains limited. Objective To assess attitudes toward AI among health-sciences students and faculty and examine demographic factors associated with these attitudes. Methods A descriptive cross-sectional online survey using convenience sampling was distributed to Health Science Centre (HSC) students and faculty (605 students, 43 faculty). It included demographic variables and two standardized measures, the General Attitudes towards Artificial Intelligence Scale (GAAIS) and the Artificial Intelligence Attitude Scale-4 (AIAS-4). Internal consistency was assessed using Cronbach's alpha; groups were compared using Mann-Whitney U and Kruskal-Wallis tests. Results Attitudes were broadly positive in both groups. Faculty scored higher than students on GAAIS (62.0 vs 55.5; p &lt; 0.001) but not AIAS-4 (68.7 vs 63.1; p = 0.094). Among students, males scored higher on GAAIS (61.2 vs 54.9; p &lt; 0.001) and AIAS-4 (71.4 vs 62.2; p = 0.004). AIAS-4 also differed by nationality (Kuwaiti 64.3 vs non-Kuwaiti 56.6; p = 0.005) and major (p &lt; 0.001), with lower-GPA students less positive. In multivariable regression, male gender, Kuwaiti nationality, higher GPA, and discipline were independently associated with AIAS-4; physical-therapy students scored significantly lower than several disciplines. Conclusions Students and faculty demonstrate broadly positive attitudes toward AI alongside concerns about safety, surveillance, and workforce displacement. Structured education, practical exposure, and ethics-and governance-oriented teaching may support responsible AI integration in health-professions education and practice.</t>
  </si>
  <si>
    <t>AlHamad, Hamad; Alenezi, Ahmad; Alnaser, Musaed Z.; Almutairi, Dalal; AlObaid, Fatemah; AlHarban, Sara; AlRasheed, Sara</t>
  </si>
  <si>
    <t>AlHamad, H (corresponding author), Kuwait Univ, Fac Allied Hlth Sci, Hlth Sci Ctr, Occupat Therapy Dept, Kuwait, Kuwait.</t>
  </si>
  <si>
    <t>h.alhamad@ku.edu.kw</t>
  </si>
  <si>
    <t>[AlHamad, Hamad; Alnaser, Musaed Z.] Kuwait Univ, Fac Allied Hlth Sci, Hlth Sci Ctr, Occupat Therapy Dept, Kuwait, Kuwait; [Alenezi, Ahmad] Kuwait Univ, Fac Allied Hlth Sci, Dept Radiol Sci, Kuwait, Kuwait; [Almutairi, Dalal; AlObaid, Fatemah; AlHarban, Sara; AlRasheed, Sara] Minist Hlth, Occupat Therapy Dept, Kuwait, Kuwait</t>
  </si>
  <si>
    <t>Kuwait University; Kuwait University</t>
  </si>
  <si>
    <t>Attitudes towards artificial intelligence among students and faculty staff at Kuwait University's Health Science Centre: A cross-sectional study</t>
  </si>
  <si>
    <t>artificial intelligence; machine learning; attitude of health personnel; health occupations students; faculty; medical education; surveys and questionnaires; Kuwait</t>
  </si>
  <si>
    <t>USER ACCEPTANCE; TECHNOLOGY</t>
  </si>
  <si>
    <t>10.1177/10519815261477732</t>
  </si>
  <si>
    <t>http://dx.doi.org/10.1177/10519815261477732</t>
  </si>
  <si>
    <t>MX2EM</t>
  </si>
  <si>
    <t>42610935</t>
  </si>
  <si>
    <t>WOS:001853029900001</t>
  </si>
  <si>
    <t>Arvai, N; Meskó, B; Katonai, G</t>
  </si>
  <si>
    <t>Background: Generative artificial intelligence (AI) is quickly changing medical education, even as medical students still face high levels of stress, anxiety, and burnout. These simultaneous trends-technological upheaval and ongoing mental health issues-bring up important questions about how future doctors will be trained and supported. Understanding how these factors might influence each other is crucial for developing resilient, future-ready medical education systems. Objective: We carried out a foresight study using scenario analysis to examine potential futures at the crossroads of generative AI adoption and medical students' mental health. An initial environmental scan of the literature was conducted to pinpoint emerging trends and weak signals related to AI in medical education and well-being. These phenomena were categorized within a macro-meso-micro framework and analyzed through a multilevel sociotechnical change perspective. The study focused on 2 principal factors: the extent of generative AI integration into medical curricula and the availability of mental health support, as key drivers and critical uncertainties influencing future trajectories. Methods: These dimensions resulted in 4 distinct scenarios: Analog Happiness (high support and low AI integration), Gen AI Paradise (high support and high integration), Disconnected Struggles (low support and low integration), and Gen AI Takeover (low support and high integration). Each scenario demonstrates how various institutional responses can impact students' digital readiness, psychological well-being, and professional growth. For each one, we identified the main systemic risks and suggested immediate institutional measures to address them. Results: The findings suggest that technological innovation and mental health support must coevolve in medical education. Prioritizing one without the other risks producing either digitally unprepared or emotionally fragile physicians. Faculty readiness, ethical frameworks, and participatory curriculum design are critical to ensuring balanced integration. We formulated practical recommendations tailored to students, educators, and other stakeholders to guide balanced adaptation. Conclusions: Generative AI is more than just an additional tool in medical education; it is a systemic force that redefines how future physicians learn and operate. If technological change and student mental health are tackled separately, medical education risks creating graduates who are either unprepared for digital demands or mentally overwhelmed. This study highlights key systemic risks and suggests initial institutional steps to address them, providing a foresight-driven framework to assist educators and policymakers in responsible AI integration while safeguarding the well-being of future doctors.</t>
  </si>
  <si>
    <t>Arvai, Nora; Mesko, Bertalan; Katonai, Gellert</t>
  </si>
  <si>
    <t>Arvai, N (corresponding author), Univ Debrecen, Kalman Lak Doctoral Sch Biomed &amp; Clin Sci, Egyet Ter 1, H-4032 Debrecen, Hungary.</t>
  </si>
  <si>
    <t>noraarvai.endoblog@gmail.com</t>
  </si>
  <si>
    <t>[Arvai, Nora; Mesko, Bertalan; Katonai, Gellert] Univ Debrecen, Kalman Lak Doctoral Sch Biomed &amp; Clin Sci, Egyet Ter 1, H-4032 Debrecen, Hungary</t>
  </si>
  <si>
    <t>University of Debrecen</t>
  </si>
  <si>
    <t>Generative AI's Impact on the Mental Health of Medical Students: Scenario Analysis</t>
  </si>
  <si>
    <t>mental health; generative AI; generative artificial intelligence; medical curriculum; medical education</t>
  </si>
  <si>
    <t>ARTIFICIAL-INTELLIGENCE; PHYSICIAN BURNOUT; EDUCATION; FUTURE; FRAMEWORK; CARE</t>
  </si>
  <si>
    <t>Katonai, Gellert/MAH-3518-2025</t>
  </si>
  <si>
    <t>e85373</t>
  </si>
  <si>
    <t>10.2196/85373</t>
  </si>
  <si>
    <t>http://dx.doi.org/10.2196/85373</t>
  </si>
  <si>
    <t>JK3IU</t>
  </si>
  <si>
    <t>42190258</t>
  </si>
  <si>
    <t>WOS:001791370500001</t>
  </si>
  <si>
    <t>Rahman, H</t>
  </si>
  <si>
    <t>Purpose- This study aims to critically examine the ethical challenges posed by artificial intelligence (AI)-driven data mining in health care, particularly focusing on the limitations of traditional consent and regulatory frameworks. It proposes a reimagined model of care ethics and informed consent that is relational, participatory and justice-oriented. By introducing the "Ethical Data Mining Compass," the paper seeks to guide health-care stakeholders in implementing ethical, transparent and inclusive AI systems that prioritize patient autonomy, accountability and data justice in clinical decision-making and digital health governance. Design/methodology/approach- This conceptual paper uses a normative ethical analysis to explore the intersection of algorithmic decision-making and health-care data practices. Drawing from interdisciplinary literature in bioethics, data justice and care theory, it critiques existing regulatory frameworks and consent models. The study develops the "Ethical Data Mining Compass" as a theoretical framework by synthesizing principles of dynamic consent, participatory governance and relational ethics. This approach offers a structured lens for evaluating and guiding the ethical deployment of AI technologies in health-care systems, with particular attention to equity, transparency and patient-centered accountability. Findings- The study finds that conventional models of informed consent and existing regulatory frameworks like General Data Protection Regulation and Health Insurance Portability and Accountability Act are insufficient to address the ethical complexities of AI-driven health care. It highlights that algorithmic opacity and asymmetrical power dynamics undermine patient autonomy and trust. The proposed "Ethical Data Mining Compass" offers a novel framework that integrates dynamic consent, data justice and participatory governance. This model enables more inclusive, transparent and accountable data practices, reframing consent as an ongoing, relational process. It positions ethical care as central to responsible AI implementation, ensuring that technological innovation aligns with patient rights and social equity. Originality/value- This paper offers a novel contribution by reconceptualizing informed consent in the context of AI-driven health care through the lens of care ethics and data justice. Unlike traditional models that treat consent as a one-time transactional act, it introduces the "Ethical Data Mining Compass" as a dynamic and participatory framework. The study bridges gaps between ethical theory, health informatics and governance, providing a structured approach to guide responsible AI use in clinical settings. Its value lies in promoting a patient-centered, equitable and context-sensitive model for data ethics that addresses current regulatory and practical shortcomings in digital health systems.</t>
  </si>
  <si>
    <t>Rahman, Hakikur</t>
  </si>
  <si>
    <t>Rahman, H (corresponding author), Int Stand Univ, Dept CSE, Dhaka, Bangladesh.</t>
  </si>
  <si>
    <t>email@hakik.org</t>
  </si>
  <si>
    <t>[Rahman, Hakikur] Int Stand Univ, Dept CSE, Dhaka, Bangladesh</t>
  </si>
  <si>
    <t>Algorithmic care and consent: reframing ethical data mining in health-care systems</t>
  </si>
  <si>
    <t>Ethical data mining; Algorithmic health care; Informed consent; Data justice; AI ethics; Responsible data governance; Health-care privacy; Dynamic consent; Algorithmic accountability</t>
  </si>
  <si>
    <t>10.1108/JICES-07-2025-0190</t>
  </si>
  <si>
    <t>http://dx.doi.org/10.1108/JICES-07-2025-0190</t>
  </si>
  <si>
    <t>ES5QH</t>
  </si>
  <si>
    <t>WOS:001708719000001</t>
  </si>
  <si>
    <t>Soley, N; Rattsev, I; Speed, TJ; Xie, AP; Ferryman, KS; Taylor, CO</t>
  </si>
  <si>
    <t>Objective Building upon our previous work on predicting chronic opioid use using electronic health records (EHR) and wearable data, this study leveraged the Health Equity Across the AI Lifecycle (HEAAL) framework to (a) fine tune the previously built model with genomic data and evaluate model performance in predicting chronic opioid use and (b) apply IBM's AIF360 pre-processing toolkit to mitigate bias related to gender and race and evaluate the model performance using various fairness metrics.Materials and Methods Participants included approximately 271 All of Us Research Program subjects with EHR, wearable, and genomic data. We fine-tuned 4 machine learning models on the new dataset. The SHapley Additive exPlanations (SHAP) technique identified the best-performing predictors. A preprocessing toolkit boosted fairness by gender and race.Results The genetic data enhanced model performance from the prior model, with the area under the curve improving from 0.90 (95% CI, 0.88-0.92) to 0.95 (95% CI, 0.89-0.95). Key predictors included Dopamine D1 Receptor (DRD1) rs4532, general type of surgery, and time spent in physical activity. The reweighing preprocessing technique applied to the stacking algorithm effectively improved the model's fairness across racial and gender groups without compromising performance.Conclusion We leveraged 2 dimensions of the HEAAL framework to build a fair artificial intelligence (AI) solution. Multi-modal datasets (including wearable and genetic data) and applying bias mitigation strategies can help models to more fairly and accurately assess risk across diverse populations, promoting fairness in AI in healthcare.</t>
  </si>
  <si>
    <t>Soley, Nidhi; Rattsev, Ilia; Speed, Traci J.; Xie, Anping; Ferryman, Kadija S.; Taylor, Casey Overby</t>
  </si>
  <si>
    <t>Taylor, CO (corresponding author), Johns Hopkins Univ, Inst Computat Med, Whiting Sch Engn, 3101 Wyman Pk Dr,Hackerman 217D, Baltimore, MD 21218 USA.</t>
  </si>
  <si>
    <t>cot@jhu.edu</t>
  </si>
  <si>
    <t>National Human Genome Research Institute [1 OT2 OD026549, 1 OT2 OD026554, 1 OT2 OD026557, 1 OT2 OD026556, 1 OT2 OD026550, 1 OT2 OD 026552, 1 OT2 OD026553, 1 OT2 OD026548, 1 OT2 OD026551, 1 OT2 OD026555, AOD 16037, HHSN 263201600085U, 5 U2C OD023196, 1 U24 OD023121, U24 OD023176, 3 OT2 OD023205, 3 OT2 OD023206, 1 OT2 OD025277, 3 OT2 OD025315, 1 OT2 OD025337, 1 OT2 OD025276]; National Institutes of Health</t>
  </si>
  <si>
    <t>National Human Genome Research Institute (United States Department of Health &amp; Human Services, National Institutes of Health (NIH) - USA, NIH National Human Genome Research Institute (NHGRI)); National Institutes of Health (United States Department of Health &amp; Human Services, National Institutes of Health (NIH) - USA)</t>
  </si>
  <si>
    <t>The All of Us Research Program is supported by the National Institutes of Health, Office of the Director: Regional Medical Centers: 1 OT2 OD026549; 1 OT2 OD026554; 1 OT2 OD026557; 1 OT2 OD026556; 1 OT2 OD026550; 1 OT2 OD 026552; 1 OT2 OD026553; 1 OT2 OD026548; 1 OT2 OD026551; 1 OT2 OD026555; IAA #: AOD 16037; Federally Qualified Health Centers: HHSN 263201600085U; Data and Research Center: 5 U2C OD023196; Biobank: 1 U24 OD023121; The Participant Center: U24 OD023176; Participant Technology Systems Center: 1 U24 OD023163; Communications and Engagement: 3 OT2 OD023205; 3 OT2 OD023206; and Community Partners: 1 OT2 OD025277; 3 OT2 OD025315; 1 OT2 OD025337; 1 OT2 OD025276. In addition, the All of Us Research Program would not be possible without the partnership of its participants.</t>
  </si>
  <si>
    <t>[Soley, Nidhi; Rattsev, Ilia; Taylor, Casey Overby] Johns Hopkins Univ, Inst Computat Med, Whiting Sch Engn, 3101 Wyman Pk Dr,Hackerman 217D, Baltimore, MD 21218 USA; [Soley, Nidhi; Rattsev, Ilia; Taylor, Casey Overby] Johns Hopkins Univ, Sch Med, Dept Biomed Engn, Baltimore, MD 21218 USA; [Speed, Traci J.] Johns Hopkins Univ, Sch Med, Dept Psychiat &amp; Behav Sci, Baltimore, MD 21205 USA; [Xie, Anping] Johns Hopkins Univ, Armstrong Inst Patient Safety &amp; Qual, Sch Med, Baltimore, MD 21202 USA; [Xie, Anping] Johns Hopkins Univ, Sch Med, Dept Anesthesia &amp; Crit Care Med, Baltimore, MD 21205 USA; [Ferryman, Kadija S.; Taylor, Casey Overby] Johns Hopkins Univ, Bloomberg Sch Publ Hlth, Dept Hlth Policy &amp; Management, Baltimore, MD 21205 USA; [Ferryman, Kadija S.] Johns Hopkins Univ, Berman Inst Bioeth, Baltimore, MD 21205 USA; [Taylor, Casey Overby] Johns Hopkins Univ, Sch Med, Dept Med, Div Gen Internal Med, Baltimore, MD 21205 USA</t>
  </si>
  <si>
    <t>Johns Hopkins University; Johns Hopkins University; Johns Hopkins Medicine; Johns Hopkins University; Johns Hopkins Medicine; Johns Hopkins University; Johns Hopkins Medicine; Johns Hopkins University; Johns Hopkins Medicine; Johns Hopkins University; Johns Hopkins Bloomberg School of Public Health; Johns Hopkins University; Johns Hopkins University; Johns Hopkins Medicine</t>
  </si>
  <si>
    <t>Predicting postoperative chronic opioid use with fair machine learning models integrating multi-modal data sources: a demonstration of ethical machine learning in healthcare</t>
  </si>
  <si>
    <t>chronic opioid use; ethical machine learning; responsible AI; multimodal dataset; All of Us</t>
  </si>
  <si>
    <t>SINGLE-NUCLEOTIDE POLYMORPHISMS; DOPAMINE-RECEPTOR D1; UNITED-STATES; CHRONIC PAIN; DEPENDENCE; PRESCRIPTION; ASSOCIATION; ABUSE; RISK; GENE</t>
  </si>
  <si>
    <t>Taylor, Casey/V-1271-2018; Xie, Anping/PYW-3423-2026</t>
  </si>
  <si>
    <t>Taylor, Casey/0000-0001-9302-5968; Speed, Traci/0000-0001-6102-2682; Rattsev, Ilia/0000-0001-6284-3204; Xie, Anping/0000-0002-7306-5257</t>
  </si>
  <si>
    <t>985</t>
  </si>
  <si>
    <t>997</t>
  </si>
  <si>
    <t>10.1093/jamia/ocaf053</t>
  </si>
  <si>
    <t>http://dx.doi.org/10.1093/jamia/ocaf053</t>
  </si>
  <si>
    <t>3IN8P</t>
  </si>
  <si>
    <t>40152140</t>
  </si>
  <si>
    <t>WOS:001454645900001</t>
  </si>
  <si>
    <t>Gülten, E; Derin, O; Arslan, E; Tahtasakal, CA; Temoçin, F; Memisoglu, F; Demir, NA</t>
  </si>
  <si>
    <t>Background: The integration of artificial intelligence (AI) into clinical practice is gaining momentum globally, yet specialty-specific perspectives remain underexplored. This study aimed to assess the awareness, knowledge, attitudes, expectations, and concerns of infectious diseases and clinical microbiology (IDCM) physicians regarding AI applications in their field. Methods: A cross-sectional, online survey was distributed between May and June 2025 to IDCM physicians across T &amp; uuml;rkiye. The questionnaire included multiple-choice, Likert-type, and open-ended items assessing sociodemographic characteristics, AI familiarity, clinical use, and perceptions. Descriptive and inferential statistics, along with thematic analysis of qualitative responses, were employed. Results: In total, 387 IDCM physicians completed the survey. While 0.5% (n = 2) reported prior long-term/extensive AI training, 88.9% (n = 344) agreed that IDCM physicians should be actively involved in AI system development. Notably, 23.0% (n = 89) had already used AI tools, primarily ChatGPT (n = 69, 77.5%). Regarding accountability, 68.2% (n = 264) assigned responsibility for erroneous AI-generated decisions to physicians. Familiarity with AI showed a strong association with academic title (p &lt; .001). Total knowledge scores were significantly higher among university hospital physicians (p &lt; .001), whereas total attitude scores differed across age (p = .003), academic title (p = .001), and years of experience (p = .006). Thematic analysis of 97 open-ended responses revealed high expectations for AI in enhancing decision support, timeliness, and operational efficiency. However, major concerns included ethical risks, algorithmic bias, data reliability, and potential erosion of clinical autonomy. Conclusions: This study provides comprehensive insights into IDCM physicians' perspectives on AI. Findings highlight strong interest but limited preparedness, underscoring the need for targeted education, ethical safeguards, and inclusive policy frameworks to ensure responsible AI integration.</t>
  </si>
  <si>
    <t>Gulten, Ezgi; Derin, Okan; Arslan, Eyup; Atasoy Tahtasakal, Ceren; Temocin, Fatih; Memisoglu, Funda; Aktug Demir, Nazlim</t>
  </si>
  <si>
    <t>Gülten, E (corresponding author), Ankara Univ, Fac Med, Dept Infect Dis &amp; Clin Microbiol, Ankara, Turkiye.</t>
  </si>
  <si>
    <t>ezgioztop@gmail.com</t>
  </si>
  <si>
    <t>[Gulten, Ezgi] Ankara Univ, Fac Med, Dept Infect Dis &amp; Clin Microbiol, Ankara, Turkiye; [Derin, Okan; Atasoy Tahtasakal, Ceren] Univ Hlth Sci Turkiye, stanbul Sisli Hamidiye Etfal Training &amp; Res Hosp, Dept Infect Dis &amp; Clin Microbiol, Istanbul, Turkiye; [Derin, Okan] Istanbul Medipol Univ, Grad Sch Hlth Sci, Epidemiol PhD Program, Istanbul, Turkiye; [Arslan, Eyup] Univ Hlth Sci, Sancaktepe Sehit Prof Dr Ilhan Varank Training &amp;, Dept Infect Dis &amp; Clin Microbiol, Istanbul, Turkiye; [Temocin, Fatih] Ondokuz Mayis Univ, Sch Med, Dept Clin Microbiol &amp; Infect Dis, Samsun, Turkiye; [Memisoglu, Funda] Inonu Univ, Fac Med, Dept Infect Dis &amp; Clin Microbiol, Malatya, Turkiye; [Aktug Demir, Nazlim] Selcuk Univ, Fac Med, Dept Infect Dis &amp; Clin Microbiol, Konya, Turkiye</t>
  </si>
  <si>
    <t>Ankara University; Istanbul Medipol University; University of Health Sciences Turkey; Ondokuz Mayis University; Inonu University; Selcuk University</t>
  </si>
  <si>
    <t>From awareness to action: A nationwide survey of infectious diseases and clinical microbiology physicians' perspectives on artificial intelligence in clinical practice</t>
  </si>
  <si>
    <t>Artificial intelligence; clinical microbiology; digital health; infectious diseases; physician attitudes</t>
  </si>
  <si>
    <t>Temoçin, Fatih/V-4838-2017; Gülten, Ezgi/HDN-4730-2022; arslan, eyüp/IZP-6790-2023; DEMİR, NAZLIM/KGQ-4268-2024; memişoğlu, funda/AAA-4392-2021; Atasoy Tahtasakal, Ceren/KUF-2830-2024; Derin, Okan/GOP-0687-2022</t>
  </si>
  <si>
    <t>Temoçin, Fatih/0000-0002-4819-8242; Gülten, Ezgi/0000-0003-0248-7716; Atasoy Tahtasakal, Ceren/0000-0003-0392-229X; Derin, Okan/0000-0001-6311-5428</t>
  </si>
  <si>
    <t>20552076251404507</t>
  </si>
  <si>
    <t>10.1177/20552076251404507</t>
  </si>
  <si>
    <t>http://dx.doi.org/10.1177/20552076251404507</t>
  </si>
  <si>
    <t>L5279</t>
  </si>
  <si>
    <t>41346940</t>
  </si>
  <si>
    <t>WOS:001629653400001</t>
  </si>
  <si>
    <t>Sundaram, KM; Sasikumar, R</t>
  </si>
  <si>
    <t>Artificial intelligence (AI) system design for brain tumor diagnosis by utilizing Magnetic Resonance Imaging (MRI) demands more than accuracy; it also entails the development of robust, understandable, and medically trustworthy systems capable of handling heterogeneous imaging situations. The existing models are usually task-oriented, that is, either segmenting or classifying brain tumors in MRI images, and cannot easily generalize when faced with images from other machines and procedures. With the goal of tackling these limitations, this research seeks to develop the TRUST Brain Intelligence Framework. This proposed model is a unified architecture integrating Adaptive Contrast Harmonizer, attention-enhanced DeepLabV3+ segmentation, EfficientNetV2-based Scale Fusion Grader, Monte Carlo Dropout uncertainty estimation, and Grad-CAM++ explainability. Entropy-driven pre-processing enhances intensity consistency and tumor boundary preservation, whereas attention-guided segmentation and adaptive multi-scale grading facilitate discriminative feature learning. Empirical results using the BRISC and Brain Tumor MRI data sets reveal that the proposed approach significantly outperforms traditional approaches based on convolutional neural networks and segmentation. The proposed model was found to be highly effective in terms of Dice, Intersection Over Union, accuracy, and F1-score, and it exhibited consistent performance across heterogeneous MRI modalities. Uncertainty-aware predictions and visual explanations further improved clinical interpretation of the results, making the framework more suitable for trustworthy AI-assisted neuro-oncology decision support.</t>
  </si>
  <si>
    <t>Sundaram, K. Mohana; Sasikumar, R.</t>
  </si>
  <si>
    <t>Sundaram, KM (corresponding author), RMD Engn Coll, Dept Comp Sci &amp; Engn, Tiruvallur, Tamil Nadu, India.</t>
  </si>
  <si>
    <t>kms.cse@rmd.ac.in</t>
  </si>
  <si>
    <t>Deanship of RMD Engineering College</t>
  </si>
  <si>
    <t>The authors would like to thank the Deanship of RMD Engineering College for supporting this work. No funds were received for this work.</t>
  </si>
  <si>
    <t>[Sundaram, K. Mohana; Sasikumar, R.] RMD Engn Coll, Dept Comp Sci &amp; Engn, Tiruvallur, Tamil Nadu, India</t>
  </si>
  <si>
    <t>Trust: A Unified Attention-Based and Uncertainty-Aware Framework for Brain Tumor Detection and Grading</t>
  </si>
  <si>
    <t>RADIO SCIENCE</t>
  </si>
  <si>
    <t>brain tumor detection; magnetic resonance imaging; attention-based segmentation; explainable artificial intelligence; neuro-oncology decision support</t>
  </si>
  <si>
    <t>Sasikumar, Raju/I-1510-2016; K, MOHANA SUNDARAM/GXG-3305-2022</t>
  </si>
  <si>
    <t>AMER GEOPHYSICAL UNION</t>
  </si>
  <si>
    <t>2000 FLORIDA AVE NW, WASHINGTON, DC 20009 USA</t>
  </si>
  <si>
    <t>0048-6604</t>
  </si>
  <si>
    <t>1944-799X</t>
  </si>
  <si>
    <t>RADIO SCI</t>
  </si>
  <si>
    <t>Radio Sci.</t>
  </si>
  <si>
    <t>e2026RS008697</t>
  </si>
  <si>
    <t>10.1029/2026RS008697</t>
  </si>
  <si>
    <t>http://dx.doi.org/10.1029/2026RS008697</t>
  </si>
  <si>
    <t>Astronomy &amp; Astrophysics; Geochemistry &amp; Geophysics; Meteorology &amp; Atmospheric Sciences; Remote Sensing; Telecommunications</t>
  </si>
  <si>
    <t>LZ6VF</t>
  </si>
  <si>
    <t>WOS:001837043400001</t>
  </si>
  <si>
    <t>Venkatesh, K; Mutasa, S; Moore, F; Sulam, J; Yi, PH</t>
  </si>
  <si>
    <t>Saliency maps are popularly used to "explain" decisions made by modern machine learning models, including deep convolutional neural networks (DCNNs). While the resulting heatmaps purportedly indicate important image features, their "trustworthiness," i.e., utility and robustness, has not been evaluated for musculoskeletal imaging. The purpose of this study was to systematically evaluate the trustworthiness of saliency maps used in disease diagnosis on upper extremity X-ray images. The underlying DCNNs were trained using the Stanford MURA dataset. We studied four trustworthiness criteria-(1) localization accuracy of abnormalities, (2) repeatability, (3) reproducibility, and (4) sensitivity to underlying DCNN weights-across six different gradient-based saliency methods (Grad-CAM (GCAM), gradient explanation (GRAD), integrated gradients (IG), Smoothgrad (SG), smooth IG (SIG), and XRAI). Ground-truth was defined by the consensus of three fellowship-trained musculoskeletal radiologists who each placed bounding boxes around abnormalities on a holdout saliency test set. Compared to radiologists, all saliency methods showed inferior localization (AUPRCs: 0.438 (SG)-0.590 (XRAI); average radiologist AUPRC: 0.816), repeatability (IoUs: 0.427 (SG)-0.551 (IG); average radiologist IOU: 0.613), and reproducibility (IoUs: 0.250 (SG)-0.502 (XRAI); average radiologist IOU: 0.613) on abnormalities such as fractures, orthopedic hardware insertions, and arthritis. Five methods (GCAM, GRAD, IG, SG, XRAI) passed the sensitivity test. Ultimately, no saliency method met all four trustworthiness criteria; therefore, we recommend caution and rigorous evaluation of saliency maps prior to their clinical use.</t>
  </si>
  <si>
    <t>Venkatesh, Kesavan; Mutasa, Simukayi; Moore, Fletcher; Sulam, Jeremias; Yi, Paul H.</t>
  </si>
  <si>
    <t>Yi, PH (corresponding author), Univ Maryland, Univ Maryland Med Intelligent Imaging UM2ii Ctr, Dept Diagnost Radiol &amp; Nucl Med, Sch Med, 22 S Greene St, Baltimore, MD 21201 USA.</t>
  </si>
  <si>
    <t>pyi@som.umaryland.edu</t>
  </si>
  <si>
    <t>Division of Computing and Communication Foundations</t>
  </si>
  <si>
    <t>Division of Computing and Communication Foundations (National Science Foundation (NSF), NSF - Directorate for Computer &amp; Information Science &amp; Engineering (CISE))</t>
  </si>
  <si>
    <t>[Venkatesh, Kesavan; Sulam, Jeremias] Johns Hopkins Univ, Dept Biomed Engn, Baltimore, MD USA; [Mutasa, Simukayi; Moore, Fletcher; Yi, Paul H.] Univ Maryland, Univ Maryland Med Intelligent Imaging UM2ii Ctr, Dept Diagnost Radiol &amp; Nucl Med, Sch Med, 22 S Greene St, Baltimore, MD 21201 USA</t>
  </si>
  <si>
    <t>Johns Hopkins University; University System of Maryland; University of Maryland Baltimore</t>
  </si>
  <si>
    <t>Gradient-Based Saliency Maps Are Not Trustworthy Visual Explanations of Automated AI Musculoskeletal Diagnoses</t>
  </si>
  <si>
    <t>Saliency methods; Trustworthy AI; Musculoskeletal radiology; Deep learning</t>
  </si>
  <si>
    <t>Sulam, Jeremias/W-5974-2019</t>
  </si>
  <si>
    <t>Venkatesh, Kesavan/0000-0001-8153-0115</t>
  </si>
  <si>
    <t>2490</t>
  </si>
  <si>
    <t>2499</t>
  </si>
  <si>
    <t>10.1007/s10278-024-01136-4</t>
  </si>
  <si>
    <t>http://dx.doi.org/10.1007/s10278-024-01136-4</t>
  </si>
  <si>
    <t>K6I7F</t>
  </si>
  <si>
    <t>38710971</t>
  </si>
  <si>
    <t>WOS:001214871800002</t>
  </si>
  <si>
    <t>Tang, TM; Zhang, YP; Kenney, AM; Xie, CS; Xiao, LB; Siddiqui, J; Srivastava, S; Sanda, MG; Wei, JT; Feng, ZD; Tosoian, JJ; Zheng, YY; Chinnaiyan, AM; Yu, B</t>
  </si>
  <si>
    <t>Background: The limited diagnostic accuracy of prostate-specific antigen screening for prostate cancer (PCa) has prompted innovative solutions, such as the state-of-the-art 18-gene urine test for clinically-significant PCa (MyProstateScore2.0 (MPS2)). Objective: We aim to develop a non-invasive biomarker test, the simplified MPS2 (sMPS2), which achieves similar state-of-the-art accuracy as MPS2 for predicting high-grade PCa but requires substantially fewer genes than the 18-gene MPS2 to improve its accessibility for routine clinical care. Methods: We grounded the development of sMPS2 in the Predictability, Computability, and Stability (PCS) framework for veridical data science. Under this framework, we stress-tested the development of sMPS2 across various data preprocessing and modeling choices and developed a stability-driven PCS ranking procedure for selecting the most predictive and robust genes for use in sMPS2. Results: The final sMPS2 model consisted of 7 genes and achieved a 0.784 AUROC (95% confidence interval, 0.742-0.825) for predicting high-grade PCa on a blinded external validation cohort. This is only 2.3% lower than the 18-gene MPS2, which is similar in magnitude to the 1-2% in uncertainty induced by different data preprocessing choices. Conclusions: The 7-gene sMPS2 provides a unique opportunity to expand the reach and adoption of non-invasive PCa screening.</t>
  </si>
  <si>
    <t>Tang, Tiffany M.; Zhang, Yuping; Kenney, Ana M.; Xie, Cassie; Xiao, Lanbo; Siddiqui, Javed; Srivastava, Sudhir; Sanda, Martin G.; Wei, John T.; Feng, Ziding; Tosoian, Jeffrey J.; Zheng, Yingye; Chinnaiyan, Arul M.; Yu, Bin</t>
  </si>
  <si>
    <t>Chinnaiyan, AM (corresponding author), Univ Michigan, Dept Pathol, 1500 E Med Ctr Dr,5316 Rogel Canc Ctr, Ann Arbor, MI 48109 USA.; Yu, B (corresponding author), Univ Calif Berkeley, Dept Stat, 367 Evans Hall, Berkeley, CA 94720 USA.; Yu, B (corresponding author), Univ Calif Berkeley, Dept Elect Engn &amp; Comp Sci, 367 Evans Hall, Berkeley, CA 94720 USA.</t>
  </si>
  <si>
    <t>arul@med.umich.edu; binyu@berkeley.edu</t>
  </si>
  <si>
    <t>Michigan-Vanderbilt EDRN Biomarker Characterization Center; EDRN DMCC [U24 CA086368]; Michigan Prostate SPORE [P50 CA186786]; NCI Outstanding Investigator Award [R35 CA231996, U24 CA115102]; NCI EDRN CVC [U01 CA113913]; Prostate Cancer Foundation Young Investigator Award; Prostate Cancer Foundation; Howard Hughes Medical Institute; American Cancer Society; University of Michigan Health System-Peking University Health Science Center; NSF [MC2378]; Simons Foundation for the Collaboration on the Theoretical Foundations of Deep Learning [DMS-2031883, 814639]</t>
  </si>
  <si>
    <t>Michigan-Vanderbilt EDRN Biomarker Characterization Center (United States Department of Health &amp; Human Services, National Institutes of Health (NIH) - USA, NIH National Cancer Institute (NCI)); EDRN DMCC; Michigan Prostate SPORE; NCI Outstanding Investigator Award (United States Department of Health &amp; Human Services, National Institutes of Health (NIH) - USA, NIH National Cancer Institute (NCI)); NCI EDRN CVC; Prostate Cancer Foundation Young Investigator Award; Prostate Cancer Foundation; Howard Hughes Medical Institute (Howard Hughes Medical Institute); American Cancer Society (American Cancer Society); University of Michigan Health System-Peking University Health Science Center; NSF (National Science Foundation (NSF)); Simons Foundation for the Collaboration on the Theoretical Foundations of Deep Learning (Simons Foundation)</t>
  </si>
  <si>
    <t>This work was funded by the Michigan-Vanderbilt EDRN Biomarker Characterization Center (U2C CA271854) and the EDRN DMCC (U24 CA086368). The EDRN DMCC carried out analyses on the blinded validation cohort. Other sources of funding not involved in the design and conduct of the study included the Michigan Prostate SPORE (P50 CA186786), NCI Outstanding Investigator Award (Chinnaiyan, R35 CA231996), Johns Hopkins University Biomarker Reference Laboratory (U24 CA115102), NCI EDRN CVC (U01 CA113913), Prostate Cancer Foundation Young Investigator Award (Tosoian and Xiao), Prostate Cancer Foundation, Howard Hughes Medical Institute (Chinnaiyan), the American Cancer Society (Chinnaiyan) and the University of Michigan Health System-Peking University Health Science Center (UMHS-PUHSC) Joint Institute (Chinnaiyan, Xiao, and YZhang). We (Tang, Kenney, and Yu) also gratefully acknowledge partial support from NSF grants DMS-2413265 and DMS-2209975, NSF grant 2023505 on Collaborative Research: Foundations of Data Science Institute (FODSI), the NSF and the Simons Foundation for the Collaboration on the Theoretical Foundations of Deep Learning through awards DMS-2031883 and 814639, and NSF grant MC2378 to the Institute for Artificial CyberThreat Intelligence and OperatioN (ACTION). Tang would like to acknowledge that the majority of the work presented was conducted while at the University of Michigan. The authors would also like to thank Steve Skates, the anonymous reviewers, and editor for their insightful comments that have greatly improved this work.</t>
  </si>
  <si>
    <t>[Tang, Tiffany M.] Univ Michigan, Dept Stat, Ann Arbor, MI USA; [Zhang, Yuping; Xiao, Lanbo; Siddiqui, Javed; Chinnaiyan, Arul M.] Univ Michigan, Dept Pathol, 1500 E Med Ctr Dr,5316 Rogel Canc Ctr, Ann Arbor, MI 48109 USA; [Zhang, Yuping; Xiao, Lanbo; Chinnaiyan, Arul M.] Univ Michigan, Michigan Ctr Translat Pathol, Ann Arbor, MI USA; [Kenney, Ana M.] Univ Calif Irvine, Dept Stat, Irvine, CA USA; [Xie, Cassie; Feng, Ziding; Zheng, Yingye] Fred Hutchinson Canc Res Ctr, Dept Biostat, Seattle, WA USA; [Srivastava, Sudhir] NIH, Div Canc Prevent, Bethesda, MD USA; [Sanda, Martin G.] Emory Univ, Dept Urol, Atlanta, GA USA; [Wei, John T.; Chinnaiyan, Arul M.] Univ Michigan, Dept Urol, Ann Arbor, MI USA; [Tosoian, Jeffrey J.] Vanderbilt Univ, Med Ctr, Dept Urol, Nashville, TN USA; [Tosoian, Jeffrey J.] Vanderbilt Ingram Canc Ctr, Nashville, TN USA; [Chinnaiyan, Arul M.] Howard Hughes Med Inst, Chevy Chase, MD USA; [Yu, Bin] Univ Calif Berkeley, Dept Stat, 367 Evans Hall, Berkeley, CA 94720 USA; [Yu, Bin] Univ Calif Berkeley, Dept Elect Engn &amp; Comp Sci, 367 Evans Hall, Berkeley, CA 94720 USA; [Yu, Bin] Univ Calif Berkeley, Ctr Computat Biol, Berkeley, CA USA</t>
  </si>
  <si>
    <t>University of Michigan System; University of Michigan; University of Michigan System; University of Michigan; University of Michigan System; University of Michigan; University of California System; University of California Irvine; Fred Hutchinson Cancer Center; National Institutes of Health (NIH) - USA; Emory University; University of Michigan System; University of Michigan; Vanderbilt University; Vanderbilt University; Howard Hughes Medical Institute; University of California System; University of California Berkeley; University of California System; University of California Berkeley; University of California System; University of California Berkeley</t>
  </si>
  <si>
    <t>EDRN PCA3 Study Grp</t>
  </si>
  <si>
    <t>A simplified MyProstateScore2.0 for high-grade prostate cancer</t>
  </si>
  <si>
    <t>CANCER BIOMARKERS</t>
  </si>
  <si>
    <t>prostate cancer; urine biomarker; PCS for veridical data science; machine learning; trustworthy AI</t>
  </si>
  <si>
    <t>NONCODING RNA SCHLAP1; RISK; REGRESSION; BIOMARKER; SELECTION; VOLUME; GENE; PSGR; PCA3; PSA</t>
  </si>
  <si>
    <t>Sanda, Martin/B-2023-2015; Tosoian, Jeffrey/O-1563-2019; Wei, John/E-8967-2012; Chinnaiyan, Arul/LCE-5288-2024</t>
  </si>
  <si>
    <t>XIAO, LANBO/0000-0002-1614-8806; Sanda, Martin/0000-0003-4288-5786; Tang, Tiffany/0000-0002-8079-6867</t>
  </si>
  <si>
    <t>1574-0153</t>
  </si>
  <si>
    <t>1875-8592</t>
  </si>
  <si>
    <t>CANCER BIOMARK</t>
  </si>
  <si>
    <t>Cancer Biomark.</t>
  </si>
  <si>
    <t>18758592241308755</t>
  </si>
  <si>
    <t>10.1177/18758592241308755</t>
  </si>
  <si>
    <t>http://dx.doi.org/10.1177/18758592241308755</t>
  </si>
  <si>
    <t>2FP7R</t>
  </si>
  <si>
    <t>40109218</t>
  </si>
  <si>
    <t>WOS:001481500000001</t>
  </si>
  <si>
    <t>Berzin, T; Leggett, C; Gross, S; Repici, A; Ahmad, OF; Chiang, A; Coelho-Prabhu, N; Cohen, J; Dekker, E; Keswani, RN; Kahn, CE; Hassan, C; Petrick, N; Mountney, P; Ng, J; Riegler, M; Mori, Y; Saito, Y; Thakkar, S; Waxman, I; Wallace, MB; Sharma, P; Parasa, S</t>
  </si>
  <si>
    <t>Background and Aims: The American Society for Gastrointestinal Endoscopy (ASGE) AI Task Force along with experts in endoscopy, technology space, regulatory authorities, and other medical subspecialties initiated a consensus process that analyzed the current literature, highlighted potential areas, and outlined the necessary research in artificial intelligence (AI) to allow a clearer understanding of AI as it pertains to endoscopy currently. Methods: A modified Delphi process was used to develop these consensus statements. Results: Statement 1 : Current advances in AI allow for the development of AI-based algorithms that can be applied to endoscopy to augment endoscopist performance in detection and characterization of endoscopic lesions. Statement 2: Computer vision-based algorithms provide opportunities to redefine quality metrics in endoscopy using AI, which can be standardized and can reduce subjectivity in reporting quality metrics. Natural language processing-based algorithms can help with the data abstraction needed for reporting current quality metrics in GI endoscopy effortlessly. Statement 3: AI technologies can support smart endoscopy suites, which may help optimize workflows in the endoscopy suite, including automated documentation. Statement 4: Using AI and machine learning helps in predictive modeling, diagnosis, and prognostication. High-quality data with multidimensionality are needed for risk prediction, prognostication of specific clinical conditions, and their outcomes when using machine learning methods. Statement 5: Big data and cloud-based tools can help advance clinical research in gastroenterology. Multimodal data are key to understanding the maximal extent of the disease state and unlocking treatment options. Statement 6: Understanding how to evaluate AI algorithms in the gastroenterology literature and clinical trials is important for gastroenterologists, trainees, and researchers, and hence education efforts by GI societies are needed. Statement 7: Several challenges regarding integrating AI solutions into the clinical practice of endoscopy exist, including understanding the role of human-AI interaction. Transparency, interpretability, and explainability of AI algorithms play a key role in their clinical adoption in GI endoscopy. Developing appropriate AI governance, data procurement, and tools needed for the AI lifecycle are critical for the successful implementation of AI into clinical practice. Statement 8: For payment of AI in endoscopy, a thorough evaluation of the potential value proposition for AI systems may help guide purchasing decisions in endoscopy. Reliable cost-effectiveness studies to guide reimbursement are needed. Statement 9: Relevant clinical outcomes and performance metrics for AI in gastroenterology are currently not well defined. To improve the quality and interpretability of research in the fi eld, steps need to be taken to define these evidence standards. Statement 10: A balanced view of AI technologies and active collaboration between the medical technology industry, computer scientists, gastroenterologists, and researchers are critical for the meaningful advancement of AI in gastroenterology. Conclusions: The consensus process led by the ASGE AI Task Force and experts from various disciplines has shed light on the potential of AI in endoscopy and gastroenterology. AI-based algorithms have shown promise in augmenting endoscopist performance, redefining quality metrics, optimizing workflows, and aiding in predictive modeling and diagnosis.However, challenges remain in evaluating AI algorithms, ensuring transparency and interpretability, addressing governance and data procurement, determining payment models, defining relevant clinical outcomes, and fostering collaboration between stakeholders. Addressing these challenges while maintaining a balanced perspective is crucial for the meaningful advancement of AI in gastroenterology.</t>
  </si>
  <si>
    <t>Berzin, Tyler; Leggett, Cadman; Gross, Seth; Repici, Alessandro; Ahmad, Omer F.; Chiang, Austin; Coelho-Prabhu, Nayantara; Cohen, Jonathan; Dekker, Evelien; Keswani, Rajesh N.; Kahn, Charles E.; Hassan, Cesare; Petrick, Nicholas; Mountney, Peter; Ng, Jonathan; Riegler, Michael; Mori, Yuichi; Saito, Yutaka; Thakkar, Shyam; Waxman, Irving; Wallace, Michael Bradley; Sharma, Prateek; Parasa, S.</t>
  </si>
  <si>
    <t>Parasa, S (corresponding author), Swedish Med Ctr, Seattle, WA 98122 USA.</t>
  </si>
  <si>
    <t>[Parasa, S.] Swedish Med Ctr, Seattle, WA 98122 USA; [Berzin, Tyler] BIDMC HMS, Boston, MA USA; [Leggett, Cadman; Coelho-Prabhu, Nayantara] Mayo Clin, Rochester, MN USA; [Gross, Seth] NYU Langone Hlth, New York, NY USA; [Repici, Alessandro; Hassan, Cesare] Humanitas Univ, Dept Biomed Sci, Via R Levi Montalcini 4, I-20090 Pieve Emanuele, Milan, Italy; [Ahmad, Omer F.] Univ London, London, England; [Chiang, Austin] Santa Clara Univ, Santa Clara, CA 95053 USA; [Cohen, Jonathan] NYU, Sch Med, New York, NY USA; [Dekker, Evelien] Amsterdam UMC, Amsterdam, Netherlands; [Keswani, Rajesh N.] Northwestern Univ, Chicago, IL USA; [Kahn, Charles E.] Univ Penn, Philadelphia, PA USA; [Hassan, Cesare] IRCCS Humanitas Res Hosp, Via Manzoni 56, I-20089 Milan, Italy; [Petrick, Nicholas] US FDA, Ctr Devices &amp; Radiol Hlth, Silver Spring, MD USA; [Mountney, Peter] Odin Vis, London, England; [Ng, Jonathan] Iterat Hlth, Boston, MA USA; [Riegler, Michael] Simulamet, Dept Holist Syst, Oslo, Norway; [Mori, Yuichi] Univ Oslo, Oslo, Norway; [Saito, Yutaka] Natl Canc Ctr, Tokyo, Japan; [Thakkar, Shyam] West Virginia Univ Med, Morgantown, WV USA; [Waxman, Irving] Rush Univ, Chicago, IL USA; [Wallace, Michael Bradley] Sheikh Shakhbout Med City, Abu Dhabi, U Arab Emirates; [Sharma, Prateek] Univ Kansas, Kansas City, KS USA</t>
  </si>
  <si>
    <t>Swedish Health Services; Harvard University; Harvard Medical School; Harvard University Medical Affiliates; Beth Israel Deaconess Medical Center; Mayo Clinic; NYU Langone Medical Center; Humanitas University; University of London; Santa Clara University; New York University; University of Amsterdam; Northwestern University; University of Pennsylvania; US Food &amp; Drug Administration (FDA); University of Oslo; National Cancer Center - Japan; Rush University; Sheikh Khalifa Specialty Hospital; University of Kansas</t>
  </si>
  <si>
    <t>Consensus statements on the current landscape of artificial intelligence applications in endoscopy, addressing roadblocks, and advancing artificial intelligence in gastroenterology</t>
  </si>
  <si>
    <t>GASTROINTESTINAL ENDOSCOPY</t>
  </si>
  <si>
    <t>COMPUTER-AIDED DETECTION; REAL-TIME DETECTION; ADENOMA DETECTION; COLONOSCOPY; NEOPLASIA; SYSTEM; DIAGNOSIS; DYSPLASIA; ALGORITHM; QUALITY</t>
  </si>
  <si>
    <t>Wallace, Michael/GZL-9731-2022; Chiang, Austin/HZM-3157-2023; Kahn, Charles/U-5055-2019; Mori, Yuichi/AAU-5406-2020; cohen, jonathan/AAB-4838-2019; P, N/OCK-8662-2025; hassan, cesare/H-2844-2012; Repici, Alessandro/HFH-8162-2022</t>
  </si>
  <si>
    <t>Wallace, Michael/0000-0002-6446-5785; Leggett, Cadman/0000-0002-0495-3795; hassan, cesare/0000-0001-7167-1459; Repici, Alessandro/0000-0002-1621-6450</t>
  </si>
  <si>
    <t>0016-5107</t>
  </si>
  <si>
    <t>1097-6779</t>
  </si>
  <si>
    <t>GASTROINTEST ENDOSC</t>
  </si>
  <si>
    <t>Gastrointest. Endosc.</t>
  </si>
  <si>
    <t>10.1016/j.gie.2023.12.003</t>
  </si>
  <si>
    <t>http://dx.doi.org/10.1016/j.gie.2023.12.003</t>
  </si>
  <si>
    <t>R5Z3F</t>
  </si>
  <si>
    <t>38639679</t>
  </si>
  <si>
    <t>WOS:001392222400001</t>
  </si>
  <si>
    <t>Bronze; Green Published</t>
  </si>
  <si>
    <t>Kagerbauer, SM; Ulm, B; Podtschaske, AH; Andonov, DI; Blobner, M; Jungwirth, B; Graessner, M</t>
  </si>
  <si>
    <t>BackgroundConcept drift and covariate shift lead to a degradation of machine learning (ML) models. The objective of our study was to characterize sudden data drift as caused by the COVID pandemic. Furthermore, we investigated the suitability of certain methods in model training to prevent model degradation caused by data drift.MethodsWe trained different ML models with the H2O AutoML method on a dataset comprising 102,666 cases of surgical patients collected in the years 2014-2019 to predict postoperative mortality using preoperatively available data. Models applied were Generalized Linear Model with regularization, Default Random Forest, Gradient Boosting Machine, eXtreme Gradient Boosting, Deep Learning and Stacked Ensembles comprising all base models. Further, we modified the original models by applying three different methods when training on the original pre-pandemic dataset: (Rahmani K, et al, Int J Med Inform 173:104930, 2023) we weighted older data weaker, (Morger A, et al, Sci Rep 12:7244, 2022) used only the most recent data for model training and (Dilmegani C, 2023) performed a z-transformation of the numerical input parameters. Afterwards, we tested model performance on a pre-pandemic and an in-pandemic data set not used in the training process, and analysed common features.ResultsThe models produced showed excellent areas under receiver-operating characteristic and acceptable precision-recall curves when tested on a dataset from January-March 2020, but significant degradation when tested on a dataset collected in the first wave of the COVID pandemic from April-May 2020. When comparing the probability distributions of the input parameters, significant differences between pre-pandemic and in-pandemic data were found. The endpoint of our models, in-hospital mortality after surgery, did not differ significantly between pre- and in-pandemic data and was about 1% in each case. However, the models varied considerably in the composition of their input parameters. None of our applied modifications prevented a loss of performance, although very different models emerged from it, using a large variety of parameters.ConclusionsOur results show that none of our tested easy-to-implement measures in model training can prevent deterioration in the case of sudden external events. Therefore, we conclude that, in the presence of concept drift and covariate shift, close monitoring and critical review of model predictions are necessary.</t>
  </si>
  <si>
    <t>Kagerbauer, Simone Maria; Ulm, Bernhard; Podtschaske, Armin Horst; Andonov, Dimislav Ivanov; Blobner, Manfred; Jungwirth, Bettina; Graessner, Martin</t>
  </si>
  <si>
    <t>Kagerbauer, SM (corresponding author), Tech Univ Munich, Sch Med, Dept Anaesthesiol &amp; Intens Care Med, Munich, Germany.; Kagerbauer, SM (corresponding author), Univ Ulm, Sch Med, Dept Anaesthesiol &amp; Intens Care Med, Albert Einstein Allee 23, D-89081 Ulm, Germany.</t>
  </si>
  <si>
    <t>simone.kagerbauer@uni-ulm.de</t>
  </si>
  <si>
    <t>German Federal Ministry for Economic Affairs and Energy; Leibniz Supercomputing Centre</t>
  </si>
  <si>
    <t>The authors gratefully acknowledge the Leibniz Supercomputing Centre for funding this project by providing computing time on its Linux-Cluster.</t>
  </si>
  <si>
    <t>[Kagerbauer, Simone Maria; Ulm, Bernhard; Podtschaske, Armin Horst; Andonov, Dimislav Ivanov; Blobner, Manfred; Graessner, Martin] Tech Univ Munich, Sch Med, Dept Anaesthesiol &amp; Intens Care Med, Munich, Germany; [Kagerbauer, Simone Maria; Ulm, Bernhard; Blobner, Manfred; Jungwirth, Bettina; Graessner, Martin] Univ Ulm, Sch Med, Dept Anaesthesiol &amp; Intens Care Med, Albert Einstein Allee 23, D-89081 Ulm, Germany</t>
  </si>
  <si>
    <t>Technical University of Munich; Ulm University</t>
  </si>
  <si>
    <t>Susceptibility of AutoML mortality prediction algorithms to model drift caused by the COVID pandemic</t>
  </si>
  <si>
    <t>Model deterioration; Data shift; Covariate shift; Concept drift; COVID-19; AutoML</t>
  </si>
  <si>
    <t>Podtschaske, Armin/D-1606-2015; Blobner, Manfred/R-4411-2017; Jungwirth, Bettina/GXF-6414-2022; Kagerbauer, Simone/GPS-7608-2022</t>
  </si>
  <si>
    <t>Podtschaske, Armin/0000-0003-4081-3228; Jungwirth, Bettina/0000-0001-9749-7460; Kagerbauer, Simone/0000-0002-0139-4422</t>
  </si>
  <si>
    <t>FEB 2 2024</t>
  </si>
  <si>
    <t>10.1186/s12911-024-02428-z</t>
  </si>
  <si>
    <t>http://dx.doi.org/10.1186/s12911-024-02428-z</t>
  </si>
  <si>
    <t>GV1F1</t>
  </si>
  <si>
    <t>38308256</t>
  </si>
  <si>
    <t>WOS:001155348900001</t>
  </si>
  <si>
    <t>Ranjitsingh, LM; Rao, TVS</t>
  </si>
  <si>
    <t>The reliability and safety of artificial intelligence (AI) and machine learning (ML) systems are of the utmost importance as they are gradually integrated into critical sectors, including finance, healthcare, transportation, and public safety. The regulatory oversight of these technologies is presented with distinctive challenges, notably in the areas of testing and validation, due to their complex decision-making processes and adaptive nature. This paper investigates the importance of establishing exhaustive legal and regulatory standards for the testing and validation of AI and ML systems to guarantee their safe, reliable, and ethical operation in real-world settings. Robustness, transparency, accountability, and the mitigation of bias within AI and ML systems are among the key areas that are discussed. This study emphasizes the necessity of proactive regulatory measures to prevent unintended consequences, nurture public trust, and support responsible AI deployment by examining current regulatory efforts and proposed frameworks. To ensure the ethical integrity and public safety of these technologies as they continue to expand and evolve across industries, it will be essential to establish clear standards for AI and ML testing and validation.</t>
  </si>
  <si>
    <t>Ranjitsingh, Legha Mamta; Rao, T. V. Subba</t>
  </si>
  <si>
    <t>Ranjitsingh, LM (corresponding author), India Int Univ Legal Educ &amp; Res IIULER, Consua, Goa, India.</t>
  </si>
  <si>
    <t>subbaraotv1951@gmail.com; justmail.rabale@gmail.com</t>
  </si>
  <si>
    <t>[Ranjitsingh, Legha Mamta] India Int Univ Legal Educ &amp; Res IIULER, Consua, Goa, India; [Rao, T. V. Subba] Vivekananda Sch Law &amp; Legal Studies, New Delhi, India; [Rao, T. V. Subba] India Univ, Natl Law Sch, Bangalore, India</t>
  </si>
  <si>
    <t>Establish legal and regulatory standards for the testing and validation of AI systems to ensure their reliability and safety in operational environments</t>
  </si>
  <si>
    <t>INTERNATIONAL JOURNAL OF SYSTEM ASSURANCE ENGINEERING AND MANAGEMENT</t>
  </si>
  <si>
    <t>Artificial intelligence (AI); Legal standards; Regulatory frameworks; Testing and validation; Reliability; Safety; Operational environments; Accountability; And ethical AI</t>
  </si>
  <si>
    <t>, LEGHA MAMTA RANJITSINGH/0009-0002-4179-4444</t>
  </si>
  <si>
    <t>0975-6809</t>
  </si>
  <si>
    <t>0976-4348</t>
  </si>
  <si>
    <t>INT J SYST ASSUR ENG</t>
  </si>
  <si>
    <t>Int. J. Syst. Assur. Eng. Manag.</t>
  </si>
  <si>
    <t>3338</t>
  </si>
  <si>
    <t>3353</t>
  </si>
  <si>
    <t>10.1007/s13198-025-02865-7</t>
  </si>
  <si>
    <t>http://dx.doi.org/10.1007/s13198-025-02865-7</t>
  </si>
  <si>
    <t>8KQ1Z</t>
  </si>
  <si>
    <t>WOS:001520038800001</t>
  </si>
  <si>
    <t>Smart, A; Kasirzadeh, A</t>
  </si>
  <si>
    <t>What is it to interpret the outputs of an opaque machine learning model? One approach is to develop interpretable machine learning techniques. These techniques aim to show how machine learning models function by providing either model-centric local or global explanations, which can be based on mechanistic interpretations (revealing the inner working mechanisms of models) or non-mechanistic approximations (showing input feature-output data relationships). In this paper, we draw on social philosophy to argue that interpreting machine learning outputs in certain normatively salient domains could require appealing to a third type of explanation that we call "socio-structural" explanation. The relevance of this explanation type is motivated by the fact that machine learning models are not isolated entities but are embedded within and shaped by social structures. Socio-structural explanations aim to illustrate how social structures contribute to and partially explain the outputs of machine learning models. We demonstrate the importance of socio-structural explanations by examining a racially biased healthcare allocation algorithm. Our proposal highlights the need for transparency beyond model interpretability: understanding the outputs of machine learning systems could require a broader analysis that extends beyond the understanding of the machine learning model itself.</t>
  </si>
  <si>
    <t>Smart, Andrew; Kasirzadeh, Atoosa</t>
  </si>
  <si>
    <t>Smart, A (corresponding author), Google Res, San Francisco, CA 94105 USA.</t>
  </si>
  <si>
    <t>atoosa.kasirzadeh@ed.ac.uk; andrewsmart@google.com</t>
  </si>
  <si>
    <t>We would like to thank Donald Martin, Been Kim, Darlene Neal, Mayo Clinic Accelerate Program, and The Impact Lab team at Google Research for helpful discussions and feedback on earlier drafts of this paper. We thank anonymous reviewers of this paper for their insightful comments and help with feedback. We thank members of the Responsible AI team at Google for discussions and feedback. We would like to thank Seth Lazar at Australian National University for many helpful discussions.</t>
  </si>
  <si>
    <t>[Smart, Andrew] Google Res, San Francisco, CA 94105 USA; [Kasirzadeh, Atoosa] Univ Edinburgh, Edinburgh, Scotland</t>
  </si>
  <si>
    <t>Alphabet Inc.; Google Incorporated; University of Edinburgh</t>
  </si>
  <si>
    <t>Beyond model interpretability: socio-structural explanations in machine learning</t>
  </si>
  <si>
    <t>Machine learning; Interpretability; Explainability; Social structures; Social structural explanations; Responsible AI</t>
  </si>
  <si>
    <t>RACIAL BIAS; HEALTH</t>
  </si>
  <si>
    <t>Smart, Andrew/0000-0002-9816-7348</t>
  </si>
  <si>
    <t>2045</t>
  </si>
  <si>
    <t>2053</t>
  </si>
  <si>
    <t>10.1007/s00146-024-02056-1</t>
  </si>
  <si>
    <t>http://dx.doi.org/10.1007/s00146-024-02056-1</t>
  </si>
  <si>
    <t>2PO7X</t>
  </si>
  <si>
    <t>WOS:001306222900001</t>
  </si>
  <si>
    <t>Li, K; Lau, BPL; Yuan, X; Ni, W; Guizani, M; Yuen, C</t>
  </si>
  <si>
    <t>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t>
  </si>
  <si>
    <t>Li, Kai; Lau, Billy Pik Lik; Yuan, Xin; Ni, Wei; Guizani, Mohsen; Yuen, Chau</t>
  </si>
  <si>
    <t>Li, K (corresponding author), Real Time &amp; Embedded Comp Syst Res Ctr, P-4249015 Porto, Portugal.</t>
  </si>
  <si>
    <t>mguizani@ieee.org; wei.ni@data61.csiro.au; xin.yuan@data61.csiro.au; chau.yuen@ntu.edu.sg; billy_lau@sutd.edu.sg; kaili@ieee.org</t>
  </si>
  <si>
    <t>National Funds through the FCT/MCTES (Portuguese Foundation for Science and Technology) through the CISTER Research Unit</t>
  </si>
  <si>
    <t>[Li, Kai] Real Time &amp; Embedded Comp Syst Res Ctr, P-4249015 Porto, Portugal; [Li, Kai] Carnegie Mellon Univ, CyLab Secur &amp; Privacy Inst, Pittsburgh, PA 15213 USA; [Lau, Billy Pik Lik] Singapore Univ Technol &amp; Design, Dept Engn Prod Dev, Singapore 487372, Singapore; [Yuan, Xin; Ni, Wei] CSIRO, Digital Prod &amp; Serv Flagship, Sydney, NSW 2122, Australia; [Guizani, Mohsen] Mohamed Bin Zayed Univ Artificial Intelligence, Machine Learning Dept, Abu Dhabi, U Arab Emirates; [Yuen, Chau] Nanyang Technol Univ, Sch Elect &amp; Elect Engn, Singapore 639798, Singapore</t>
  </si>
  <si>
    <t>Instituto Politecnico do Porto; Carnegie Mellon University; Singapore University of Technology &amp; Design; Commonwealth Scientific &amp; Industrial Research Organisation (CSIRO); Mohamed bin Zayed University of Artificial Intelligence MBZUAI; Nanyang Technological University</t>
  </si>
  <si>
    <t>Toward Ubiquitous Semantic Metaverse: Challenges, Approaches, and Opportunities</t>
  </si>
  <si>
    <t>Artificial intelligence (AI); augmented reality (AR); data representation; digital twin; Internet of Things; semantic communications; survey; ubiquitous semantic metaverse; virtual reality (VR)</t>
  </si>
  <si>
    <t>SMART CITIES; COMMUNICATION-SYSTEMS; INTERNET; REPRESENTATION; FUNDAMENTALS; PREDICTION; FUSION; MODEL; RICH</t>
  </si>
  <si>
    <t>Mohsen, Guizani/D-9103-2018; YUAN, XIN/PGT-1010-2026; Lau, Pik Lik Billy/AAF-4890-2020; Yuen, Chau/C-5493-2013; Ni, Wei/JAO-2105-2023; Li, Kai/JED-6340-2023</t>
  </si>
  <si>
    <t>YUAN, XIN/0000-0002-9167-1613; Lau, Pik Lik Billy/0000-0001-5133-2791; Yuen, Chau/0000-0002-9307-2120; Ni, Wei/0000-0002-4933-594X; Li, Kai/0000-0002-0517-2392</t>
  </si>
  <si>
    <t>21855</t>
  </si>
  <si>
    <t>21872</t>
  </si>
  <si>
    <t>10.1109/JIOT.2023.3302159</t>
  </si>
  <si>
    <t>http://dx.doi.org/10.1109/JIOT.2023.3302159</t>
  </si>
  <si>
    <t>IA0E9</t>
  </si>
  <si>
    <t>WOS:001163472700078</t>
  </si>
  <si>
    <t>Qiao, Y; Sathyanarayana, NB; Shi, CW; He, ZF; Wang, T; Hou, T</t>
  </si>
  <si>
    <t>The rapid proliferation of machine learning (ML) systems across critical domains has heightened concerns about their susceptibility to adversarial threats. This survey offers a comprehensive overview of adversarial machine learning, synthesizing a broad body of research encompassing attack methodologies, defense strategies, and real-world applications. We present a systematic taxonomy of adversarial threats spanning the ML lifecycle, including training-time attacks such as data poisoning and backdoor insertion, as well as inference-time attacks such as evasion, model extraction, and privacy leakage. We examine a wide range of defense mechanisms, including proactive approaches (e.g., adversarial training and input sanitization), detection-based techniques that leverage statistical or behavioral signatures, and reactive strategies such as model patching and ensemble learning. We further discuss recent advances in privacy-preserving machine learning, including differential privacy, federated learning, and secure aggregation. Through real-world case studies in domains such as computer vision, natural language processing, autonomous systems, and healthcare, we highlight persistent vulnerabilities and practical challenges. Finally, we outline critical open problems and promising directions for future research. This work con solidates current understanding and serves as a foundational reference for enhancing the security and robustness of machine learning systems.</t>
  </si>
  <si>
    <t>Qiao, Yan; Sathyanarayana, Nimitha Bangalore; Shi, Chaowei; He, Zefeng; Wang, Tao; Hou, Tao</t>
  </si>
  <si>
    <t>Hou, T (corresponding author), Univ North Texas, Dept Comp Sci &amp; Engn, Denton, TX 76205 USA.</t>
  </si>
  <si>
    <t>yanqiao1@my.unt.edu; nimithabangaloresathyanarayana@my.unt.edu; tao@unt.edu; zefenghe@my.unt.edu; chaoweishi@my.unt.edu; tao.hou@unt.edu</t>
  </si>
  <si>
    <t>Army Research Office [W911NF-24-1-0088]</t>
  </si>
  <si>
    <t>Army Research Office (Army Research Office)</t>
  </si>
  <si>
    <t>Research was sponsored by the Army Research Office and was accom plished under Grant Number W911NF-24-1-0088. The views and con clusions contained in this document are those of the authors and should not be interpreted as representing the official policies, either expressed or implied, of the Army Research Office or the U.S. Government. The U.S. Government is authorized to reproduce and distribute reprints for Government purposes notwithstanding any copyright notation herein.</t>
  </si>
  <si>
    <t>[Qiao, Yan; Sathyanarayana, Nimitha Bangalore; Shi, Chaowei; He, Zefeng; Wang, Tao; Hou, Tao] Univ North Texas, Dept Comp Sci &amp; Engn, Denton, TX 76205 USA</t>
  </si>
  <si>
    <t>University of North Texas System; University of North Texas Denton</t>
  </si>
  <si>
    <t>A survey on adversarial machine learning: Attacks, defenses, real-world applications, and future research directions</t>
  </si>
  <si>
    <t>Adversarial machine learning; Attacks and defenses; Privacy-preserving learning; Security in machine learning; Trustworthy machine learning; Responsible AI</t>
  </si>
  <si>
    <t>MAR 28 2026</t>
  </si>
  <si>
    <t>671</t>
  </si>
  <si>
    <t>132670</t>
  </si>
  <si>
    <t>10.1016/j.neucom.2026.132670</t>
  </si>
  <si>
    <t>http://dx.doi.org/10.1016/j.neucom.2026.132670</t>
  </si>
  <si>
    <t>CR6AZ</t>
  </si>
  <si>
    <t>WOS:001672763000001</t>
  </si>
  <si>
    <t>Mirek-Rogowska, A; Kucza, W; Gajdka, K</t>
  </si>
  <si>
    <t>Artificial intelligence (AI) is rapidly transforming communication processes across various sectors, including marketing, education, healthcare, and entertainment. This study explores the theoretical perspectives surrounding AI's integration into communication, examining how AI-driven tools such as ChatGPT, MidJourney, and Google Gemini are reshaping content creation, personalisation, and human-machine interaction. While AI enhances efficiency and allows for real-time customisation of messages, it also presents ethical challenges related to privacy, data security, and algorithmic bias. By synthesising key academic studies, the study outlines the critical ethical considerations, including the risks of deepfakes and disinformation, and emphasises the need for ethical frameworks to guide responsible AI use. The text also discusses the new digital competencies required to navigate AI-enhanced communication environments, such as AI literacy, data proficiency, and ethical reasoning. Through a systematic literature review, this study contributes to the ongoing discourse on AI's role in communication by offering a comprehensive theoretical framework that highlights both the opportunities and limitations of AI technologies. Future research should focus on addressing gaps in empirical studies, particularly concerning the long-term impacts of AI on decision-making and the ethical governance ofAI-generated content.</t>
  </si>
  <si>
    <t>Mirek-Rogowska, Aleksandra; Kucza, Wojciech; Gajdka, Krzysztof</t>
  </si>
  <si>
    <t>Mirek-Rogowska, A (corresponding author), Pontif Univ John Paul II, Kanonicza St 25, PL-31002 Krakow, Poland.</t>
  </si>
  <si>
    <t>krzysztof.gajdka@upjp2.edu.pl; kuczawojciech@gmail.com; mirekaleksandra5@gmail.com</t>
  </si>
  <si>
    <t>[Mirek-Rogowska, Aleksandra; Kucza, Wojciech; Gajdka, Krzysztof] Pontif Univ John Paul II, Kanonicza St 25, PL-31002 Krakow, Poland</t>
  </si>
  <si>
    <t>Uniwersytet Papieski Jana Pawla II w Krakowie</t>
  </si>
  <si>
    <t>AI IN COMMUNICATION: THEORETICAL PERSPECTIVES, ETHICAL IMPLICATIONS, AND EMERGING COMPETENCIES</t>
  </si>
  <si>
    <t>COMMUNICATION TODAY</t>
  </si>
  <si>
    <t>AI-generated content; artificial intelligence (AI); communication; data privacy; deepfakes; digital competencies; ethical implications; human-machine interaction</t>
  </si>
  <si>
    <t>Gajdka, Krzysztof/JRX-3515-2023; Mirek-Rogowska, Aleksandra/PBU-7767-2025</t>
  </si>
  <si>
    <t>Gajdka, Krzysztof/0000-0002-8113-6780; Mirek-Rogowska, Aleksandra/0000-0001-9094-9540</t>
  </si>
  <si>
    <t>UNIV SS CYRIL &amp; METHODIUS TRNAVA</t>
  </si>
  <si>
    <t>TRNAVA</t>
  </si>
  <si>
    <t>NAMESTIE JOZEFA HERDU 2, TRNAVA, 91701, SLOVAKIA</t>
  </si>
  <si>
    <t>1338-130X</t>
  </si>
  <si>
    <t>COMMUN TODAY</t>
  </si>
  <si>
    <t>Commun. Today</t>
  </si>
  <si>
    <t>10.34135/communicationtoday.2024.Vol.15.No.2.2</t>
  </si>
  <si>
    <t>http://dx.doi.org/10.34135/communicationtoday.2024.Vol.15.No.2.2</t>
  </si>
  <si>
    <t>R3A6A</t>
  </si>
  <si>
    <t>WOS:001390221400001</t>
  </si>
  <si>
    <t>Jiang, LL; Cao, J; Zhu, GX; Wang, YY</t>
  </si>
  <si>
    <t>The growing use of Large Language Models (LLMs) into high-stakes domains such as education, law, and healthcare has increased the need to evaluate their alignment and potential biases in causal reasoning. Grounded in attribution theory and computational social science, this study examines whether LLMs exhibit human-like attributional biases, particularly self-serving bias and the fundamental attribution error. We evaluated five representative LLMs through a controlled experimental framework that manipulates event valence, attributional perspectives, and four key social dimensions: gender, age, education, and regional origin. Multivariate statistical analyses reveal that while LLMs consistently manifest self-serving bias, the fundamental attribution error is not uniformly observed across models. Notably, these attributional patterns are significantly modulated by age, education, and region, whereas gender-related effects remain negligible. The findings further highlight substantial inter-model variability, suggesting that technical heterogeneity inherently shapes the intensity of bias manifestation. Crucially, prompt-based interventions proved effective in reducing attributional extremity, thereby fostering greater fairness and neutrality in model outputs. These insights clarify the mechanisms by which LLMs internalize and reproduce social cognition patterns, offering a theoretical roadmap for socially responsible prompt design and algorithmic accountability in the ethical deployment of generative AI.</t>
  </si>
  <si>
    <t>Jiang, Leilei; Cao, Jie; Zhu, Guixiang; Wang, Yuyao</t>
  </si>
  <si>
    <t>Cao, J (corresponding author), 193 Tunxi Rd, Hefei 230009, Anhui, Peoples R China.</t>
  </si>
  <si>
    <t>cao_jie@hfut.edu.cn</t>
  </si>
  <si>
    <t>[Jiang, Leilei; Cao, Jie] Hefei Univ Technol, Sch Management, Hefei 230009, Peoples R China; [Zhu, Guixiang] Nanjing Univ Finance &amp; Econ, Sch Comp &amp; Artificial Intelligence, Nanjing 210003, Peoples R China; [Wang, Yuyao] Nanjing Univ Posts &amp; Telecommun, Sch Comp Sci, Nanjing 210023, Peoples R China; [Cao, Jie] 193 Tunxi Rd, Hefei 230009, Anhui, Peoples R China</t>
  </si>
  <si>
    <t>Hefei University of Technology; Nanjing University of Finance &amp; Economics; Nanjing University of Posts &amp; Telecommunications</t>
  </si>
  <si>
    <t>Exploring attribution bias in LLMs: Social influences and prompt-based mitigation</t>
  </si>
  <si>
    <t>Attribution bias; Large language models; Self-serving bias; Social cognition; Prompt engineering; Responsible AI</t>
  </si>
  <si>
    <t>Cao, Jie/MYR-7113-2025</t>
  </si>
  <si>
    <t>103361</t>
  </si>
  <si>
    <t>10.1016/j.techsoc.2026.103361</t>
  </si>
  <si>
    <t>http://dx.doi.org/10.1016/j.techsoc.2026.103361</t>
  </si>
  <si>
    <t>HM2SA</t>
  </si>
  <si>
    <t>WOS:001757407400001</t>
  </si>
  <si>
    <t>Verma, S; Singh, G; Mate, A; Verma, P; Gorantla, S; Madhiwalla, N; Hegde, A; Thakkar, D; Jain, M; Tambe, M; Taneja, A</t>
  </si>
  <si>
    <t>Underserved communities face critical health challenges due to lack of access to timely and reliable information. Nongovernmental organizations are leveraging the widespread use of cellphones to combat these healthcare challenges and spread preventative awareness. The health workers at these organizations reach out individually to beneficiaries; however, such programs still suffer from declining engagement. We have deployed Saheli, a system to efficiently utilize the limited availability of health workers for improving maternal and child health in India. Saheli uses the Restless Multi-armed Bandit (RMAB) framework to identify beneficiaries for outreach. It is the first deployed application for RMABs in public health, and is already in continuous use by our partner NGO, ARMMAN. We have already reached similar to 130K beneficiaries with Saheli, and are on track to serve one million beneficiaries by the end of 2023. This scale and impact has been achieved through multiple innovations in the RMAB model and its development, in preparation of real world data, and in deployment practices; and through careful consideration of responsible AI practices. Specifically, in this paper, we describe our approach to learn from past data to improve the performance of Saheli's RMAB model, the real-world challenges faced during deployment and adoption of Saheli, and the end-to-end pipeline.</t>
  </si>
  <si>
    <t>Verma, Shresth; Singh, Gargi; Mate, Aditya; Verma, Paritosh; Gorantla, Sruthi; Madhiwalla, Neha; Hegde, Aparna; Thakkar, Divy; Jain, Manish; Tambe, Milind; Taneja, Aparna</t>
  </si>
  <si>
    <t>Taneja, A (corresponding author), Google Res India, Bangalore, India.</t>
  </si>
  <si>
    <t>aparnataneja@google.com</t>
  </si>
  <si>
    <t>We thank Lovish Madaan and Aakriti Kumar for their insights and feedback through the project, Harshit Khaitan, Anirudh GP, and Hasan Rafiq for their support in deployment on GCP, and Manoj Sandur Karnick for aid with program management. We are also very gr</t>
  </si>
  <si>
    <t>We thank Lovish Madaan and Aakriti Kumar for their insights and feedback through the project, Harshit Khaitan, Anirudh GP, and Hasan Rafiq for their support in deployment on GCP, and Manoj Sandur Karnick for aid with program management. We are also very grateful to Suresh Chaudhary, Sonali Nandalaskar, and the entire mMitra team from ARMMAN for their continuous support since pilot in making this journey to deployment possible.</t>
  </si>
  <si>
    <t>[Verma, Shresth; Singh, Gargi; Mate, Aditya; Verma, Paritosh; Gorantla, Sruthi; Thakkar, Divy; Jain, Manish; Tambe, Milind; Taneja, Aparna] Google Res India, Bangalore, India; [Mate, Aditya] Harvard Univ, Cambridge, MA USA; [Verma, Paritosh] Purdue Univ, W Lafayette, IN USA; [Gorantla, Sruthi] Indian Inst Sci, Bangalore, India; [Madhiwalla, Neha] ARMMAN, Mumbai, India</t>
  </si>
  <si>
    <t>Harvard University; Purdue University System; Purdue University; Indian Institute of Science (IISC) - Bangalore</t>
  </si>
  <si>
    <t>Expanding impact of mobile health programs: SAHELI for maternal and child care</t>
  </si>
  <si>
    <t>AI MAGAZINE</t>
  </si>
  <si>
    <t>ADHERENCE; INDEX</t>
  </si>
  <si>
    <t>Thakur, Divya/HHM-7275-2022</t>
  </si>
  <si>
    <t>Tambe, Milind/0000-0003-3296-3672</t>
  </si>
  <si>
    <t>AMER ASSOC ARTIFICIAL INTELL</t>
  </si>
  <si>
    <t>MENLO PK</t>
  </si>
  <si>
    <t>445 BURGESS DRIVE, MENLO PK, CA 94025-3496 USA</t>
  </si>
  <si>
    <t>0738-4602</t>
  </si>
  <si>
    <t>2371-9621</t>
  </si>
  <si>
    <t>AI MAG</t>
  </si>
  <si>
    <t>AI Mag.</t>
  </si>
  <si>
    <t>376</t>
  </si>
  <si>
    <t>10.1002/aaai.12126</t>
  </si>
  <si>
    <t>http://dx.doi.org/10.1002/aaai.12126</t>
  </si>
  <si>
    <t>GO9G9</t>
  </si>
  <si>
    <t>WOS:001079467500001</t>
  </si>
  <si>
    <t>Hamon, R; Junklewitz, H; Sanchez, I; Malgieri, G; De Hert, P</t>
  </si>
  <si>
    <t>Can satisfactory explanations for complex machine learning models be achieved in high-risk automated decision-making? How can such explanations be integrated into a data protection framework safeguarding a right to explanation? This article explores from an interdisciplinary point of view the connection between existing legal requirements for the explainability of AI systems set out in the General Data Protection Regulation (GDPR) and the current state of the art in the field of explainable AI. It studies the challenges of providing human legible explanations for current and future AI-based decision-making systems in practice, based on two scenarios of automated decision-making in credit scoring risks and medical diagnosis of COVID-19. These scenarios exemplify the trend towards increasingly complex machine learning algorithms in automated decision-making, both in terms of data and models. Current machine learning techniques, in particular those based on deep learning, are unable to make clear causal links between input data and final decisions. This represents a limitation for providing exact, human-legible reasons behind specific decisions, and presents a serious challenge to the provision of satisfactory, fair and transparent explanations. Therefore, the conclusion is that the quality of explanations might not be considered as an adequate safeguard for automated decision-making processes under the GDPR. Accordingly, additional tools should be considered to complement explanations. These could include algorithmic impact assessments, other forms of algorithmic justifications based on broader AI principles, and new technical developments in trustworthy AI. This suggests that eventually all of these approaches would need to be considered as a whole.</t>
  </si>
  <si>
    <t>Hamon, Ronan; Junklewitz, Henrik; Sanchez, Ignacio; Malgieri, Gianclaudio; De Hert, Paul</t>
  </si>
  <si>
    <t>Sanchez, I (corresponding author), European Commiss Joint Res Ctr, Ispra, Italy.</t>
  </si>
  <si>
    <t>ignacio.sanchez@ec.europa.eu</t>
  </si>
  <si>
    <t>[Hamon, Ronan; Junklewitz, Henrik; Sanchez, Ignacio] European Commiss Joint Res Ctr, Ispra, Italy; [Malgieri, Gianclaudio] EDHEC Business Sch, Roubaix, France; [De Hert, Paul] Vrije Univ Brussel, Ixelles, Belgium</t>
  </si>
  <si>
    <t>European Commission Joint Research Centre; EC JRC ISPRA Site; Universite Catholique de Lille; EDHEC Business School; Vrije Universiteit Brussel</t>
  </si>
  <si>
    <t>Bridging the Gap Between AI and Explainability in the GDPR: Towards Trustworthiness-by-Design in Automated Decision-Making</t>
  </si>
  <si>
    <t>IEEE COMPUTATIONAL INTELLIGENCE MAGAZINE</t>
  </si>
  <si>
    <t>LEARNING-MODELS; BLACK-BOX; EXPLANATION; COVID-19; HEALTH</t>
  </si>
  <si>
    <t>de Hert, Paul/0000-0003-4084-6898</t>
  </si>
  <si>
    <t>1556-603X</t>
  </si>
  <si>
    <t>1556-6048</t>
  </si>
  <si>
    <t>IEEE COMPUT INTELL M</t>
  </si>
  <si>
    <t>IEEE Comput. Intell. Mag.</t>
  </si>
  <si>
    <t>10.1109/MCI.2021.3129960</t>
  </si>
  <si>
    <t>http://dx.doi.org/10.1109/MCI.2021.3129960</t>
  </si>
  <si>
    <t>YG0HD</t>
  </si>
  <si>
    <t>WOS:000742178400018</t>
  </si>
  <si>
    <t>Lawal, M; Yuan, ZJ; Hua, YN; Yi, DW</t>
  </si>
  <si>
    <t>Attention mechanisms can improve defence against adversarial attacks. Furthermore, incorporating frequency data into this attention computation can further improve this defence and model robustness. Existing techniques replace the conventional attention computation with the frequency-data driven mechanism. This leaves information learned from the conventional attention computation unutilized. This paper proposes a frequency-driven attention-like mechanism that improves model reliability by working with conventional attention computations to make sure the model learns a comprehensive representation across both the spatial and frequency domain. This hybrid design ensures the proposed model is resilient to any anomaly that may be present in either dimension. This module uses high-frequency data to bring model focus to the region of the image with the most segmentation-critical information. The module is purely operational and does not introduce additional model parameters. Certain noisy distortions applied as data preprocessing have been shown to improve model reliability, and data security. This work introduces a noisy encoder that randomly applies noisy distortions to certain features directly in the network. These distortions can help prevent information leakage by obscuring model weights analysis. The noisy encoder processes both clean and noisy distortions simultaneously. This is achieved with a union of the clean and distorted features with a hyperparameter to control the operation. This improves reliability by improving resilience to noisy distortions. The noisy encoder design does not introduce any convolutional parameters into the network and improves model robustness and segmentation performance. Experiments carried out on five segmentation datasets including the difficult FoodSeg103 dataset show the proposed method performing better than other SOTA segmentation models along with decent explainability.</t>
  </si>
  <si>
    <t>Lawal, Mohammed; Yuan, Zhijun; Hua, Yining; Yi, Dewei</t>
  </si>
  <si>
    <t>Yi, DW (corresponding author), Univ Aberdeen, Dept Comp Sci, Aberdeen AB24 3UE, Scotland.</t>
  </si>
  <si>
    <t>yzj7778@126.com; dewei.yi@abdn.ac.uk; m.lawal.22@abdn.ac.uk; yining.hua@abdn.ac.uk</t>
  </si>
  <si>
    <t>Cancer Research UK (CRUK) [EDDPJT-May23/100001]; Petroleum Technology Development Fund (PTDF) Nigeria [PTDF/ED/OSS/PHD/ML/1854/20]</t>
  </si>
  <si>
    <t>Cancer Research UK (CRUK) (Cancer Research UK); Petroleum Technology Development Fund (PTDF) Nigeria</t>
  </si>
  <si>
    <t>This work was supported by Cancer Research UK (CRUK) under Grant EDDPJT-May23/100001 and was also supported by the Petroleum Technology Development Fund (PTDF) Nigeria under Grant PTDF/ED/OSS/PHD/ML/1854/20.</t>
  </si>
  <si>
    <t>[Lawal, Mohammed; Hua, Yining; Yi, Dewei] Univ Aberdeen, Dept Comp Sci, Aberdeen AB24 3UE, Scotland; [Yuan, Zhijun] Xinjiang Educ Televis, Xinjiang Educ Technol &amp; Resources Dev Ctr, Urumqi 830003, Peoples R China</t>
  </si>
  <si>
    <t>University of Aberdeen</t>
  </si>
  <si>
    <t>Frequency aided attention mechanism for better segmentation generalization and explainability☆</t>
  </si>
  <si>
    <t>Frequency analysis; Medical image segmentation; Model explainability; Noisy distortion; Trustworthy AI</t>
  </si>
  <si>
    <t>180</t>
  </si>
  <si>
    <t>113988</t>
  </si>
  <si>
    <t>10.1016/j.patcog.2026.113988</t>
  </si>
  <si>
    <t>http://dx.doi.org/10.1016/j.patcog.2026.113988</t>
  </si>
  <si>
    <t>JA5IF</t>
  </si>
  <si>
    <t>WOS:001784723400001</t>
  </si>
  <si>
    <t>Iovane, G; Iovane, G</t>
  </si>
  <si>
    <t>While large language models (LLMs) such as ChatGPT, Claude, and DeepSeek are evaluated based on their accuracy and truthfulness, "hallucinations" betray underlying structural limitations. These results are not simply incorrect answers, but statistical resonances; they are instances where models stabilize into statistically significant (though semantically unfounded) response patterns. Current frameworks fail to accommodate contextual semantics, experiential time, and intentionality as key dimensions for effective experience-based decision-making in complex digital spaces. This article presents an integration paradigm offered by the theory of uncertainty and incompleteness of information, extended by the Sophimatics approach with 2D complex time (t = t + i&lt;middle dot&gt;t0) and Super Time Cognitive Neural Network (STCNN) that provides both memory management, imagination enhancement, and creativity generation as computational primitives. By integrating probability with plausibility, credibility, and possibility, our model reconsiders the issue of evaluating the reliability of LLM results as a problem that goes beyond traditional probabilistic approaches. Accepting that hallucinations are an emerging phenomenon of resonance between statistical distributions, we suggest an extended probability method in which these resonances can be mitigated and directed towards a coherent cognitive understanding. The paper places this approach in the broader perspective of digital transformation at the information systems level and its implications for AI reliability, explainability, and adaptive decision-making in post-generative AI. Intuitive scenarios are described, based on the inclusion of complex time and Sophimatics in theoretical modelling, illustrating how prediction, historical-contextual adoption, and resistance to paradoxical or contradictory information are strengthened. The results point to this paradigm as a springboard for reliable, human-aligned AI capable of enabling digital transformation in sectors such as healthcare, finance, and governance.</t>
  </si>
  <si>
    <t>Iovane, Gerardo; Iovane, Giovanni</t>
  </si>
  <si>
    <t>Iovane, G (corresponding author), Univ Salerno, Dept Comp Sci, I-84084 Fisciano, Italy.</t>
  </si>
  <si>
    <t>giovanni.iovane@liceoseverisalerno.net; giovane@unisa.it</t>
  </si>
  <si>
    <t>[Iovane, Gerardo] Univ Salerno, Dept Comp Sci, I-84084 Fisciano, Italy; [Iovane, Giovanni] Liceo Sci Statale Francesco Severi, I-84100 Salerno, Italy</t>
  </si>
  <si>
    <t>University of Salerno</t>
  </si>
  <si>
    <t>Sophimatics and 2D Complex Time to Mitigate Hallucinations in LLMs for Novel Intelligent Information Systems in Digital Transformation</t>
  </si>
  <si>
    <t>digital transformation; large language models (LLMs); statistical resonances; info-uncertainty and info-incompleteness; sophimatics; 2D complex time; super time cognitive neural network (STCNN); post-generative artificial intelligence; cognitive reliability; trustworthy AI</t>
  </si>
  <si>
    <t>DEC 27 2025</t>
  </si>
  <si>
    <t>288</t>
  </si>
  <si>
    <t>10.3390/app16010288</t>
  </si>
  <si>
    <t>http://dx.doi.org/10.3390/app16010288</t>
  </si>
  <si>
    <t>AU7OX</t>
  </si>
  <si>
    <t>WOS:001657242600001</t>
  </si>
  <si>
    <t>Xu, HQ; Yu, C; Feng, YY; Lin, CL; Teng, GQ</t>
  </si>
  <si>
    <t>With the rapid development of artificial intelligence (AI) technologies and their far-reaching impact on society, understanding the research topics of AI literacy and grasping their important topics and evolutionary trends are of great significance for promoting innovative development in AI literacy research. In this study, AI literacy research literature was selected from the Web of Science Core Collection, and the BERTopic was used for topic modeling to conduct an in-depth exploration of three aspects: topic content, intensity, and diffusion. The results show that AI literacy research includes six main topics: AI Literacy in Education, AI Literacy Influencing Factors and Measurement, Generative AI Applications and Assessment in Education, AI Literacy in Healthcare Professions, AI Governance, and AI Literacy in Libraries and Librarianship. Regarding topic intensity evolution, the research topics exhibited strong continuity and progression. Among them, Generative AI Applications and Assessment in Education emerged as an important topic after 2023, whereas AI Literacy Influencing Factors and Measurement is likely to become the most prominent research direction in AI literacy in the future. In terms of topic evolution paths, AI literacy research shows a dynamic evolutionary process of "emergence-differentiation-fusion," reflecting the trend of interdisciplinary collaborative development. The findings of this study help reveal the knowledge structure and evolutionary logic of the AI literacy field, providing a systematic basis and directional guidance for future research topics, policy making, and educational practices.</t>
  </si>
  <si>
    <t>Xu, Hanqing; Yu, Cheng; Feng, Yanyan; Lin, Chien-Liang; Teng, Guangqing</t>
  </si>
  <si>
    <t>Teng, GQ (corresponding author), Northeast Normal Univ, Sch Informat Sci &amp; Technol, Changchun 130117, Peoples R China.</t>
  </si>
  <si>
    <t>tengguangqing@163.com</t>
  </si>
  <si>
    <t>zhejiang office of philosophy and social science [24SSHZ056YB]</t>
  </si>
  <si>
    <t>zhejiang office of philosophy and social science</t>
  </si>
  <si>
    <t>The authors disclosed receipt of the following financial support for the research, authorship, and/or publication of this article: This work was, additionally, supported by the Zhejiang Office of Philosophy and Social Science(Grant No. 24SSHZ056YB); the National Science and Technology Council, Taiwan (Grant No. NSTC-115-2410 H-130-002) and the Graduate Research Innovation Project of the Guangxi Graduate Education Innovation Program (Grant No. YCSW2025191).</t>
  </si>
  <si>
    <t>[Xu, Hanqing; Feng, Yanyan] Ningbo Univ, Coll Sci &amp; Technol, Cixi, Peoples R China; [Yu, Cheng] Guangxi Normal Univ, Guilin, Peoples R China; [Lin, Chien-Liang] Ming Chuan Univ, Dept Informat Management, Taipei, Taiwan; [Teng, Guangqing] Northeast Normal Univ, Sch Informat Sci &amp; Technol, Changchun 130117, Peoples R China</t>
  </si>
  <si>
    <t>Ningbo University; Guangxi Normal University; Ming Chuan University; Northeast Normal University - China</t>
  </si>
  <si>
    <t>AI literacy research topic mining and evolution analysis using the BERTopic model</t>
  </si>
  <si>
    <t>JOURNAL OF INFORMATION SCIENCE</t>
  </si>
  <si>
    <t>AI literacy; BERTopic model; topic mining; topic evolution</t>
  </si>
  <si>
    <t>ARTIFICIAL-INTELLIGENCE; UNIVERSITY-STUDENTS; LIBRARIES; CLASSROOM; FRAMEWORK; EDUCATION; PROGRAM</t>
  </si>
  <si>
    <t>0165-5515</t>
  </si>
  <si>
    <t>1741-6485</t>
  </si>
  <si>
    <t>J INF SCI</t>
  </si>
  <si>
    <t>J. Inf. Sci.</t>
  </si>
  <si>
    <t>10.1177/01655515261459058</t>
  </si>
  <si>
    <t>http://dx.doi.org/10.1177/01655515261459058</t>
  </si>
  <si>
    <t>Computer Science, Information Systems; Information Science &amp; Library Science</t>
  </si>
  <si>
    <t>Computer Science; Information Science &amp; Library Science</t>
  </si>
  <si>
    <t>KT4ES</t>
  </si>
  <si>
    <t>WOS:001815167400001</t>
  </si>
  <si>
    <t>Wang, L; Cheng, XM</t>
  </si>
  <si>
    <t>Digital twins (DTs) are rapidly emerging as foundational enablers of 6G smart cities, offering real time monitoring, predictive analytics, and autonomous control across transportation, energy, healthcare, and industrial domains. Large scale DT adoption faces critical barriers including cybersecurity vulnerabilities, privacy risks, and the absence of standardized orchestration frameworks. This article presents Fed-DTOrch, a comprehensive end to end architecture that integrates federated intelligence, blockchain based audit trails, and AI governance to achieve secure and privacy preserving DT management. The proposed three tier architecture spans IoT and edge devices, domain specific twins, and a city level orchestrator, employing secure federated learning for model updates, lightweight cryptographic authentication, and tamper proof logging. We quantify the DT threat landscape, perform a standards gap analysis across ISO/IEC 27001, 3GPP TS 33.501, ITU-T IoT risk frameworks, and NIST AI RMF, and introduce a 6G ready security framework incorporating federated AI trust metrics, secure synchronization, and explainable AI audits. Cross domain evaluation across five smart city sectors demonstrates 35-60% privacy gain, 40-55% attack mitigation, 28-40% reliability uplift, 26-30% latency reduction, and &gt;85% compliance readiness with &lt;10% overhead. These results provide the first integrated blueprint that combines federated intelligence, blockchain-based auditability, and standards gap analysis to enable secure, standardized, and interoperable DT orchestration for trustworthy 6G ecosystems.</t>
  </si>
  <si>
    <t>Wang, Li; Cheng, Xiu-Ming</t>
  </si>
  <si>
    <t>Cheng, XM (corresponding author), Jiangsu Vocat Inst Architectural Technol, Xuzhou 221116, Jiangsu, Peoples R China.</t>
  </si>
  <si>
    <t>xiuming996@gmail.com</t>
  </si>
  <si>
    <t>[Wang, Li; Cheng, Xiu-Ming] Jiangsu Vocat Inst Architectural Technol, Xuzhou 221116, Jiangsu, Peoples R China</t>
  </si>
  <si>
    <t>Jiangsu University of Architectural Technology</t>
  </si>
  <si>
    <t>End-to-End Federated Intelligence for Secure and Standardized Digital Twin Orchestration in 6G Smart Cities</t>
  </si>
  <si>
    <t>Security; Artificial intelligence; Standards; Digital twins; NIST; Synchronization; ISO Standards; IEC Standards; Prevention and mitigation; Data models</t>
  </si>
  <si>
    <t>10.1109/MCOMSTD.2025.3626809</t>
  </si>
  <si>
    <t>http://dx.doi.org/10.1109/MCOMSTD.2025.3626809</t>
  </si>
  <si>
    <t>ER6AI</t>
  </si>
  <si>
    <t>WOS:001708066500001</t>
  </si>
  <si>
    <t>Falelakis, T; Dimara, A; Anagnostopoulos, CN</t>
  </si>
  <si>
    <t>Systemic data bias constitutes a major source of failure in real-world AI systems and represents a regulatory challenge that remains insufficiently addressed by existing legal frameworks, including the EU Artificial Intelligence Act. Although the AI Act introduces a comprehensive risk-based regulatory regime, it does not adequately capture how bias originates, propagates, and manifests across the AI lifecycle. This paper examines systemic data bias through a legal-technical lifecycle analysis that maps recurring bias mechanisms, from data collection and annotation to model training, evaluation, and deployment, to the regulatory control points established under the EU AI Act. Drawing on cross-sectoral examples from employment screening, credit scoring, healthcare risk prediction, biometric identification, and autonomous systems, the analysis demonstrates how technical bias mechanisms translate into systemic governance and accountability challenges. The findings reveal persistent regulatory gaps, including limited auditability of training datasets, the absence of mandatory fairness metrics, insufficient transparency regarding model behavior, and weak mechanisms for post-deployment monitoring and accountability. These results highlight a structural misalignment between lifecycle-based bias dynamics and the Act's category-driven compliance framework. The paper argues that addressing systemic bias requires a governance approach that integrates technical bias mitigation with legal oversight across the full AI lifecycle rather than relying primarily on post hoc regulatory controls.</t>
  </si>
  <si>
    <t>Falelakis, Theodoros; Dimara, Asimina; Anagnostopoulos, Christos-Nikolaos</t>
  </si>
  <si>
    <t>Dimara, A; Anagnostopoulos, CN (corresponding author), Univ Aegean, Dept Cultural Technol &amp; Commun, Mitilini 81100, Greece.</t>
  </si>
  <si>
    <t>dimara@aegean.gr; canag@aegean.gr; theofale@law.auth.gr</t>
  </si>
  <si>
    <t>[Falelakis, Theodoros] Aristotle Univ Thessaloniki, Fac Law, Thessaloniki 54124, Greece; [Dimara, Asimina; Anagnostopoulos, Christos-Nikolaos] Univ Aegean, Dept Cultural Technol &amp; Commun, Mitilini 81100, Greece</t>
  </si>
  <si>
    <t>Aristotle University of Thessaloniki; University of Aegean</t>
  </si>
  <si>
    <t>Systemic Data Bias in Real-World AI Systems: Technical Failures, Legal Gaps, and the Limits of the EU AI Act</t>
  </si>
  <si>
    <t>systemic data bias; AI governance; EU AI Act; fairness metrics; algorithmic accountability; socio-technical systems</t>
  </si>
  <si>
    <t>Anagnostopoulos, Christos-Nikolaos/AAR-2988-2021; Dimara, Asimina/AAE-7267-2022</t>
  </si>
  <si>
    <t>MAR 27 2026</t>
  </si>
  <si>
    <t>326</t>
  </si>
  <si>
    <t>10.3390/info17040326</t>
  </si>
  <si>
    <t>http://dx.doi.org/10.3390/info17040326</t>
  </si>
  <si>
    <t>HA9YH</t>
  </si>
  <si>
    <t>WOS:001749756900001</t>
  </si>
  <si>
    <t>Waldman, A; Martin, K</t>
  </si>
  <si>
    <t>The algorithmic accountability literature to date has primarily focused on procedural tools to govern automated decision-making systems. That prescriptive literature elides a fundamentally empirical question: whether and under what circumstances, if any, is the use of algorithmic systems to make public policy decisions perceived as legitimate? The present study begins to answer this question. Using factorial vignette survey methodology, we explore the relative importance of the type of decision, the procedural governance, the input data used, and outcome errors on perceptions of the legitimacy of algorithmic public policy decisions as compared to similar human decisions. Among other findings, we find that the type of decision-low importance versus high importance-impacts the perceived legitimacy of automated decisions. We find that human governance of algorithmic systems (aka human-in-the-loop) increases perceptions of the legitimacy of algorithmic decision-making systems, even when those decisions are likely to result in significant errors. Notably, we also find the penalty to perceived legitimacy is greater when human decision-makers make mistakes than when algorithmic systems make the same errors. The positive impact on perceived legitimacy from governance-such as human-in-the-loop-is greatest for highly pivotal decisions such as parole, policing, and healthcare. After discussing the study's limitations, we outline avenues for future research.</t>
  </si>
  <si>
    <t>Waldman, Ari; Martin, Kirsten</t>
  </si>
  <si>
    <t>Martin, K (corresponding author), Univ Notre Dame, Mendoza Coll Business, Informat Technol Analyt &amp; Operat Dept, Notre Dame, IN 46556 USA.</t>
  </si>
  <si>
    <t>kmarti33@nd.edu</t>
  </si>
  <si>
    <t>[Waldman, Ari] Northeastern Univ, Sch Law, Boston, MA 02115 USA; [Waldman, Ari] Northeastern Univ, Khoury Coll Comp Sci, Boston, MA 02115 USA; [Martin, Kirsten] Univ Notre Dame, Mendoza Coll Business, Notre Dame, IN 46556 USA</t>
  </si>
  <si>
    <t>Northeastern University; Northeastern University; University of Notre Dame</t>
  </si>
  <si>
    <t>Governing algorithmic decisions: The role of decision importance and governance on perceived legitimacy of algorithmic decisions</t>
  </si>
  <si>
    <t>BIG DATA &amp; SOCIETY</t>
  </si>
  <si>
    <t>AI governance; legitimacy; algorithmic decision; algorithmic accountability; legitimacy dividend; legitimacy penalty</t>
  </si>
  <si>
    <t>PROCEDURAL FAIRNESS; TRUST; AUTOMATION; ATTITUDES; JUSTICE; LIFE; AGE</t>
  </si>
  <si>
    <t>Waldman, Ari/0000-0002-9264-9231</t>
  </si>
  <si>
    <t>154</t>
  </si>
  <si>
    <t>2053-9517</t>
  </si>
  <si>
    <t>BIG DATA SOC</t>
  </si>
  <si>
    <t>Big Data Soc.</t>
  </si>
  <si>
    <t>20539517221100449</t>
  </si>
  <si>
    <t>10.1177/20539517221100449</t>
  </si>
  <si>
    <t>http://dx.doi.org/10.1177/20539517221100449</t>
  </si>
  <si>
    <t>2O7FU</t>
  </si>
  <si>
    <t>WOS:000819221300001</t>
  </si>
  <si>
    <t>Choo, SY; Jackson, KT; Booth, RG</t>
  </si>
  <si>
    <t>The rapid integration of artificial intelligence (AI) into nursing practice offered transformative potential to enhance clinical processes, improve patient outcomes, and optimize workflows. However, the ethical challenges posed by AI technologies have outpaced the development of corresponding nursing frameworks. This concept analysis articulates a contemporary definition of AI-integrated nursing ethics and presents its defining attributes through Walker and Avant's eight-step analytical framework. The analysis identified four core attributes that align with the ethical principles of nursing and operational attributes of AI: (1) nurses must maintain responsibility for clinical decisions even when AI recommendations are involved; (2) a privacy impact assessment of AI systems should be conducted regularly to evaluate potential risks and continually enhance information protection; (3) nurses must be able to understand and communicate AI system recommendations and the reasoning processes; and (4) nurses must identify and address AI-related bias to advocate for equitable care, while AI systems should be programmed to incorporate social and cultural aspects. Collectively, these attributes position AI-integrated nursing ethics to enhance nurses' ethical judgment and clinical expertise. The findings also emphasize the necessity of advancing nursing practice, research, policy, and education for responsible AI integration. Recommendations include developing evidence-based guidelines, updating institutional explainability policies, integrating AI ethics into nursing curricula, and further research on bias mitigation. By addressing these areas, the nursing profession can ensure that AI integration aligns with its core ethical principles, enhancing patient care while preserving the integrity of nursing judgment.</t>
  </si>
  <si>
    <t>Choo, Sun Young; Jackson, Kimberley T.; Booth, Richard G.</t>
  </si>
  <si>
    <t>Choo, SY; Jackson, KT; Booth, RG (corresponding author), Western Univ, Arthur Labatt Family Sch Nursing, London, ON, Canada.</t>
  </si>
  <si>
    <t>kim.jackson@uwo.ca; rbooth6@uwo.ca; schoo4@uwo.ca</t>
  </si>
  <si>
    <t>Social Sciences and Humanities Research Council (SSHRC) Canadian Graduate Scholarship [2025-2026]</t>
  </si>
  <si>
    <t>Social Sciences and Humanities Research Council (SSHRC) Canadian Graduate Scholarship (Social Sciences &amp; Humanities Research Council of Canada (SSHRC))</t>
  </si>
  <si>
    <t>Sun Young Choo was supported by a Social Sciences and Humanities Research Council (SSHRC) Canadian Graduate Scholarship-Master's (2025-2026).</t>
  </si>
  <si>
    <t>[Choo, Sun Young; Jackson, Kimberley T.; Booth, Richard G.] Western Univ, Arthur Labatt Family Sch Nursing, London, ON, Canada</t>
  </si>
  <si>
    <t>Western University (University of Western Ontario)</t>
  </si>
  <si>
    <t>Defining Ethical AI in Nursing: A Concept Analysis Grounded in Accountability, Explainability, Privacy, and Justice</t>
  </si>
  <si>
    <t>NURSING FORUM</t>
  </si>
  <si>
    <t>AI; artificial intelligence; concept analysis; ethics; nursing</t>
  </si>
  <si>
    <t>Booth, Richard/ABC-3478-2021; Jackson, Kimberley/AGW-3052-2022</t>
  </si>
  <si>
    <t>Jackson, Kimberley/0000-0002-6541-6213</t>
  </si>
  <si>
    <t>0029-6473</t>
  </si>
  <si>
    <t>1744-6198</t>
  </si>
  <si>
    <t>NURS FORUM</t>
  </si>
  <si>
    <t>Nurs. Forum</t>
  </si>
  <si>
    <t>9348533</t>
  </si>
  <si>
    <t>10.1155/nuf/9348533</t>
  </si>
  <si>
    <t>http://dx.doi.org/10.1155/nuf/9348533</t>
  </si>
  <si>
    <t>EC8OJ</t>
  </si>
  <si>
    <t>WOS:001698051200001</t>
  </si>
  <si>
    <t>Mendlovic, S</t>
  </si>
  <si>
    <t>The article explores the opportunities and risks associated with the integration of artificial intelligence (AI) into psychotherapy. Al can expand access to care, provide clinical decision support, enable continuous monitoring, and increase system efficiency. At the same time, significant challenges remain, including technological immaturity, data privacy and ethical concerns, and the potential erosion of the therapeutic alliance. To ensure safe and responsible adoption, the article introduces the Responsible Al Integration Framework for Psychotherapy, which identifies four essential capabilities: Explainable AI (XAI), Shared Decision Making (SDM). Electronic Health Record (EHR) integration, and Harm Prevention (HP). Together, these components form a practical, workflow-embedded formula that addresses both technical and ethical requirements. A roadmap for implementation is also proposed, emphasizing phased adoption within public health systems through preparation and vision, controlled pilots, gradual scaling, and full integration with ongoing improvement. The framework underscores that Al should function as a supportive tool, enhancing rather than replacing the empathic human presence that remains central to psychotherapy.</t>
  </si>
  <si>
    <t>Mendlovic, Shlomo</t>
  </si>
  <si>
    <t>Mendlovic, S (corresponding author), Tel Aviv Univ, Fac Med, Tel Aviv, Israel.; Mendlovic, S (corresponding author), Shalvata Mental Hlth Ctr, Hod Hasharon, Israel.; Mendlovic, S (corresponding author), ALUMOT Knowledge Creat Leadership Psychotherapy, Clalit Program Psychotherapy, Tel Aviv, Israel.</t>
  </si>
  <si>
    <t>shlomo.mendlovic@gmail.com</t>
  </si>
  <si>
    <t>[Mendlovic, Shlomo] Tel Aviv Univ, Fac Med, Tel Aviv, Israel; [Mendlovic, Shlomo] Shalvata Mental Hlth Ctr, Hod Hasharon, Israel; [Mendlovic, Shlomo] ALUMOT Knowledge Creat Leadership Psychotherapy, Clalit Program Psychotherapy, Tel Aviv, Israel</t>
  </si>
  <si>
    <t>Tel Aviv University; Sackler Faculty of Medicine; Tel Aviv University</t>
  </si>
  <si>
    <t>Responsible AI Integration Framework for Psychotherapy</t>
  </si>
  <si>
    <t>artificial Intelligence; psychotherapy; shared decision making (SDM); electronic health records (EHR); harm Prevention (HP); mental health; ethical framework; public heath systems; clinical decision support; digital mental health; responsible Al; explainable Al (XAI)</t>
  </si>
  <si>
    <t>Mendlovic, Shlomo/0000-0002-0587-1169</t>
  </si>
  <si>
    <t>424</t>
  </si>
  <si>
    <t>10.70594/brain/16.4.26</t>
  </si>
  <si>
    <t>http://dx.doi.org/10.70594/brain/16.4.26</t>
  </si>
  <si>
    <t>W0396</t>
  </si>
  <si>
    <t>WOS:001639202000025</t>
  </si>
  <si>
    <t>Ali, U; Batool, ST; Mahato, RK</t>
  </si>
  <si>
    <t>The expanding volume and heterogeneity of post-marketing drug-safety data have exposed the limitations of conventional pharmacovigilance systems. Artificial intelligence (AI) offers scalable solutions for detecting adverse drug reactions by integrating electronic health records, spontaneous reporting systems, and patient-generated data. Recent advances in natural language processing and deep learning enable earlier identification of rare and complex safety signals while reducing reporting delays. Nevertheless, issues related to algorithmic transparency, bias, and regulatory oversight remain critical. This letter highlights emerging applications, current challenges, and future directions for responsible AI integration in pharmacovigilance.</t>
  </si>
  <si>
    <t>Ali, Umair; Batool, Syeda Tayyaba; Mahato, Raghabendra Kumar</t>
  </si>
  <si>
    <t>Mahato, RK (corresponding author), Gandaki Med Coll Teaching Hosp &amp; Res Ctr, Dept Med, Pokhara 33700, Nepal.</t>
  </si>
  <si>
    <t>umairaliuoswabi@gmail.com; 102raghabendrakumarmahato@gmail.com; tsyeda036@gmail.com</t>
  </si>
  <si>
    <t>[Ali, Umair] Univ Swabi, Dept Pharm, Swabi, Pakistan; [Batool, Syeda Tayyaba] Azad Jammu &amp; Kashmir Med Coll, Dept Med, Muzaffrabad, Pakistan; [Mahato, Raghabendra Kumar] Gandaki Med Coll Teaching Hosp &amp; Res Ctr, Dept Med, Pokhara 33700, Nepal</t>
  </si>
  <si>
    <t>Artificial intelligence in pharmacovigilance: toward real-time, explainable, and global drug-safety systems</t>
  </si>
  <si>
    <t>ANNALS OF MEDICINE AND SURGERY</t>
  </si>
  <si>
    <t>adverse drug reactions; artificial intelligence; pharmacovigilance; real-world evidence; signal detection</t>
  </si>
  <si>
    <t>Ali, Umair/PGT-5542-2026</t>
  </si>
  <si>
    <t>, Syeda Tayyaba Batool/0009-0000-1695-4974; Ali, Umair/0009-0001-2423-1546</t>
  </si>
  <si>
    <t>2049-0801</t>
  </si>
  <si>
    <t>ANN MED SURG</t>
  </si>
  <si>
    <t>Ann. Med. Surg.</t>
  </si>
  <si>
    <t>2196</t>
  </si>
  <si>
    <t>2197</t>
  </si>
  <si>
    <t>10.1097/MS9.0000000000004699</t>
  </si>
  <si>
    <t>http://dx.doi.org/10.1097/MS9.0000000000004699</t>
  </si>
  <si>
    <t>DJ7EW</t>
  </si>
  <si>
    <t>41675893</t>
  </si>
  <si>
    <t>WOS:001685048300041</t>
  </si>
  <si>
    <t>Aldhalimi, A</t>
  </si>
  <si>
    <t>State-level regulation of AI used for mental health is emerging in the absence of a federal framework. States are taking different approaches to regulation, resulting in a fragmented regulatory landscape. This Viewpoint aims to identify the governance approaches that US states are using to regulate the use of AI in mental health and analyze the limitations of each. A 4-state case analysis was conducted using the statutory text of bills and laws in Illinois, Utah, New York, and Nevada. Two governance approaches were identified. The first regulates the use of AI in clinical contexts, and the second regulates the technology itself. Some states have combined elements of both approaches to address AI use more comprehensively. While these approaches aim to mitigate harm, they differ in where they believe risk lies in the use of AI for mental health support. The limitations of these divergent approaches include uneven protections for consumers and regulatory uncertainty for developers, vendors, deployers, and clinicians. Because AI in mental health operates across both clinical and consumer domains, neither approach alone can address the risks associated with its usefor mental health support. A coordinated, risk-based federal regulatory floor is needed to ensure consistent protections across states.</t>
  </si>
  <si>
    <t>Aldhalimi, Abir</t>
  </si>
  <si>
    <t>Aldhalimi, A (corresponding author), Yale Univ, Sch Med, 333 Cedar St, New Haven, CT 06510 USA.</t>
  </si>
  <si>
    <t>abir.aldhalimi@yale.edu</t>
  </si>
  <si>
    <t>[Aldhalimi, Abir] Yale Univ, Sch Med, 333 Cedar St, New Haven, CT 06510 USA; [Aldhalimi, Abir] Mental Hlth AI Policy Project, Washington, DC USA</t>
  </si>
  <si>
    <t>Governing AI for Mental Health: Fragmented State Approaches and the Case fora Federal Framework</t>
  </si>
  <si>
    <t>artificial intelligence; AI; mental health; policy; mental health policy; AI regulation; chatbot; legislation; law; generative AI; health care policy; AI governance</t>
  </si>
  <si>
    <t>e96389</t>
  </si>
  <si>
    <t>10.2196/96389</t>
  </si>
  <si>
    <t>http://dx.doi.org/10.2196/96389</t>
  </si>
  <si>
    <t>MI8PR</t>
  </si>
  <si>
    <t>42517516</t>
  </si>
  <si>
    <t>WOS:001843284800001</t>
  </si>
  <si>
    <t>Aleksandrova-Yankulovska, S; Thiemicke, P; Eksi, M; Sahin, S; Adrovic, A; Kasapcopur, O; Orzechowski, M; Schuetz, C; Steger, F</t>
  </si>
  <si>
    <t>Background This qualitative study of the opinions of legal guardians of minors with Systemic Inflammatory Response Syndrome (SIRS) in Turkey identifies and analyses the ethical challenges accompanying the management of paediatric SIRS patients and the collection of genetic data as part of a large multiomics dataset for the development of an AI-based tool for diagnostics and management of SIRS. Methods Between January and June 2024, 14 problem-centred, semi-structured exploratory interviews with legal guardians of children with SIRS were conducted in Istanbul, Turkey. The interview consisted of 19 open-ended questions. The interviews were digitally recorded, translated into English, and two independent researchers analysed the content of the information. Qualitative content and thematic analysis were performed to identify major ethical issues. Results The analysis identified five major topics: solidarity, autonomy, informed consent, protection of privacy, and AI-driven ethical issues. Solidarity was the most prominent topic and encompassed the aspects of motivation for participation, raising awareness, supporting communication, and loosening data protection. Parents expressed high respect for children's autonomy. In the vein of the triadic relationship model, the necessity of children with SIRS participating in decision-making was supported by the interviewees as well as the reconfirmation of informed consent in case of future use of collected genetic data. Regarding the development of AI-tool for SIRS, five principles were identified: wide representation, confidentiality, trustworthiness, human control, and orientation. Conclusion Our study contributes to the understanding of the ethical challenges accompanying the study of diagnostics using multi-omics data and derived treatment strategies of SIRS in children and adolescents. Different functions of solidarity linked it to the other major topics, thus composing a coherent picture of the ethical aspects of paediatric SIRS research. The identified principles of AI-development correspond to those in the Assessment List for Trustworthy Artificial Intelligence (ALTAI); thus, our research confirmed their real-life relevance and usefulness.</t>
  </si>
  <si>
    <t>Aleksandrova-Yankulovska, Silviya; Thiemicke, Paul; Eksi, Meral; Sahin, Sezgin; Adrovic, Amra; Kasapcopur, Ozgur; Orzechowski, Marcin; Schuetz, Catharina; Steger, Florian</t>
  </si>
  <si>
    <t>Aleksandrova-Yankulovska, S (corresponding author), Ulm Univ, Inst Hist Philosophy &amp; Eth Med, Oberberghof 7, D-89081 Ulm, Germany.; Aleksandrova-Yankulovska, S (corresponding author), German Ctr Child &amp; Adolescent Hlth DZKJ, Partner Site Ulm, Ulm, Germany.</t>
  </si>
  <si>
    <t>silviya.aleksandrova-yankulovska@uni-ulm.de</t>
  </si>
  <si>
    <t>Universitt Ulm (1055)</t>
  </si>
  <si>
    <t>[Aleksandrova-Yankulovska, Silviya; Thiemicke, Paul; Orzechowski, Marcin; Steger, Florian] Ulm Univ, Inst Hist Philosophy &amp; Eth Med, Oberberghof 7, D-89081 Ulm, Germany; [Eksi, Meral; Sahin, Sezgin; Adrovic, Amra; Kasapcopur, Ozgur] Istanbul Univ Cerrahpasa, Cerrahpasa Med Sch, Dept Pediat Rheumatol, Istanbul, Turkiye; [Schuetz, Catharina] Tech Univ Dresden, Dept Pediat, Med Fak Carl Gustav Carus, D-01307 Dresden, Germany; [Schuetz, Catharina] German Ctr Child &amp; Adolescent Hlth DZKJ, Partner Site Leipzig Dresden, Dresden, Germany; [Aleksandrova-Yankulovska, Silviya; Thiemicke, Paul; Orzechowski, Marcin; Steger, Florian] German Ctr Child &amp; Adolescent Hlth DZKJ, Partner Site Ulm, Ulm, Germany</t>
  </si>
  <si>
    <t>Ulm University; Istanbul University; Istanbul University - Cerrahpasa; Technische Universitat Dresden; Carl Gustav Carus University Hospital</t>
  </si>
  <si>
    <t>Qualitative study on ethics in paediatric Systemic Inflammatory Response Syndrome (SIRS) research: perspectives of Turkish legal guardians</t>
  </si>
  <si>
    <t>AI (Artificial intelligence); Group solidarity; Personal autonomy; Research ethics; Systemic inflammatory response syndrome (SIRS)</t>
  </si>
  <si>
    <t>SOLIDARITY; CHILDREN</t>
  </si>
  <si>
    <t>Kasapcopur, Ozgur/A-8888-2018; Schuetz, Catharina/AFM-8059-2022; Sahin, Sezgin/A-1639-2018; Adrovic Yıldız, Amra/U-6626-2018</t>
  </si>
  <si>
    <t>Kasapcopur, Ozgur/0000-0002-1125-7720; Schuetz, Catharina/0009-0003-6519-0482; Sahin, Sezgin/0000-0002-5365-3457; Aleksandrova-Yankulovska, Silviya/0000-0002-9749-8807</t>
  </si>
  <si>
    <t>10.1186/s12910-025-01350-x</t>
  </si>
  <si>
    <t>http://dx.doi.org/10.1186/s12910-025-01350-x</t>
  </si>
  <si>
    <t>R8061</t>
  </si>
  <si>
    <t>41310644</t>
  </si>
  <si>
    <t>WOS:001635961100001</t>
  </si>
  <si>
    <t>Shono, Y</t>
  </si>
  <si>
    <t>Ambient artificial intelligence (AI) is reducing documentation burden in primary care, with real but modest and variable effects: reclaimed minutes in some settings, reduced cognitive load in others, and no guarantee that either reaches patients. This article argues that the resulting capacity-the attention dividend-should be governed as a health policy resource. Without deliberate allocation, it defaults to throughput, administrative absorption, and already-advantaged patients. The article specifies the payment and care model conditions that make deliberate reallocation more feasible, including hybrid and value-based payment, continuity add-on payments, monthly per-patient care-management payments, and primary care spending floors; proposes 3 priority uses-recognition of overlooked patients, continuity, and safety-netting and reassurance; and pairs 8 allocation questions with measurable indicators, concrete policy and operational mechanisms, and accountable actors across health system leaders, payers, purchasers, primary care practices, AI vendors, regulators, and accreditors. Seven named capture mechanisms describe how the dividend fails to reach patients, each with a corrective governance response. The policy question is not whether ambient AI saves time, but whether health systems govern the capacity it returns-through mechanisms that can be named, measured, and assigned.</t>
  </si>
  <si>
    <t>Shono, Yusuke</t>
  </si>
  <si>
    <t>Shono, Y (corresponding author), Tamatani Clin, 1-7-15 Komatsu, Higashiyodogawa Ku, Osaka, Osaka 5330004, Japan.</t>
  </si>
  <si>
    <t>yshono@tamatani-clinic.com</t>
  </si>
  <si>
    <t>[Shono, Yusuke] Tamatani Clin, 1-7-15 Komatsu, Higashiyodogawa Ku, Osaka, Osaka 5330004, Japan</t>
  </si>
  <si>
    <t>Governing the attention dividend: AI-reclaimed clinician capacity as a health policy resource</t>
  </si>
  <si>
    <t>ambient artificial intelligence; attention dividend; AI governance; primary care; clinical documentation; clinician capacity; health policy; care delivery; documentation burden; continuity of care; health equity; quality measurement; health system governance; safety-netting; payment models</t>
  </si>
  <si>
    <t>qxag197</t>
  </si>
  <si>
    <t>10.1093/haschl/qxag197</t>
  </si>
  <si>
    <t>http://dx.doi.org/10.1093/haschl/qxag197</t>
  </si>
  <si>
    <t>ML6FH</t>
  </si>
  <si>
    <t>WOS:001845160300001</t>
  </si>
  <si>
    <t>Dai, TL; McDonald, KM; Baumgart, DC</t>
  </si>
  <si>
    <t>The global health workforce is approaching a breaking point, driven by administrative overload, inefficient workflows, burnout, and accelerating retirements, with a projected global shortfall of 11 million health professionals by 2030. This urgency coincides with the rapid emergence of clinical artificial intelligence (AI) tools, especially generative systems now embedded in documentation, triage, and workflow support. Therefore, AI should be framed less as a substitute for clinicians than as a retention strategy that preserves careers, expertise, and the human core of care. High-impact uses include ambient documentation, coding support, scheduling and demand prediction, claims and billing support, and inbox triage-tools that can reduce clerical burden and return time to caring, teaching, and leadership. Workforce shortages also create an ethical and geopolitical dilemma; reliance on international recruitment can deepen global inequities, whereas responsible AI deployment might ease competition for scarce talent and expand capacity in lower-resource settings. Yet, AI will not fix dysfunctional systems by default; poorly designed implementation can shift burdens, erode confidence, and widen gaps in health-care quality, access, and clinician wellbeing. Practice must remain clinician-led, patient-centred, and grounded in shared decision making. The policy priority is expertise amplification, not workforce replacement.</t>
  </si>
  <si>
    <t>Dai, Tinglong; McDonald, Kathryn M.; Baumgart, Daniel C.</t>
  </si>
  <si>
    <t>Baumgart, DC (corresponding author), Univ Alberta, Coll Hlth Sci, Edmonton, AB T6G 2X8, Canada.</t>
  </si>
  <si>
    <t>baumgart@ualberta.ca</t>
  </si>
  <si>
    <t>[Dai, Tinglong; McDonald, Kathryn M.] Johns Hopkins Univ, Carey Business Sch, Baltimore, MD USA; [Dai, Tinglong; McDonald, Kathryn M.] Johns Hopkins Univ, Sch Nursing, Baltimore, MD USA; [McDonald, Kathryn M.] Johns Hopkins Univ, Sch Med, Baltimore, MD USA; [Dai, Tinglong; McDonald, Kathryn M.] Johns Hopkins Univ, Hopkins Business Hlth Initiat, Washington, DC USA; [Baumgart, Daniel C.] Univ Alberta, Coll Hlth Sci, Edmonton, AB T6G 2X8, Canada; [Baumgart, Daniel C.] Univ Alberta, Coll Nat &amp; Appl Sci, Edmonton, AB, Canada</t>
  </si>
  <si>
    <t>Johns Hopkins University; Johns Hopkins University; Johns Hopkins University; Johns Hopkins Medicine; Johns Hopkins University; University of Alberta; University of Alberta</t>
  </si>
  <si>
    <t>Global advances in health artificial intelligence: a workforce imperative</t>
  </si>
  <si>
    <t>LANCET</t>
  </si>
  <si>
    <t>0140-6736</t>
  </si>
  <si>
    <t>1474-547X</t>
  </si>
  <si>
    <t>Lancet</t>
  </si>
  <si>
    <t>AUG 8 2026</t>
  </si>
  <si>
    <t>408</t>
  </si>
  <si>
    <t>10554</t>
  </si>
  <si>
    <t>10.1016/S0140-6736(26)00693-8</t>
  </si>
  <si>
    <t>http://dx.doi.org/10.1016/S0140-6736(26)00693-8</t>
  </si>
  <si>
    <t>MJ9FK</t>
  </si>
  <si>
    <t>42263727</t>
  </si>
  <si>
    <t>WOS:001844007200001</t>
  </si>
  <si>
    <t>De Lima, JBC; Griffin, I; Gemmell, JS; Davis, K; Amanamba, U; Zanjani, NA; Siyanaki, MRH; Mohammed, TL; Benos, T; Rodrigues, RS; Manjarres, DG; Sobhani, A; Hochhegger, B</t>
  </si>
  <si>
    <t>Artificial intelligence (AI) enhances the practice of chest imaging by improving diagnostic accuracy, streamlining workflows, and facilitating personalized patient care. As a powerful tool, AI augments the expertise of radiologists, enabling more precise evaluations and quicker decision-making. This article examines the barriers to AI adoption in chest imaging, focusing on challenges related to bias, transparency, accountability, and data privacy. We discuss the ethical implications of AI-driven decision-making, particularly concerning fairness, and propose strategies to address these concerns. Additionally, we explore regulatory obstacles, including the approval pathways for AI algorithms and the need for continuous learning and adaptability in clinical settings. We also address practical considerations, such as the integration of AI tools into existing workflows, model generalizability, and economic factors. The article concludes with recommendations for responsible AI adoption, emphasizing the importance of interdisciplinary collaboration, robust validation frameworks, and continuous education for radiologists. By navigating these challenges, the radiology community can effectively leverage AI's potential, ultimately leading to enhanced patient outcomes and improved diagnostic processes. Semin Roentgenology 60:422-438 (c) 2025 Elsevier Inc. All rights are reserved, including those for text and data mining, AI training, and similar technologies.</t>
  </si>
  <si>
    <t>De Lima, Juliana Barreto Caldas; Griffin, Ian; Gemmell, Jessica Shapiro; Davis, Kayla; Amanamba, Udochukwu; Zanjani, Navid Asadi; Siyanaki, Mohammad Reza Hosseini; Mohammed, Tan-Lucien; Benos, Takis; Rodrigues, Rosana Souza; Manjarres, Diana Gomez; Sobhani, Arezou; Hochhegger, Bruno</t>
  </si>
  <si>
    <t>Hochhegger, B (corresponding author), Univ Florida, 1600 SW Archer Rd, Gainesville, FL 32610 USA.</t>
  </si>
  <si>
    <t>bhochhegger@ufl.edu</t>
  </si>
  <si>
    <t>[De Lima, Juliana Barreto Caldas] Univ Fed Minas Gerais, Belo Horizonte, MG, Brazil; [Griffin, Ian; Gemmell, Jessica Shapiro; Davis, Kayla; Amanamba, Udochukwu] Univ Florida, Coll Med, Gainesville, FL USA; [Zanjani, Navid Asadi; Siyanaki, Mohammad Reza Hosseini; Benos, Takis; Manjarres, Diana Gomez; Sobhani, Arezou; Hochhegger, Bruno] Univ Florida, Gainesville, FL USA; [Rodrigues, Rosana Souza] NYU, New York, NY USA; [Mohammed, Tan-Lucien] Inst D Or Pesquisas, Botafogo, RJ, Brazil</t>
  </si>
  <si>
    <t>Universidade Federal de Minas Gerais; State University System of Florida; University of Florida; State University System of Florida; University of Florida; New York University</t>
  </si>
  <si>
    <t>Ethical, Regulatory, and Practical Challenges in Artificial Intelligence-Driven Chest Imaging</t>
  </si>
  <si>
    <t>SEMINARS IN ROENTGENOLOGY</t>
  </si>
  <si>
    <t>DECISIONS; CANCER; MODELS</t>
  </si>
  <si>
    <t>Rodrigues, Rosana/N-9866-2013; Hosseini-Siyanaki, Mohammad-Reza/HHC-0670-2022; Gemmell, Jessica/KTJ-9047-2024</t>
  </si>
  <si>
    <t>Griffin, Ian/0009-0006-6565-4971</t>
  </si>
  <si>
    <t>0037-198X</t>
  </si>
  <si>
    <t>1558-4658</t>
  </si>
  <si>
    <t>SEMIN ROENTGENOL</t>
  </si>
  <si>
    <t>Semin. Roentgenology</t>
  </si>
  <si>
    <t>438</t>
  </si>
  <si>
    <t>10.1053/j.ro.2025.06.003</t>
  </si>
  <si>
    <t>http://dx.doi.org/10.1053/j.ro.2025.06.003</t>
  </si>
  <si>
    <t>9EV5I</t>
  </si>
  <si>
    <t>41115740</t>
  </si>
  <si>
    <t>WOS:001604665300008</t>
  </si>
  <si>
    <t>Shah, SFH; Arecco, D; Draper, H; Tiribelli, S; Harriss, E; Matin, RN</t>
  </si>
  <si>
    <t>Background Skin cancer is the most common cancer worldwide. Early diagnosis is crucial to improving patient survival and morbidity. Artificial intelligence (AI)-assisted smartphone applications (apps) for skin cancer potentially offer accessible, early risk assessment of suspicious skin lesions. However, the integration of novel technologies into dermatology pathways raises ethical concerns. Although ethical principles for AI governance are well known, how these principles should be applied to real-life AI apps readily available for public use is less well understood.Objectives To conduct an ethical use-case analysis of commercially available skin cancer apps, to better understand the ethical issues arising from their development and use in a real-world context.Methods Established methods for the ethical analysis of clinical AI applications were applied to two popular skin cancer apps in the UK: SkinVision and Scanoma. Systematic searches of published literature, regulatory documents and websites were conducted to review the evidence regarding app development, effectiveness and use. Screening for inclusion was undertaken by two researchers independently. Ethical concerns were identified with reference to previously described ethical concerns and principles for AI-assisted healthcare.Results By conceptualizing ethical principles within the use-context of skin cancer apps, we identified specific ethical issues arising throughout the AI lifecycle of both apps. One company provided extensive detail regarding algorithm development and decision-making; this information was insufficiently reported for the other app. Other concerns identified were related to number, quality and consistency of studies assessing algorithm efficacy. Limited efforts to address potential skin tone biases and the exclusion of individuals with darker skin tones as target users by one app risks perpetuating existing inequalities. Inadequate regulatory oversight was identified.Conclusions Findings from our ethical use-case analysis of two patient-facing AI-assisted skin cancer apps suggest inadequate incorporation of bioethical norms such as justice, responsibility and transparency into the development and deployment of both apps. Improved regulation should increase accountability. Ensuring ethics by design through integration between technology developers, dermatologists, ethicists and the public is urgently needed to prevent the potential benefits of AI-assisted skin cancer apps being overshadowed by potential ethical harms.We performed an ethical use-case analysis of two public-facing AI-assisted skin cancer diagnostic smartphone apps, to identify ethical issues in their development and use. Our findings suggest inadequate incorporation of bioethical norms such as justice, responsibility and transparency into the development and deployment of both apps, which can have significant impacts in the context of skin cancer. These findings emphasize the need for better integration of ethical principles and improved regulation to ensure the safe development and use of AI-assisted technologies in dermatology.</t>
  </si>
  <si>
    <t>Shah, Syed F. H.; Arecco, Daniel; Draper, Heather; Tiribelli, Simona; Harriss, Eli; Matin, Rubeta N.</t>
  </si>
  <si>
    <t>Shah, SFH (corresponding author), Oxford Univ Hosp NHS Fdn Trust, John Radcliffe Hosp, Oxford, England.</t>
  </si>
  <si>
    <t>fazal.shah@ouh.nhs.uk</t>
  </si>
  <si>
    <t>[Shah, Syed F. H.] Oxford Univ Hosp NHS Fdn Trust, John Radcliffe Hosp, Oxford, England; [Arecco, Daniel; Draper, Heather] Univ Warwick, Warwick Med Sch, Coventry, England; [Tiribelli, Simona] Univ Macerata, Dept Polit Sci Commun &amp; Int Relat, Macerata, Italy; [Tiribelli, Simona] PathCheck Fdn, Inst Technol &amp; Global Hlth, Cambridge, MA USA; [Harriss, Eli] Univ Oxford, Bodleian Hlth Care Lib, Oxford, England; [Matin, Rubeta N.] Oxford Univ Hosp NHS Fdn Trust, Dept Dermatol, Oxford, England</t>
  </si>
  <si>
    <t>University of Oxford; Oxford University Hospitals NHS Foundation Trust; University of Warwick; University of Macerata; University of Oxford; Oxford University Hospitals NHS Foundation Trust</t>
  </si>
  <si>
    <t>Ethical implications of artificial intelligence in skin cancer diagnostics: use-case analyses</t>
  </si>
  <si>
    <t>BRITISH JOURNAL OF DERMATOLOGY</t>
  </si>
  <si>
    <t>CLINICAL-DIAGNOSIS</t>
  </si>
  <si>
    <t>Matin, Rubeta/AAB-1515-2019; Tiribelli, Simona/AGF-6841-2022; Harriss, Elinor/AAO-7867-2021</t>
  </si>
  <si>
    <t>Shah, Syed Fazal Hussein/0000-0003-0624-1246</t>
  </si>
  <si>
    <t>0007-0963</t>
  </si>
  <si>
    <t>1365-2133</t>
  </si>
  <si>
    <t>BRIT J DERMATOL</t>
  </si>
  <si>
    <t>Br. J. Dermatol.</t>
  </si>
  <si>
    <t>DEC 23 2024</t>
  </si>
  <si>
    <t>520</t>
  </si>
  <si>
    <t>10.1093/bjd/ljae434</t>
  </si>
  <si>
    <t>http://dx.doi.org/10.1093/bjd/ljae434</t>
  </si>
  <si>
    <t>X2D8C</t>
  </si>
  <si>
    <t>39501748</t>
  </si>
  <si>
    <t>WOS:001381782000001</t>
  </si>
  <si>
    <t>Coombs, LP; Brink, L; Kim, W; Wald, C; Schmidt, K; Tilkin, M; Dreyer, K; Cook, TS; Bizzo, B</t>
  </si>
  <si>
    <t>Objective: To describe the design, infrastructure, and functionality of the ACR's Assess-AI registry, a national quality registry created to monitor the real-world performance of clinical imaging artificial intelligence (AI) models.&lt;br /&gt; Methods: Assess-AI is a registry within the National Radiology Data Registry that enables participating facilities to submit de-identified AI output, radiology report text, and DICOM study metadata through the ACR Connect platform. Data are normalized and compared with surrogate labels extracted from radiology reports using large language model-based prompting pipelines. Concordance between AI outputs and extracted surrogate labels is computed centrally, with results delivered through interactive dashboards. Facilities may locally re-identify studies via the Forensics App for quality review.&lt;br /&gt; Results: Assess-AI currently supports multiple imaging AI use cases including intracranial hemorrhage, pulmonary embolism, pneumothorax, large-vessel occlusion, bone age, and cervical spine fracture. Participating facilities can visualize data completeness, monitor longitudinal concordance trends, compare performance with registry benchmarks, and explore discordance by demographic or technical factors. Local review workflows allow detailed evaluation of discordant cases, supporting root-cause analysis and AI governance.&lt;br /&gt; Discussion: Assess-AI provides a scalable, privacy-preserving framework for postdeployment performance monitoring of imaging AI models. By combining standardized data ingestion, large language model-based surrogate labeling, interactive analytics, and local adjudication, the registry addresses critical gaps in evaluating real-world AI performance. Ongoing expansion will incorporate additional modalities, model types, and risk-adjusted benchmarking to further enhance clinical utility.</t>
  </si>
  <si>
    <t>Coombs, Laura P.; Brink, Laura; Kim, Woojin; Wald, Christoph; Schmidt, Kendall; Tilkin, Mike; Dreyer, Keith; Cook, Tessa S.; Bizzo, Bernardo</t>
  </si>
  <si>
    <t>Coombs, LP (corresponding author), Amer Coll Radiol, 1892 Preston White Dr, Reston, VA 20191 USA.</t>
  </si>
  <si>
    <t>lcoombs@acr.org</t>
  </si>
  <si>
    <t>[Coombs, Laura P.] ACR, Data Sci &amp; Informat, Reston, VA USA; [Brink, Laura; Schmidt, Kendall; Tilkin, Mike] ACR, Reston, VA USA; [Kim, Woojin; Dreyer, Keith] ACR Data Sci Inst, Reston, VA USA; [Kim, Woojin] HOPPR, Chicago, IL USA; [Kim, Woojin] Palo Alto VA Med Ctr, Palo Alto, CA USA; [Wald, Christoph] Mayo Clin, Radiol, Rochester, MN USA; [Wald, Christoph] Mayo Clin, Dept Radiol, Rochester, MN USA; [Wald, Christoph] ACR Board Chancellors, Reston, VA USA; [Dreyer, Keith] Massachusetts Gen Hosp, Radiol, Boston, MA USA; [Cook, Tessa S.] ACR Commiss Informat, Reston, VA USA; [Cook, Tessa S.] Univ Penn, Perelman Sch Med, Practice Transformat, Philadelphia, PA USA; [Bizzo, Bernardo] Data Sci Inst, Reston, VA USA; [Bizzo, Bernardo] Mass Gen Brigham AI, Boston, MA USA</t>
  </si>
  <si>
    <t>American College of Radiology; American College of Radiology; US Department of Veterans Affairs; Veterans Health Administration (VHA); VA Palo Alto Health Care System; Mayo Clinic; Mayo Clinic; Harvard University; Harvard University Medical Affiliates; Massachusetts General Hospital; University of Pennsylvania; Mass General Brigham</t>
  </si>
  <si>
    <t>ACR's Assess-AI: A Registry for Real-World Performance Monitoring of Clinical Imaging Artificial Intelligence</t>
  </si>
  <si>
    <t>JOURNAL OF THE AMERICAN COLLEGE OF RADIOLOGY</t>
  </si>
  <si>
    <t>Artificial intelligence; monitoring AI; registry; benchmarking</t>
  </si>
  <si>
    <t>1546-1440</t>
  </si>
  <si>
    <t>1558-349X</t>
  </si>
  <si>
    <t>J AM COLL RADIOL</t>
  </si>
  <si>
    <t>J. Am. Coll. Radiol.</t>
  </si>
  <si>
    <t>1557</t>
  </si>
  <si>
    <t>1566</t>
  </si>
  <si>
    <t>10.1016/j.jacr.2026.04.024</t>
  </si>
  <si>
    <t>http://dx.doi.org/10.1016/j.jacr.2026.04.024</t>
  </si>
  <si>
    <t>MF9YQ</t>
  </si>
  <si>
    <t>42066927</t>
  </si>
  <si>
    <t>WOS:001841337000001</t>
  </si>
  <si>
    <t>Altieri, D; Damani, Z; Nebel, C</t>
  </si>
  <si>
    <t>This article addresses the growing concern that generative artificial intelligence (AI) may replace human expertise in organizations. Instead of asking whether AI should be used, it examines why human judgment rooted in experience cannot be fully replaced by current AI systems and how organizations can work with AI more effectively. Drawing on research from cognitive science, neuroscience, and organizational studies, the paper explains how people use prior experience to interpret context, notice subtle cues, and make sense of ambiguous situations-capabilities that differ fundamentally from how large language models process data. Evidence from recent studies of AI use in hiring, performance management, healthcare, and knowledge work shows recurring problems, including mistakes in unusual cases, missed context, over-reliance on AI recommendations, and reduced visibility of real skill differences among employees. In response, we propose a five-part Human-AI Collaboration Framework designed to help organizations use AI for efficiency while keeping human judgment active and accountable in key Human Resource Management decisions. The analysis shows that AI performs best in routine, data-rich situations but falls short when decisions require lived experience and contextual understanding. By framing organizations as systems built on accumulated experience, this article offers practical guidance for responsible AI integration and outlines directions for future research on human-AI collaboration.</t>
  </si>
  <si>
    <t>Altieri, Daniel; Damani, Zohra; Nebel, Cynthia</t>
  </si>
  <si>
    <t>Nebel, C (corresponding author), St Louis Univ, Dept Psychiat &amp; Behav Neurosci, Sch Med, St Louis, MO 63104 USA.</t>
  </si>
  <si>
    <t>daniel.b.altieri@vanderbilt.edu; cynthia.nebel@health.slu.edu</t>
  </si>
  <si>
    <t>[Altieri, Daniel] Vanderbilt Univ, Dept Leadership Policy &amp; Org, Nashville, TN 37235 USA; [Nebel, Cynthia] St Louis Univ, Dept Psychiat &amp; Behav Neurosci, Sch Med, St Louis, MO 63104 USA</t>
  </si>
  <si>
    <t>Vanderbilt University; Vanderbilt University Peabody College; Saint Louis University</t>
  </si>
  <si>
    <t>What AI Cannot Learn: A Cognitive Science Perspective on Human-Centered Strategic HRM</t>
  </si>
  <si>
    <t>ADMINISTRATIVE SCIENCES</t>
  </si>
  <si>
    <t>artificial intelligence; experience-based cognition; human resource management; sensemaking; organizational learning; human-AI collaboration</t>
  </si>
  <si>
    <t>NEURAL-NETWORKS; CAPACITY</t>
  </si>
  <si>
    <t>2076-3387</t>
  </si>
  <si>
    <t>ADM SCI</t>
  </si>
  <si>
    <t>Adm. Sci.</t>
  </si>
  <si>
    <t>JUL 10 2026</t>
  </si>
  <si>
    <t>10.3390/admsci16070335</t>
  </si>
  <si>
    <t>http://dx.doi.org/10.3390/admsci16070335</t>
  </si>
  <si>
    <t>LR2YS</t>
  </si>
  <si>
    <t>WOS:001831355100001</t>
  </si>
  <si>
    <t>Cai, ZN; Ren, BJ; Ma, RH; Guan, HB; Tian, MK; Wang, Y</t>
  </si>
  <si>
    <t>The ubiquity of artificial intelligence (AI) has led to its extensive research and application in various fields, such as computer vision, natural language processing, and medical image analysis. However, responsible AI faces severe security challenges, including the leakage of pretrained models and valuable training data. The existing solutions adopt new algorithm designs (such as federated learning) or cryptography (such as homomorphic encryption) to prevent possible security vulnerabilities. We observe that hardware-assisted trusted execution environments (TEEs) can further improve machine learning responsibility. Intel Software Guard Extension (SGX) is a popular, trusted execution hardware that enables users' programs to run in an untrusted execution environment, such as a malicious operating system, but ensures the confidentiality and integrity of data. Therefore, we have designed, a hardware-assisted secure machine learning training framework that protects data security during the training process. We have analyzed the typical characteristics of machine learning applications and characterized through extensive experiments. Our findings demonstrate that introducing security guarantees causes performance degradation, which provides a feasible optimization direction in the near future.</t>
  </si>
  <si>
    <t>Cai, Zinuo; Ren, Bojun; Ma, Ruhui; Guan, Haibing; Tian, Mengke; Wang, Yong</t>
  </si>
  <si>
    <t>Ma, RH (corresponding author), Shanghai Jiao Tong Univ, Sch Elect Informat &amp; Elect Engn, Shanghai 200240, Peoples R China.</t>
  </si>
  <si>
    <t>ruhuima@sjtu.edu.cn; mtianaa@connect.ust.hk; ivywillkk@gmail.com</t>
  </si>
  <si>
    <t>Shanghai Key Laboratory of Scalable Computing and Systems; Internet of Things Special Subject Program; China Institute of loT (Wuxi); Wuxi loT Innovation Promotion Center; Eighth Research Institute of China Aerospace Science and Technology Group Co., Ltd. [USCAST2022-17]; Jiangsu Key Laboratory of Media Design and Software Technology, Jiangnan University [21ST0101]</t>
  </si>
  <si>
    <t>Shanghai Key Laboratory of Scalable Computing and Systems; Internet of Things Special Subject Program; China Institute of loT (Wuxi); Wuxi loT Innovation Promotion Center; Eighth Research Institute of China Aerospace Science and Technology Group Co., Ltd.; Jiangsu Key Laboratory of Media Design and Software Technology, Jiangnan University</t>
  </si>
  <si>
    <t>This work was supported in part by the Shanghai Key Laboratory of Scalable Computing and Systems; in part by the Internet of Things Special Subject Program; in part by the China Institute of loT (Wuxi); in part by the Wuxi loT Innovation Promotion Center; in part by the Eighth Research Institute of China Aerospace Science and Technology Group Co., Ltd., under Grant USCAST2022-17; and in part by the Jiangsu Key Laboratory of Media Design and Software Technology, Jiangnan University, through the Open Project, under Grant 21ST0101.</t>
  </si>
  <si>
    <t>[Cai, Zinuo; Ren, Bojun; Ma, Ruhui; Guan, Haibing] Shanghai Jiao Tong Univ, Sch Elect Informat &amp; Elect Engn, Shanghai 200240, Peoples R China; [Tian, Mengke; Wang, Yong] Beijing Microelect Technol Inst, Beijing 100076, Peoples R China</t>
  </si>
  <si>
    <t>Shanghai Jiao Tong University</t>
  </si>
  <si>
    <t>GUARDIAN: A Hardware-Assisted Distributed Framework to Enhance Deep Learning Security</t>
  </si>
  <si>
    <t>IEEE TRANSACTIONS ON COMPUTATIONAL SOCIAL SYSTEMS</t>
  </si>
  <si>
    <t>Machine learning; Security; Training; Data models; Codes; Hardware; Computational modeling; Cloud computing; distributed machine learning; Intel Software Guard Extension (SGX); security</t>
  </si>
  <si>
    <t>guan, haibing/G-8142-2011</t>
  </si>
  <si>
    <t>guan, haibing/0000-0002-4714-7400; Ma, Ruhui/0000-0001-9592-8490; Cai, Zinuo/0000-0001-9373-8474</t>
  </si>
  <si>
    <t>2329-924X</t>
  </si>
  <si>
    <t>IEEE T COMPUT SOC SY</t>
  </si>
  <si>
    <t>IEEE Trans. Comput. Soc. Syst.</t>
  </si>
  <si>
    <t>3012</t>
  </si>
  <si>
    <t>3020</t>
  </si>
  <si>
    <t>10.1109/TCSS.2023.3262289</t>
  </si>
  <si>
    <t>http://dx.doi.org/10.1109/TCSS.2023.3262289</t>
  </si>
  <si>
    <t>CE5H8</t>
  </si>
  <si>
    <t>WOS:000967315100001</t>
  </si>
  <si>
    <t>Pigac, T</t>
  </si>
  <si>
    <t>Digital human twins (DHTs), powered by large language models (LLMs), are transforming industries such as healthcare and finance by mimicking human behaviors, preferences, and decision-making processes. While their adoption offers unprecedented personalization and engagement, it also raises significant ethical concerns, particularly regarding transparency. Ensuring users understand how these systems function is critical to fostering trust and accountability. This study explores transparency in LLM-powered DHTs through qualitative analysis of 30 semi-structured interviews with users across diverse sectors. The findings reveal critical challenges, including algorithmic opacity, data privacy vulnerabilities, and threats to user autonomy. Participants consistently expressed a need for clear disclosures about data practices and emphasized the importance of robust ethical safeguards to prevent misuse. The research highlights the tension between achieving transparency and maintaining the seamless functionality of DHT systems. It underscores the risks of oversimplifying algorithmic processes while pointing out the erosion of trust caused by opaque operations. To address these challenges, the study proposes actionable strategies, including tiered transparency models, enhanced regulatory oversight, and user-centric design principles. By bridging ethical principles with practical applications, this research provides a roadmap for fostering responsible AI innovation. It advances the discourse on ethical AI by addressing transparency challenges in LLM-powered DHTs, emphasizing the need for systems that uphold trust, accountability, and user autonomy.</t>
  </si>
  <si>
    <t>Pigac, Tilen</t>
  </si>
  <si>
    <t>Pigac, T (corresponding author), Hong Kong Metropolitan Univ, Hong Kong, Peoples R China.</t>
  </si>
  <si>
    <t>tpigac@hkmu.edu.hk</t>
  </si>
  <si>
    <t>[Pigac, Tilen] Hong Kong Metropolitan Univ, Hong Kong, Peoples R China</t>
  </si>
  <si>
    <t>Hong Kong Metropolitan University</t>
  </si>
  <si>
    <t>Transparency in large language model (LLM)-powered digital human twins: the AI ethics perspective</t>
  </si>
  <si>
    <t>Digital human twins; AI ethics; Transparency; LLM; Data privacy; Personalization</t>
  </si>
  <si>
    <t>Pigac, Tilen/QOB-3633-2026</t>
  </si>
  <si>
    <t>2109</t>
  </si>
  <si>
    <t>10.1007/s00146-025-02617-y</t>
  </si>
  <si>
    <t>http://dx.doi.org/10.1007/s00146-025-02617-y</t>
  </si>
  <si>
    <t>WOS:001590038300001</t>
  </si>
  <si>
    <t>Yusoff, H</t>
  </si>
  <si>
    <t>Artificial intelligence (A'I)' systems are increasingly used in high-stakes contexts such as healthcare, where their application can directly public trust. In recognition of these stakes, the accompanying risks, and the promised gains of AI systems, the Australian Government has issued a set of policy documents revealing its intention to enact horizontal AI legislation in pursuit of its opaque 'Safe and Responsible' AI agenda. In doing so the Government takes express inspiration from the newly enacted European Artificial Intelligence Act, favouring a similar riskbased framework, embedding product safety principles, and proposing regulatory features compromised by a pro-industry objective. These are insufficient to protect against the unpredictable nature and complex risks posed by health-related AI systems. This article seeks to inform Australia's policy choices, not only by critiquing the European framework, but by arguing that inspiration should be drawn from another legislative scheme reflecting over two decades of national experience regulating a comparably high-risk and unpredictable technology: gene technology as regulated under the Gene Technology the Gene Technology Act takes a precautionary, high-touch, and granular approach to regulating risk and achieves this by centralising risk assessment through evidence-based decision-making with significant public participation and accountability. Australia still has the opportunity to overcome deficiencies in the Artificial Intelligence understands AI technologies, while also introducing the rigorous in a responsible and safe manner.</t>
  </si>
  <si>
    <t>Yusoff, Haris</t>
  </si>
  <si>
    <t>Yusoff, H (corresponding author), Univ Western Australia, Crawley, Australia.; Yusoff, H (corresponding author), UCL, London, England.</t>
  </si>
  <si>
    <t>[Yusoff, Haris] Univ Western Australia, Crawley, Australia; [Yusoff, Haris] UCL, London, England</t>
  </si>
  <si>
    <t>University of Western Australia; University of London; University College London</t>
  </si>
  <si>
    <t>REGULATING HIGH-RISK TECHNOLOGIES: COMPARING REGULATORY APPROACHES TO ARTIFICIAL INTELLIGENCE AND GENE TECHNOLOGY</t>
  </si>
  <si>
    <t>UNIVERSITY OF WESTERN AUSTRALIA LAW REVIEW</t>
  </si>
  <si>
    <t>AUSTRALIA; CHALLENGES</t>
  </si>
  <si>
    <t>UNIV WESTERN AUSTRALIA, LAW SCH</t>
  </si>
  <si>
    <t>PERTH</t>
  </si>
  <si>
    <t>35 STIRLING HWY, PERTH, WA 6009, AUSTRALIA</t>
  </si>
  <si>
    <t>0042-0328</t>
  </si>
  <si>
    <t>UNIV WEST AUST LAW R</t>
  </si>
  <si>
    <t>Univ. West. Aust. Law Rev.</t>
  </si>
  <si>
    <t>CL9OT</t>
  </si>
  <si>
    <t>WOS:001668934500008</t>
  </si>
  <si>
    <t>Olagoke, A; Jacobson, LT; Babajide, O; Qi, ZW</t>
  </si>
  <si>
    <t>AI-enabled chatbots are increasingly positioned as a remedy for breastfeeding support gaps in rural maternal health, offering private, immediate assistance amid persistent shortages of lactation specialists and limited access to care. However, their clinical promise remains constrained by the probabilistic nature of large language models, which can generate hallucinations that undermine maternal-infant safety. This article argues that safely integrating AI into breastfeeding support requires treating hallucination not as a singular technical flaw but as a systems-level risk shaped by design, governance, and use context. We identified key risks of AI systems that could result in hallucination such as, false citations, transcription errors, prompt injection and jailbreaking, and incorrect generalization or personalization, and analyze how each error introduces distinct safety vulnerabilities. Drawing from systems thinking, we outline mitigation strategies including retrieval-augmented generation grounded in authoritative breastfeeding sources, layered guardrails, adversarial testing, uncertainty-aware messaging, and domain-specific fine-tuning. By linking AI system design choices to downstream health consequences in resource-constrained settings, this paper reframes AI-assisted breastfeeding support as a governance challenge central to equitable, safe maternal health innovation.</t>
  </si>
  <si>
    <t>Olagoke, Ayokunle; Jacobson, Lisette T.; Babajide, Opeyemi; Qi, Ziwei</t>
  </si>
  <si>
    <t>Olagoke, A (corresponding author), Univ Kansas, Sch Med Wichita, Dept Populat Hlth, Wichita, KS 67214 USA.</t>
  </si>
  <si>
    <t>aolagoke@kumc.edu</t>
  </si>
  <si>
    <t>[Olagoke, Ayokunle; Jacobson, Lisette T.] Univ Kansas, Sch Med Wichita, Dept Populat Hlth, Wichita, KS 67214 USA; [Jacobson, Lisette T.] Univ Kansas, Sch Med Wichita, Dept Obstet &amp; Gynecol, Wichita, KS 67214 USA; [Babajide, Opeyemi] Drexel Univ, Dornsife Sch Publ Hlth, Dept Community Hlth &amp; Prevent, 3215 Market St, Philadelphia, PA 19104 USA; [Babajide, Opeyemi] AI Council Publ Good Montgomery Cty, Norristown, PA 19401 USA; [Qi, Ziwei] Ft Hays State Univ, Criminal Justice Program, Hays, KS 67601 USA</t>
  </si>
  <si>
    <t>University of Kansas; University of Kansas Medical Center; University of Kansas; University of Kansas Medical Center; Drexel University</t>
  </si>
  <si>
    <t>Building Safe AI Chatbots for Rural Mothers Seeking Breastfeeding Support: Understanding Hallucinations and How to Mitigate Them</t>
  </si>
  <si>
    <t>SOCIAL SCIENCES-BASEL</t>
  </si>
  <si>
    <t>generative artificial intelligence; breastfeeding support; hallucination risk; rural maternal health; AI governance</t>
  </si>
  <si>
    <t>/HQZ-2835-2023</t>
  </si>
  <si>
    <t>2076-0760</t>
  </si>
  <si>
    <t>SOC SCI-BASEL</t>
  </si>
  <si>
    <t>Soc. Sci.-Basel</t>
  </si>
  <si>
    <t>10.3390/socsci15020119</t>
  </si>
  <si>
    <t>http://dx.doi.org/10.3390/socsci15020119</t>
  </si>
  <si>
    <t>EJ0XN</t>
  </si>
  <si>
    <t>WOS:001702282200001</t>
  </si>
  <si>
    <t>Monlezun, DJ; Omutoko, L; Oduor, P; Kokonya, D; Rayel, J; Sotomayor, C; Girault, MI; Uriarte, MED; Sinyavskiy, O; Aksamit, T; Dugani, SB; Garcia, A; Gallagher, C</t>
  </si>
  <si>
    <t>The rising incidence of noncommunicable diseases, combined with the costs of mitigating climate change, sovereign debt and regional conflicts, is undermining global health security and threatening progress towards achieving the sustainable development goals of the United Nations. The negative impact of these polycrises is disproportionately borne by low- and middle-income countries, which have the highest disease burden and lowest health-care spending. Health digitalization is emerging as a promising countermeasure, accelerated by artificial intelligence (AI) software and quantum computing hardware. We provide a multisector critical analysis of the three key enablers - governance, infrastructure and security - of the responsible AI-enabled digitalization for safe, affordable, equitable and sustainable healthcare systems in low- and middle-income countries. We consider leading use cases in public-private partnerships, democratized sovereign AI and embedded human security. Our analysis proposes that these use cases demonstrate how digital AI-accelerated global health may be advanced as human-centred managed strategic competition. We conducted our analysis through an inclusive range of theoretical perspectives and practical experience spanning academia, industry and practice across the world. We provide recommendations for the responsible management of the key enablers to accelerate global health for all. We anticipate that this paper will be useful for public health decision-makers, both in low- and middle-income countries leading local health digitalization, and in high-income countries supporting this transaction through their technologies, funding and knowledge exchange.</t>
  </si>
  <si>
    <t>Monlezun, Dominique J.; Omutoko, Lillian; Oduor, Patience; Kokonya, Donald; Rayel, John; Sotomayor, Claudia; Girault, Maria Ines; Uriarte, Maria Elizabeth De los Rios; Sinyavskiy, Oleg; Aksamit, Timothy; Dugani, Sagar B.; Garcia, Alberto; Gallagher, Colleen</t>
  </si>
  <si>
    <t>Monlezun, DJ (corresponding author), Mayo Clin, Div Hosp Internal Med, 200 First St SW, Rochester, MN 55905 USA.</t>
  </si>
  <si>
    <t>Monlezun.Dominique@mayo.edu</t>
  </si>
  <si>
    <t>National Institutes of Health National Institute on Minority Health and Health Disparities [NIH K23 MD016230]</t>
  </si>
  <si>
    <t>National Institutes of Health National Institute on Minority Health and Health Disparities</t>
  </si>
  <si>
    <t>Funding: SBD was supported by the National Institutes of Health National Institute on Minority Health and Health Disparities (NIH K23 MD016230) .</t>
  </si>
  <si>
    <t>[Monlezun, Dominique J.; Dugani, Sagar B.] Mayo Clin, Div Hosp Internal Med, 200 First St SW, Rochester, MN 55905 USA; [Omutoko, Lillian] Univ Nairobi, Dept Educ Management Policy &amp; Curriculum Studies, Nairobi, Kenya; [Oduor, Patience] Univ Global Hlth Equ, Clin Trials Unit, Kigali, Rwanda; [Kokonya, Donald] Masinde Muliro Univ, Sch Med, Kakamega, Kenya; [Rayel, John] Bicol Univ, Coll Sci, Legazpi City, Philippines; [Sotomayor, Claudia] Georgetown Univ, Pellegrino Ctr Clin Bioeth, Washington, DC USA; [Girault, Maria Ines; Uriarte, Maria Elizabeth De los Rios; Gallagher, Colleen] Univ Anahuac Mexico, Fac Bioeth, Mexico City, Mexico; [Sinyavskiy, Oleg] Asfendiyarov Kazakh Natl Med Univ, Dept Publ Hlth, Alma Ata, Kazakhstan; [Aksamit, Timothy] Mayo Clin, Div Pulm Med &amp; Crit Care Med, Rochester, MN USA; [Garcia, Alberto] Ateneo Pontificio Regina Apostolorum, Sch Bioeth, Rome, Italy</t>
  </si>
  <si>
    <t>Mayo Clinic; University of Nairobi; Bicol University; Georgetown University; Asfendiyarov Kazakh National Medical University; Mayo Clinic</t>
  </si>
  <si>
    <t>Digitalization of health care in low- and middle-income countries</t>
  </si>
  <si>
    <t>BULLETIN OF THE WORLD HEALTH ORGANIZATION</t>
  </si>
  <si>
    <t>ODUOR, PATIENCE/0000-0001-9877-4466; Omutoko, Lillian/0009-0007-6139-5412</t>
  </si>
  <si>
    <t>WORLD HEALTH ORGANIZATION</t>
  </si>
  <si>
    <t>GENEVA 27</t>
  </si>
  <si>
    <t>MARKETING AND DISSEMINATION, CH-1211 GENEVA 27, SWITZERLAND</t>
  </si>
  <si>
    <t>0042-9686</t>
  </si>
  <si>
    <t>1564-0604</t>
  </si>
  <si>
    <t>B WORLD HEALTH ORGAN</t>
  </si>
  <si>
    <t>Bull. World Health Organ.</t>
  </si>
  <si>
    <t>FEB 1 2025</t>
  </si>
  <si>
    <t>10.2471/BLT.24.291643</t>
  </si>
  <si>
    <t>http://dx.doi.org/10.2471/BLT.24.291643</t>
  </si>
  <si>
    <t>4XK5L</t>
  </si>
  <si>
    <t>39882493</t>
  </si>
  <si>
    <t>WOS:001528957100011</t>
  </si>
  <si>
    <t>Nabukenya, S; Wasswa, W; Twimukye, A; Mwaka, ES</t>
  </si>
  <si>
    <t>IntroductionThe ability of artificial intelligence (AI) to analyze data in real-time and improve patients' diagnosis has led to a rapid growth of AI- health research in Uganda. Yet, there are no national guidelines on how to conduct AI-research in an ethical manner. Recent studies have reported that ethics committees lack resources, expertise and training to appropriately address the risks that may arise from AI health research. This study aimed to develop a guide for ethical review of the development of AI systems in health research in Uganda.MethodsThis study employed an exploratory qualitative approach between March - October 2024, involving 35 stakeholders in two public universities in Uganda. In-depth interviews were conducted with twelve members of ethics committees who had ever reviewed AI- protocols, six bioethicists, eight health researchers and nine members of AI-development teams. A thematic approach was used to interpret the results.ResultsSix themes emerged from this data including promoting social value and equity; ensuring participants and end-user autonomy and safety; addressing data acquisition, access and sharing gaps; ensuring responsible data use and data minimization; promoting responsible AI and fostering collaborative partnerships. Respondents opined that AI holds promise for improving health research. However, its successful implementation demands ethical considerations to minimize harm to participants and end-users.ConclusionOverall, respondents felt that developing a guide for ethics review of AI-research may minimize potential harms that could arise from using AI tools in research. We recommend training of ethics committees on key ethical considerations for development of responsible AI tools.</t>
  </si>
  <si>
    <t>Nabukenya, Sylvia; Wasswa, William; Twimukye, Adelline; Mwaka, Erisa S.</t>
  </si>
  <si>
    <t>Nabukenya, S (corresponding author), Makerere Univ, Coll Hlth Sci, POB 7062, Kampala, Uganda.; Nabukenya, S (corresponding author), Makerere Univ, Infect Dis Inst, POB 22418, Kampala, Uganda.</t>
  </si>
  <si>
    <t>nabukenyas89@gmail.com</t>
  </si>
  <si>
    <t>Fogarty International Center; Global Forum for Bioethics in Research; NIH/FIC; University of KwaZulu-Natal (UKZN)</t>
  </si>
  <si>
    <t>Fogarty International Center (United States Department of Health &amp; Human Services, National Institutes of Health (NIH) - USA, NIH Fogarty International Center (FIC)); Global Forum for Bioethics in Research; NIH/FIC (United States Department of Health &amp; Human Services, National Institutes of Health (NIH) - USA, NIH Fogarty International Center (FIC)); University of KwaZulu-Natal (UKZN)</t>
  </si>
  <si>
    <t>This work was done under the fellowship awarded by the Global Forum for Bioethics in Research (GFBR- 2023), which received supplementary funding from the NIH/FIC to SARETI, a project of the University of KwaZulu-Natal (UKZN).</t>
  </si>
  <si>
    <t>[Nabukenya, Sylvia; Mwaka, Erisa S.] Makerere Univ, Coll Hlth Sci, POB 7062, Kampala, Uganda; [Wasswa, William] Mbarara Univ Sci &amp; Technol, Mbarara, Uganda; [Nabukenya, Sylvia; Twimukye, Adelline] Makerere Univ, Infect Dis Inst, POB 22418, Kampala, Uganda</t>
  </si>
  <si>
    <t>Makerere University; Mbarara University of Science &amp; Technology; Makerere University</t>
  </si>
  <si>
    <t>Strengthening ethics review of the development of artificial intelligence (AI) systems in health research: a guide for research ethics committees in Uganda</t>
  </si>
  <si>
    <t>Artificial intelligence; Research ethics committees; Guide; Health research; Ethics review</t>
  </si>
  <si>
    <t>QUALITATIVE RESEARCH</t>
  </si>
  <si>
    <t>william, wasswa/HPD-7802-2023; Twimukye, Adelline/IUP-0270-2023; Mwaka, Erisa/C-2009-2018</t>
  </si>
  <si>
    <t>Nabukenya, Sylvia/0000-0001-5868-7376</t>
  </si>
  <si>
    <t>10.1186/s12910-025-01314-1</t>
  </si>
  <si>
    <t>http://dx.doi.org/10.1186/s12910-025-01314-1</t>
  </si>
  <si>
    <t>8PH6V</t>
  </si>
  <si>
    <t>41094642</t>
  </si>
  <si>
    <t>WOS:001594099700002</t>
  </si>
  <si>
    <t>Elyassirad, D; Gheiji, B; Vatanparast, M; Ahmadzadeh, AM; Agah, SAA; Moassefi, M; Tavakoli, M; Faghani, S</t>
  </si>
  <si>
    <t>The objective of this study is to quantify uncertainty in vision-language model (VLM)-based automated radiology report drafting (ARRD) to support trustworthy clinical deployment. In this study, we developed CONRep in two settings: label-based and sentence-based. In the label-based pipeline, we used the ChestX-Det10 dataset, comprising 3001 chest radiographs with radiologist annotations for ten thoracic pathologies. Two VLM paradigms were evaluated for classification, and conformal prediction (CP) was applied to stratify outputs into certain (high-confidence) and uncertain (low-confidence) subgroups at three significance levels (alpha = 0.05, 0.1, 0.2). Classification performance was compared between subgroups using the area under the receiver operating characteristic curve (AUROC). In the sentence-based pipeline, experiments were conducted on the Open-I chest X-ray dataset (3660 cases), using radiologist-written impression sections as ground-truth (GT). A decoder-only VLM generated impression texts, and CP was applied to categorize outputs as certain or uncertain/highly uncertain subgroups. Semantic alignment between generated and GT impressions was quantified using cosine similarity computed with a contrastive VLM and compared between subgroups. Additionally, an independent large language model (LLM) was used to score semantic agreement between generated and GT impressions and to judge clinical concordance, providing an evaluation independent of the scoring embedding. Across both pipelines, outputs classified as certain demonstrated significantly higher agreement with GT than uncertain outputs. In the label-based experiments, the certain subset achieved significantly higher AUROCs across multiple findings (P &lt; 0.05). In the sentence-based experiments, certain cases showed significantly greater semantic similarity between generated and reference impressions (P &lt; 0.001). This was corroborated by the independent LLM evaluator, which assigned significantly higher agreement scores and match rates to certain cases than to uncertain/highly uncertain cases (P &lt; 0.001). CONRep provides a model-agnostic framework for uncertainty-aware ARRD using CP. By quantifying predictive uncertainty, CONRep enhances the transparency, reliability, and clinical usability of VLM-based ARRD systems, supporting safer integration into radiology workflows.</t>
  </si>
  <si>
    <t>Elyassirad, Danial; Gheiji, Benyamin; Vatanparast, Mahsa; Ahmadzadeh, Amir Mahmoud; Asef Agah, Seyed Amir; Moassefi, Mana; Tavakoli, Meysam; Faghani, Shahriar</t>
  </si>
  <si>
    <t>Faghani, S (corresponding author), Univ Penn, Dept Radiol, 3400 Spruce St, Philadelphia, PA 19104 USA.; Faghani, S (corresponding author), Mayo Clin, Dept Radiol, Radiol Informat Lab, Rochester, MN 55905 USA.</t>
  </si>
  <si>
    <t>faghani.shahriar@mayo.edu</t>
  </si>
  <si>
    <t>[Elyassirad, Danial; Gheiji, Benyamin; Vatanparast, Mahsa] Mashhad Univ Med Sci, Student Res Comm, Fac Med, Mashhad, Iran; [Ahmadzadeh, Amir Mahmoud] Mashhad Univ Med Sci, Sch Med, Dept Radiol, Mashhad, Iran; [Asef Agah, Seyed Amir] Univ Tehran Med Sci, Sch Med, Tehran, Iran; [Asef Agah, Seyed Amir] Univ Tehran Med Sci, Adv Diagnost &amp; Intervent Radiol Res Ctr, Tehran, Iran; [Moassefi, Mana] Dept Radiol, Mayo Clin, Rochester, MN USA; [Tavakoli, Meysam] Emory Univ, Winship Canc Inst, Dept Radiat Oncol, Atlanta, GA USA; [Faghani, Shahriar] Univ Penn, Dept Radiol, 3400 Spruce St, Philadelphia, PA 19104 USA; [Faghani, Shahriar] Mayo Clin, Dept Radiol, Radiol Informat Lab, Rochester, MN 55905 USA</t>
  </si>
  <si>
    <t>Mashhad University of Medical Sciences; Mashhad University of Medical Sciences; Tehran University of Medical Sciences; Tehran University of Medical Sciences; Mayo Clinic; Emory University; University of Pennsylvania; Mayo Clinic</t>
  </si>
  <si>
    <t>CONRep: Uncertainty-Aware Vision-Language Report Drafting Using Conformal Prediction</t>
  </si>
  <si>
    <t>Vision-Language models; Uncertainty quantification; Radiology report drafting; Trustworthy AI; Conformal prediction</t>
  </si>
  <si>
    <t>10.1007/s10278-026-02179-5</t>
  </si>
  <si>
    <t>http://dx.doi.org/10.1007/s10278-026-02179-5</t>
  </si>
  <si>
    <t>ML7MU</t>
  </si>
  <si>
    <t>42573684</t>
  </si>
  <si>
    <t>WOS:001845247400001</t>
  </si>
  <si>
    <t>Liu, DP; Yoon, VY; Sen, AA</t>
  </si>
  <si>
    <t>Conversational agents (CAs), such as chatbots and voice assistants, are increasingly integrated into organizational processes, yet research remains fragmented. We conduct a literature review from 2015 to June 2025 across leading information systems journals to examine CA application and governance within organizational contexts. We synthesize and analyze the articles along three interconnected dimensions: CA application and affordance, outlining how CAs are designed and deployed across diverse organizational functions; user perception and experience, showing how the user-agent interactions elicit users' cognitive and affective responses that ultimately drive CA success or failure; and outcomes and ethics in relation to CA governance, revealing CAs' tangible impacts and inherent ethical tensions. Synthesizing these insights, we discuss the evolution of CAs from peripheral assistants to core service providers, a trajectory defined by collaboration and tensions inherent in human-CA partnerships. We present an integrative framework that positions CAs as strategic organizational capabilities, highlighting the anthropomorphism dilemma in CA design and the trust and autonomy paradoxes in human-CA collaboration. Our research presents a roadmap outlining future directions of conversational technologies and provides actionable guidelines for practitioners seeking to embed CAs effectively, ethically, and sustainably within complex organizational settings.</t>
  </si>
  <si>
    <t>Liu, Dapeng; Yoon, Victoria Y.; Sen, Abraham Abby</t>
  </si>
  <si>
    <t>Yoon, VY (corresponding author), Virginia Commonwealth Univ, Sch Business, Dept Informat Syst, Richmond, VA 23284 USA.</t>
  </si>
  <si>
    <t>vyyoon@vcu.edu; dapeng_liu@baylor.edu; aabbysen@wtamu.edu</t>
  </si>
  <si>
    <t>[Liu, Dapeng] Baylor Univ, Hankamer Sch Business, Dept Informat Syst &amp; Business Analyt, Waco, TX 76706 USA; [Yoon, Victoria Y.] Virginia Commonwealth Univ, Sch Business, Dept Informat Syst, Richmond, VA 23284 USA; [Sen, Abraham Abby] West Texas A&amp;M Univ, Paul &amp; Virginia Engler Coll Business, Dept Comp Informat &amp; Decis Management, Canyon, TX 79016 USA</t>
  </si>
  <si>
    <t>Baylor University; Virginia Commonwealth University; West Texas A&amp;M University; Texas A&amp;M University System; West Texas A&amp;M University</t>
  </si>
  <si>
    <t>Embedding CAs in Organizational Ecosystems: Accomplishments and Future Research</t>
  </si>
  <si>
    <t>IEEE TRANSACTIONS ON ENGINEERING MANAGEMENT</t>
  </si>
  <si>
    <t>Ethics; Information systems; Chatbots; Systematic literature review; Ecosystems; Collaboration; Medical services; Large language models; Generative AI; Anthropomorphism; AI governance; anthropomorphism dilemma; conversational agents (CAs); organizational ecosystems; TEM forum; trust paradox</t>
  </si>
  <si>
    <t>Liu, Dapeng/AAZ-1252-2020</t>
  </si>
  <si>
    <t>0018-9391</t>
  </si>
  <si>
    <t>1558-0040</t>
  </si>
  <si>
    <t>IEEE T ENG MANAGE</t>
  </si>
  <si>
    <t>IEEE Trans. Eng. Manage.</t>
  </si>
  <si>
    <t>2766</t>
  </si>
  <si>
    <t>2777</t>
  </si>
  <si>
    <t>10.1109/TEM.2026.3675417</t>
  </si>
  <si>
    <t>http://dx.doi.org/10.1109/TEM.2026.3675417</t>
  </si>
  <si>
    <t>Business; Engineering, Industrial; Management</t>
  </si>
  <si>
    <t>Business &amp; Economics; Engineering</t>
  </si>
  <si>
    <t>HL2XX</t>
  </si>
  <si>
    <t>WOS:001756744600006</t>
  </si>
  <si>
    <t>Leo, M; Tan, FDY; Miao, TQ; Anand, G</t>
  </si>
  <si>
    <t>Agentic artificial intelligence (AI) systems are expected to have transformative impacts across sectors, including critical areas like finance and healthcare. Their architectural complexity, autonomous decision-making abilities, adaptive behaviors, and capacity to interact with the environment using tools are also likely to introduce new and poorly understood security risks. Existing security research and risk management frameworks are still in the early stages of development and are insufficient for addressing the complex vulnerabilities unique to agentic AI. This paper fills this important gap by presenting a comprehensive, layered risk assessment methodology that combines traditional threat modeling. The methodology recognizes that a threat to an agentic AI system not only compromises conventional security properties but also affects the trustworthiness of the system itself. Our method systematically maps and evaluates threats across different architectural layers of agentic AI, assessing how violations of trustworthiness impact the system to help prioritize risk reduction efforts. We demonstrate how this method works through a detailed case study of "RoboPMS," a multi-agent autonomous portfolio management system in the financial sector. The analysis demonstrates how risks can be more effectively evaluated, understood, and prioritized to inform targeted mitigation strategies. By offering a structured, actionable framework for identifying, classifying, and managing risks in agentic AI systems, this work advances both academic knowledge and practical governance. The methodology can be adapted to various domains and is designed to help practitioners, risk managers, and policymakers ensure the secure and trustworthy integration of agentic AI into organizational information systems.</t>
  </si>
  <si>
    <t>Leo, Martin; Tan, Freedy; Miao, Tianqi; Anand, Guru</t>
  </si>
  <si>
    <t>Leo, M (corresponding author), Natl Univ Singapore, Off Risk Management &amp; Compliance, 21 Lower Kent Ridge Rd, Singapore 119077, Singapore.</t>
  </si>
  <si>
    <t>martinl@nus.edu.sg</t>
  </si>
  <si>
    <t>[Leo, Martin; Tan, Freedy; Miao, Tianqi] Natl Univ Singapore, Off Risk Management &amp; Compliance, 21 Lower Kent Ridge Rd, Singapore 119077, Singapore</t>
  </si>
  <si>
    <t>National University of Singapore</t>
  </si>
  <si>
    <t>From threat to trust: assessing security risks of agentic AI systems</t>
  </si>
  <si>
    <t>Agentic AI; Threat Modeling; Risk Management; AI Governance; Trustworthiness; Security assessment</t>
  </si>
  <si>
    <t>10.1007/s10207-025-01185-y</t>
  </si>
  <si>
    <t>http://dx.doi.org/10.1007/s10207-025-01185-y</t>
  </si>
  <si>
    <t>AO4TL</t>
  </si>
  <si>
    <t>WOS:001652966400001</t>
  </si>
  <si>
    <t>Mahanta, P; Bhattacharya, M; Habermeier, J</t>
  </si>
  <si>
    <t>PurposeThis study aims to address the growing challenge of balancing AI complexity with usability in business applications, particularly in the context of generative AI (GAI). As enterprises increasingly embed AI into core processes, issues around user control, transparency and trust hinder adoption. The article seeks to develop a conceptual framework that integrates user experience (UX) design principles with AI capabilities to enhance usability, ethical compliance and user engagement. By aligning AI system design with user needs and business goals, the research provides actionable strategies to foster responsible AI adoption across industries like finance, healthcare and e-commerce.Design/methodology/approachThe study follows a Design Science Research methodology, structured across three cycles: relevance, rigor, and design. It includes a systematic literature review, bibliometric analysis and expert interviews with personas like developers, UX designers, product managers and business transformation leads. Scenario-based feedback and pilot implementations were used to empirically validate the framework. The research employed tools like SCOPUS and Bibliometrix for literature curation and network visualization. Data from over 200 participants, including developers and managers, informed the refinement of a UX/UI framework that supports explainability, personalization, transparency and ethical governance for AI-driven business applications.FindingsThe research resulted in a validated UX/UI framework that bridges AI system complexity with usability and trust. Empirical validation through pilot projects showed improved developer velocity (up to 15%), enhanced customer satisfaction (30%) and higher system usability scores. The study found that incorporating patterns like "automation with control" and "data-driven decision support" led to better user understanding and adoption of AI features. Transparency, explainability and adaptive design were key to reducing resistance, especially among nontechnical users. The framework also integrates ethical principles, bias mitigation, user autonomy and accountability across AI lifecycle stages, enhancing long-term trust and system performance.Originality/valueThis research presents one of the first empirically validated frameworks that balances AI-driven system complexity with usability using a design science lens. Unlike prior models that focused solely on technical or ethical aspects, this study synthesizes AI evolution, HCI, enterprise readiness and UX theory into a practical, customizable toolkit for organizations. It offers role-based design patterns and metrics for trust, adoption and transparency. The originality lies in merging conceptual rigor with real-world applicability across diverse AI scenarios. It advances academic literature and provides practitioners with a roadmap for responsible AI deployment aligned with strategic, ethical and user-centric objectives.</t>
  </si>
  <si>
    <t>Mahanta, Prabal; Bhattacharya, Mousumi; Habermeier, Juergen</t>
  </si>
  <si>
    <t>Mahanta, P (corresponding author), Indian Inst Management Shillong, Shillong, India.</t>
  </si>
  <si>
    <t>mousumi@iimshillong.ac.in; prabal.phdwp23@iimshillong.ac.in; juergen.habermeier@sap.com</t>
  </si>
  <si>
    <t>[Mahanta, Prabal; Bhattacharya, Mousumi] Indian Inst Management Shillong, Shillong, India; [Habermeier, Juergen] SAP SE, Walldorf, Germany</t>
  </si>
  <si>
    <t>Indian Institute of Management (IIM System); Indian Institute of Management Shillong</t>
  </si>
  <si>
    <t>Balancing AI complexity with usability: a study of AI-based UX patterns in business applications</t>
  </si>
  <si>
    <t>INFORMATION TECHNOLOGY &amp; PEOPLE</t>
  </si>
  <si>
    <t>Innovation; User experience (UX); Complexity management; Technology adoption; Usability</t>
  </si>
  <si>
    <t>EXPLAINABLE ARTIFICIAL-INTELLIGENCE; EXPERIENCE</t>
  </si>
  <si>
    <t>Mahanta, Prabal/JNF-0004-2023</t>
  </si>
  <si>
    <t>Mahanta, Prabal/0009-0008-0338-8051</t>
  </si>
  <si>
    <t>0959-3845</t>
  </si>
  <si>
    <t>1758-5813</t>
  </si>
  <si>
    <t>INFORM TECHNOL PEOPL</t>
  </si>
  <si>
    <t>Inf. Technol. People</t>
  </si>
  <si>
    <t>10.1108/ITP-07-2025-1115</t>
  </si>
  <si>
    <t>http://dx.doi.org/10.1108/ITP-07-2025-1115</t>
  </si>
  <si>
    <t>FH8ZF</t>
  </si>
  <si>
    <t>WOS:001719141200001</t>
  </si>
  <si>
    <t>Peng, DL; Zhang, AL; Zhang, YL</t>
  </si>
  <si>
    <t>A study in China using data from the National Health Services Survey and the Cancer Registry examined factors influencing women's access to AI-assisted breast and cervical cancer screening. Analysis of data from 10,250 women aged 18-65 revealed that urban residence, higher education and income levels, and digital literacy significantly increased the likelihood of access to such screenings. Hospitals equipped with AI systems demonstrated substantially higher early detection rates. However, major barriers included distance to AI-enabled facilities and residence in western provinces. The study concludes that while AI improves diagnostic accuracy, access remains stratified along socioeconomic and geographic lines, necessitating digital infrastructure investments and equity-centered AI governance to ensure that all women benefit. (Afr J Reprod Health 2025; 29 [12s]: 86-92).</t>
  </si>
  <si>
    <t>Peng, Dongli; Zhang, Aili; Zhang, Yili</t>
  </si>
  <si>
    <t>Zhang, AL (corresponding author), Nanfang Coll, Sch Business, Guangzhou 510970, Peoples R China.</t>
  </si>
  <si>
    <t>sweetzal1357@gmail.com</t>
  </si>
  <si>
    <t>[Peng, Dongli] Wuxi Taihu Univ, Sch Business, Wuxi 214000, Jiangsu, Peoples R China; [Zhang, Aili] Nanfang Coll, Sch Business, Guangzhou 510970, Peoples R China</t>
  </si>
  <si>
    <t>Nanfang College Guangzhou</t>
  </si>
  <si>
    <t>Bridging digital divides: A quantitative assessment of equity, access, and determinants of AI adoption for women's reproductive cancer care in China</t>
  </si>
  <si>
    <t>AFRICAN JOURNAL OF REPRODUCTIVE HEALTH</t>
  </si>
  <si>
    <t>Artificial Intelligence; Digital Divide; Breast Cancer; Cervical Cancer; Reproductive Health; Health Equity</t>
  </si>
  <si>
    <t>WOMENS HEALTH &amp; ACTION RESEARCH CENTRE</t>
  </si>
  <si>
    <t>BENIN CITY</t>
  </si>
  <si>
    <t>IGUE-IHEYA VILLAGE, BENIN-LAGOS EXPRESS RD, PO BOX 10231, UGBOWO, BENIN CITY, EDO STATE 00000, NIGERIA</t>
  </si>
  <si>
    <t>1118-4841</t>
  </si>
  <si>
    <t>2141-3606</t>
  </si>
  <si>
    <t>AFR J REPROD HEALTH</t>
  </si>
  <si>
    <t>Afr. J. Reprod. Health</t>
  </si>
  <si>
    <t>10.29063/ajrh2025/v29i12s.9</t>
  </si>
  <si>
    <t>http://dx.doi.org/10.29063/ajrh2025/v29i12s.9</t>
  </si>
  <si>
    <t>CJ3TS</t>
  </si>
  <si>
    <t>41489253</t>
  </si>
  <si>
    <t>WOS:001667179800004</t>
  </si>
  <si>
    <t>Ntakolia, C; Priftis, D; Kotsis, K; Magklara, K; Charakopoulou-Travlou, M; Rannou, I; Ladopoulou, K; Koullourou, I; Tsalamanios, E; Lazaratou, E; Serdari, A; Grigoriadou, A; Sadeghi, N; Chiu, K; Giannopoulou, I</t>
  </si>
  <si>
    <t>The COVID-19 pandemic and its accompanying restrictions have significantly impacted people's lives globally. There is an increasing interest in examining the influence of this unprecedented situation on our mental well-being, with less attention towards the impact of the elongation of COVID-19-related measures on youth with a pre-existing psychiatric/developmental disorder. The majority of studies focus on individuals, such as students, adults, and youths, among others, with little attention being given to the elongation of COVID-19-related measures and their impact on a special group of individuals, such as children and adolescents with diagnosed developmental and psychiatric disorders. In addition, most of these studies adopt statistical methodologies to identify pair-wise relationships among factors, an approach that limits the ability to understand and interpret the impact of various factors. In response, this study aims to adopt an explainable machine learning approach to identify factors that explain the deterioration or amelioration of mood state in a youth clinical sample. The purpose of this study is to identify and interpret the impact of the greatest contributing features of mood state changes on the prediction output via an explainable machine learning pipeline. Among all the machine learning classifiers, the Random Forest model achieved the highest effectiveness, with 76% best AUC-ROC Score and 13 features. The explainability analysis showed that stress or positive changes derived from the imposing restrictions and COVID-19 pandemic are the top two factors that could affect mood state.</t>
  </si>
  <si>
    <t>Ntakolia, Charis; Priftis, Dimitrios; Kotsis, Konstantinos; Magklara, Konstantina; Charakopoulou-Travlou, Mariana; Rannou, Ioanna; Ladopoulou, Konstantina; Koullourou, Iouliani; Tsalamanios, Emmanouil; Lazaratou, Eleni; Serdari, Aspasia; Grigoriadou, Aliki; Sadeghi, Neda; Chiu, Kenny; Giannopoulou, Ioanna</t>
  </si>
  <si>
    <t>Ntakolia, C (corresponding author), Univ Mental Hlth Res Inst, Athens 11527, Greece.</t>
  </si>
  <si>
    <t>emtsalamanios@hotmail.com; aserntar@med.duth.gr; igianno@med.uoa.gr; kenny.chiu@uea.ac.uk; mariana.har.travlos@gmail.com; jkoullourou@gmail.com; kladopoulou@aglaiakyriakou.gr; agrigoriadou@ekepsye.gr; cntakolia@naval.ntua.gr; kmagklara@med.uoa.gr; prift.dim@gmail.com; konkotsis@uoi.gr; ioannarannou@gmail.com; elazar@med.uoa.gr; neda.sadeghi@nih.gov</t>
  </si>
  <si>
    <t>[Ntakolia, Charis; Priftis, Dimitrios; Charakopoulou-Travlou, Mariana; Rannou, Ioanna] Univ Mental Hlth Res Inst, Athens 11527, Greece; [Kotsis, Konstantinos] Univ Ioannina, Fac Med, Sch Hlth Sci, Dept Psychiat, Ioannina 45110, Greece; [Magklara, Konstantina; Lazaratou, Eleni] Natl &amp; Kapodistrian Univ Athens, Eginition Hosp, Dept Psychiat 1, Athens 11528, Greece; [Ladopoulou, Konstantina] Gen Childrens Hosp Pan &amp; Aglaia Kyriakou, Athens Child &amp; Adolescent Mental Hlth Ctr, Athens 11527, Greece; [Koullourou, Iouliani] G Hatzikosta Gen Hosp, Mental Hlth Ctr, Ioannina 45445, Greece; [Tsalamanios, Emmanouil] Asklepie Voulas Gen Hosp, Dept Child &amp; Adolescent Psychiat, Div Psychiat, Attica 16673, Greece; [Serdari, Aspasia] Democritus Univ Thrace, Med Sch, Dept Child &amp; Adolescent Psychiat, Univ Hosp Alexandroupolis, Alexandroupolis 68100, Greece; [Grigoriadou, Aliki] Hellen Ctr Mental Hlth &amp; Res, Athens 10683, Greece; [Sadeghi, Neda] Natl Inst Mental Hlth, Sect Clin &amp; Computat Psychiat, NIH, 6001 Execut Blvd,MSC 9663, Bethesda, MD 20892 USA; [Chiu, Kenny] Univ East Anglia, Norwich Med Sch, Norwich Res Pk, Norwich NR4 7TJ, England; [Giannopoulou, Ioanna] Natl &amp; Kapodistrian Univ Athens, Attikon Univ Hosp, Psychiat Dept 2, Athens 12462, Greece</t>
  </si>
  <si>
    <t>University of Ioannina; National &amp; Kapodistrian University of Athens; Democritus University of Thrace; National Institutes of Health (NIH) - USA; NIH National Institute of Mental Health (NIMH); University of East Anglia; National &amp; Kapodistrian University of Athens; University Hospital Attikon</t>
  </si>
  <si>
    <t>Explainable AI-Based Identification of Contributing Factors to the Mood State Change in Children and Adolescents with Pre-Existing Psychiatric Disorders in the Context of COVID-19-Related Lockdowns in Greece</t>
  </si>
  <si>
    <t>BIOMEDINFORMATICS</t>
  </si>
  <si>
    <t>COVID-19 pandemic; mental health; machine learning; explainability; children and adolescents</t>
  </si>
  <si>
    <t>MENTAL-HEALTH</t>
  </si>
  <si>
    <t>Serdari, Aspasia/AAK-7896-2021; Charakopoulou-Travlou, Mariana/KQU-6172-2024; /ABI-6371-2020; Chiu, Kin/HJO-8465-2023</t>
  </si>
  <si>
    <t>Kotsis, Konstantinos M/0000-0001-9830-1706; Chiu, Kin/0000-0001-8776-9864</t>
  </si>
  <si>
    <t>2673-7426</t>
  </si>
  <si>
    <t>BioMedInformatics</t>
  </si>
  <si>
    <t>NOV 7 2023</t>
  </si>
  <si>
    <t>1040</t>
  </si>
  <si>
    <t>1059</t>
  </si>
  <si>
    <t>10.3390/biomedinformatics3040062</t>
  </si>
  <si>
    <t>http://dx.doi.org/10.3390/biomedinformatics3040062</t>
  </si>
  <si>
    <t>Mathematical &amp; Computational Biology; Medical Informatics</t>
  </si>
  <si>
    <t>AB5AY</t>
  </si>
  <si>
    <t>WOS:001644192800001</t>
  </si>
  <si>
    <t>Alazmah, AS; Kaabi, HH; Abushanan, AF; Altuwalah, AS; Alshenaiber, RF; Abuelqomsan, MA; Hashem, QM</t>
  </si>
  <si>
    <t>Background Artificial intelligence (AI) is transforming healthcare, including dentistry, by enhancing diagnostics, treatment planning, and patient care; therefore, understanding dental students' perceptions of AI is essential for integrating AI education into dental curricula. This study aimed to assess the knowledge, attitudes, and perceptions of AI among dental students and interns in Saudi Arabia to identify gaps and provide insights that may guide future curriculum planning. Methods Fourth- and fifth-year dental students and interns from three dental schools in Saudi Arabia completed a validated questionnaire to assess their knowledge, perceptions, and attitudes toward AI. The data were analysed using descriptive and inferential statistics, including the chi-square test with a p value &lt; 0.05. Results A total of 236 participants completed the survey (response rate: 86.44%) with most (95%) participants reporting familiarity with AI. Engagement in AI-related discussions varied, with higher participation among interns (85.1%) than fourth-year students (50%). AI's role in patient care was widely accepted, particularly in diagnostic imaging (70.8-76.6%) and patient referrals (54.3-61.1%). Most participants (77.8-92.9%) supported integrating AI into dental curricula but only 55.7-60.6% felt adequately prepared to work with AI tools. Ethical concerns and job displacement fears were also noted. Conclusions Despite high interest in AI, many dental students and interns lack adequate training and confidence in its use. Structured, hands-on education and ethical guidance are needed to bridge the gap between awareness and practical readiness, ensuring responsible AI integration into dental practice.</t>
  </si>
  <si>
    <t>Alazmah, Abdulfatah Samih; Kaabi, Hassan Hamed; Abushanan, AlWaleed Fahad; Altuwalah, Ahmed Sulaiman; Alshenaiber, Rafif Faisal; Abuelqomsan, Mohammed Ali; Hashem, Qamar Mohammadziad</t>
  </si>
  <si>
    <t>Alazmah, AS (corresponding author), Prince Sattam Bin Abdulaziz Univ, Coll Dent, Dept Pediat Dent, Al Kharj 11942, Saudi Arabia.</t>
  </si>
  <si>
    <t>hhkaabi@ksu.edu.sa; a.alazmah@psau.edu.sa; a.altowala@mu.edu.sa; a.abushanan@psau.edu.sa; m.abuelqomsan@psau.edu.sa; q.hashem@psau.edu.sa; r.alshnaiber@psau.edu.sa</t>
  </si>
  <si>
    <t>Prince Sattam bin Abdulaziz University [PSAU/2024/R/1445]</t>
  </si>
  <si>
    <t>This study is supported by Prince Sattam bin Abdulaziz University, project number (PSAU/2024/R/1445).</t>
  </si>
  <si>
    <t>[Alazmah, Abdulfatah Samih; Abushanan, AlWaleed Fahad] Prince Sattam Bin Abdulaziz Univ, Coll Dent, Dept Pediat Dent, Al Kharj 11942, Saudi Arabia; [Kaabi, Hassan Hamed] King Saud Univ, Coll Dent, Dept Oral Med &amp; Diagnost Sci, POB 60169, Riyadh 11545, Saudi Arabia; [Altuwalah, Ahmed Sulaiman] Majmaah Univ, Coll Dent, Dept Restorat &amp; Prosthodont Dent Sci, Al Majmaah 11952, Saudi Arabia; [Alshenaiber, Rafif Faisal] Prince Sattam Bin Abdulaziz Univ, Coll Dent, Dept Prosthet Dent Sci, Al Kharj 11942, Saudi Arabia; [Abuelqomsan, Mohammed Ali; Hashem, Qamar Mohammadziad] Prince Sattam Bin Abdulaziz Univ, Coll Dent, Dept Conservat Dent Sci, Al Kharj 11942, Saudi Arabia</t>
  </si>
  <si>
    <t>Prince Sattam Bin Abdulaziz University; King Saud University; Majmaah University; Prince Sattam Bin Abdulaziz University; Prince Sattam Bin Abdulaziz University</t>
  </si>
  <si>
    <t>Attitudes and perceptions of dental students and interns toward AI in dentistry: a cross-sectional survey in a Saudi population</t>
  </si>
  <si>
    <t>Artificial intelligence; Dental students; Dental curriculum; Perception; Dentistry; Dental education</t>
  </si>
  <si>
    <t>ARTIFICIAL-INTELLIGENCE; KNOWLEDGE; RIYADH; HEALTH</t>
  </si>
  <si>
    <t>KAABI, HASSAN/AAX-3688-2021; ALAZMAH, ABDULFATAH/OML-4280-2025; Altuwalah, Ahmed/LXA-4652-2024; Abuelqomsan, mohammed/AHE-7314-2022; Hashem, Qamar/KIG-5993-2024; Alshenaiber, Rafif/GOK-2543-2022</t>
  </si>
  <si>
    <t>KAABI, HASSAN/0000-0001-8622-4635</t>
  </si>
  <si>
    <t>JAN 3 2026</t>
  </si>
  <si>
    <t>10.1186/s12909-025-08524-6</t>
  </si>
  <si>
    <t>http://dx.doi.org/10.1186/s12909-025-08524-6</t>
  </si>
  <si>
    <t>DA7CX</t>
  </si>
  <si>
    <t>41484594</t>
  </si>
  <si>
    <t>WOS:001678942300002</t>
  </si>
  <si>
    <t>Hwang, BN; Puntha, P; Jitanugoon, S</t>
  </si>
  <si>
    <t>PurposeThis study aims to examine how artificial intelligence (AI) acts as a transformative force within service ecosystems, particularly in small and medium-sized enterprises (SMEs). It investigates the mechanisms through which AI drives service design innovation, optimizes stakeholder experiences, reduces systemic frictions and fosters inclusive outcomes that contribute to service excellence in resource-constrained contexts.Design/methodology/approachA sequential mixed-methods approach was employed. In-depth interviews with SME service leaders across healthcare, retail and hospitality sectors informed a structural model, which was subsequently tested using survey data from 444 SMEs. Thematic analysis and partial least squares structural equation modeling were used to integrate qualitative and quantitative insights.FindingsThe findings reveal that AI enables adaptive service design and personalized stakeholder engagement, while also minimizing technological and procedural frictions. Crucially, inclusivity emerged not as a byproduct but as a central mechanism linking AI integration to service excellence. However, realizing these benefits requires intentional design, human oversight and context-sensitive implementation - especially in digitally evolving, resource-constrained environments.Practical implicationsThis study provides actionable guidance for service managers and policymakers, emphasizing the importance of adopting hybrid AI-human models, implementing participatory design approaches and developing AI governance strategies that promote inclusivity. These practices support innovation while promoting sustained stakeholder engagement and long-term ecosystem adaptability.Originality/valueThis study reconceptualizes AI as a transformative operant resource that drives inclusivity-driven, stakeholder-centered service innovation in resource-constrained contexts. It contributes to service-dominant logic by illustrating how AI technologies support value co-creation across diverse actors within service ecosystems in resource-constrained contexts. By focusing on SMEs in a digitally evolving context in resource-constrained contexts, the study sheds light on how AI-enabled mechanisms can support inclusivity in service excellence, providing an empirically grounded framework relevant to both researchers and practitioners.</t>
  </si>
  <si>
    <t>Hwang, Bang-Ning; Puntha, Pittinun; Jitanugoon, Siriprapha</t>
  </si>
  <si>
    <t>Puntha, P (corresponding author), Natl Yunlin Univ Sci &amp; Technol, Yunlin, Taiwan.</t>
  </si>
  <si>
    <t>pittinun.puntha@gmail.com; siriprapha.jitanugoon@gmail.com; bnhuang@yuntech.edu.tw</t>
  </si>
  <si>
    <t>[Hwang, Bang-Ning; Puntha, Pittinun; Jitanugoon, Siriprapha] Natl Yunlin Univ Sci &amp; Technol, Yunlin, Taiwan</t>
  </si>
  <si>
    <t>National Yunlin University Science &amp; Technology</t>
  </si>
  <si>
    <t>Human-centric AI: transforming service ecosystems for inclusivity and excellence in resource-constrained contexts</t>
  </si>
  <si>
    <t>JOURNAL OF SERVICE THEORY AND PRACTICE</t>
  </si>
  <si>
    <t>Artificial intelligence; Service ecosystems; Inclusivity; Service excellence; SMEs; Stakeholder engagement; Friction reduction</t>
  </si>
  <si>
    <t>MODELING PLS-SEM; ARTIFICIAL-INTELLIGENCE; DISCRIMINANT VALIDITY; CUSTOMER VALUE; INNOVATION; PERSPECTIVE; RETHINKING; MANAGEMENT; FRAMEWORK; CREATION</t>
  </si>
  <si>
    <t>Heang, BangNing/KWT-8060-2024; Jitanugoon, Siriprapha/KCY-0287-2024; Puntha, Pittinun/KCY-0391-2024</t>
  </si>
  <si>
    <t>Jitanugoon, Siriprapha/0000-0001-6764-6779; Puntha, Pittinun/0000-0001-8766-603X</t>
  </si>
  <si>
    <t>356</t>
  </si>
  <si>
    <t>2055-6225</t>
  </si>
  <si>
    <t>J SERV THEOR PRACT</t>
  </si>
  <si>
    <t>J. Serv. Theory Pract.</t>
  </si>
  <si>
    <t>357</t>
  </si>
  <si>
    <t>411</t>
  </si>
  <si>
    <t>10.1108/JSTP-01-2025-0017</t>
  </si>
  <si>
    <t>http://dx.doi.org/10.1108/JSTP-01-2025-0017</t>
  </si>
  <si>
    <t>HK9VA</t>
  </si>
  <si>
    <t>WOS:001651635700001</t>
  </si>
  <si>
    <t>Maida, E; Moccia, M; Palladino, R; Borriello, G; Affinito, G; Clerico, M; Repice, AM; Di Sapio, A; Iodice, R; Spiezia, AL; Sparaco, M; Miele, G; Bile, F; Scandurra, C; Ferraro, D; Stromillo, ML; Docimo, R; De Martino, A; Mancinelli, L; Abbadessa, G; Smolik, K; Lorusso, L; Leone, M; Leveraro, E; Lauro, F; Trojsi, F; Streito, LM; Gabriele, F; Marinelli, F; Ianniello, A; De Santis, F; Foschi, M; De Stefano, N; Morra, VB; Bisecco, A; Coghe, G; Cocco, E; Romoli, M; Corea, F; Leocani, L; Frau, J; Sacco, S; Inglese, M; Carotenuto, A; Lanzillo, R; Padovani, A; Triassi, M; Bonavita, S; Lavorgna, L</t>
  </si>
  <si>
    <t>Background ChatGPT is an open-source natural language processing software that replies to users' queries. We conducted a cross-sectional study to assess people living with Multiple Sclerosis' (PwMS) preferences, satisfaction, and empathy toward two alternate responses to four frequently-asked questions, one authored by a group of neurologists, the other by ChatGPT. Methods An online form was sent through digital communication platforms. PwMS were blind to the author of each response and were asked to express their preference for each alternate response to the four questions. The overall satisfaction was assessed using a Likert scale (1-5); the Consultation and Relational Empathy scale was employed to assess perceived empathy. Results We included 1133 PwMS (age, 45.26 +/- 11.50 years; females, 68.49%). ChatGPT's responses showed significantly higher empathy scores (Coeff = 1.38; 95% CI = 0.65, 2.11; p &gt; z &lt; 0.01), when compared with neurologists' responses. No association was found between ChatGPT' responses and mean satisfaction (Coeff = 0.03; 95% CI = - 0.01, 0.07; p = 0.157). College graduate, when compared with high school education responder, had significantly lower likelihood to prefer ChatGPT response (IRR = 0.87; 95% CI = 0.79, 0.95; p &lt; 0.01). Conclusions ChatGPT-authored responses provided higher empathy than neurologists. Although AI holds potential, physicians should prepare to interact with increasingly digitized patients and guide them on responsible AI use. Future development should consider tailoring AIs' responses to individual characteristics. Within the progressive digitalization of the population, ChatGPT could emerge as a helpful support in healthcare management rather than an alternative.</t>
  </si>
  <si>
    <t>Maida, Elisabetta; Moccia, Marcello; Palladino, Raffaele; Borriello, Giovanna; Affinito, Giuseppina; Clerico, Marinella; Repice, Anna Maria; Di Sapio, Alessia; Iodice, Rosa; Spiezia, Antonio Luca; Sparaco, Maddalena; Miele, Giuseppina; Bile, Floriana; Scandurra, Cristiano; Ferraro, Diana; Stromillo, Maria Laura; Docimo, Renato; De Martino, Antonio; Mancinelli, Luca; Abbadessa, Gianmarco; Smolik, Krzysztof; Lorusso, Lorenzo; Leone, Maurizio; Leveraro, Elisa; Lauro, Francesca; Trojsi, Francesca; Streito, Lidia Mislin; Gabriele, Francesca; Marinelli, Fabiana; Ianniello, Antonio; De Santis, Federica; Foschi, Matteo; De Stefano, Nicola; Morra, Vincenzo Brescia; Bisecco, Alvino; Coghe, Giancarlo; Cocco, Eleonora; Romoli, Michele; Corea, Francesco; Leocani, Letizia; Frau, Jessica; Sacco, Simona; Inglese, Matilde; Carotenuto, Antonio; Lanzillo, Roberta; Padovani, Alessandro; Triassi, Maria; Bonavita, Simona; Lavorgna, Luigi</t>
  </si>
  <si>
    <t>Bonavita, S (corresponding author), Univ Campania Luigi Vanvitelli, Dept Adv Med &amp; Surg Sci, Via Pansini 5, I-80131 Naples, Italy.</t>
  </si>
  <si>
    <t>simona.bonavita@unicampania.it</t>
  </si>
  <si>
    <t>Universit degli Studi della Campania Luigi Vanvitelli</t>
  </si>
  <si>
    <t>[Maida, Elisabetta; Sparaco, Maddalena; Miele, Giuseppina; Bile, Floriana; Abbadessa, Gianmarco; Trojsi, Francesca; Bonavita, Simona; Lavorgna, Luigi] Univ Campania Luigi Vanvitelli, Dept Adv Med &amp; Surg Sci, Via Pansini 5, I-80131 Naples, Italy; [Moccia, Marcello] Univ Naples Federico II, Dept Mol Med &amp; Med Biotechnol, Naples, Italy; [Moccia, Marcello; Spiezia, Antonio Luca] Policlin Federico II Univ Hosp, Multiple Sclerosis Unit, Naples, Italy; [Palladino, Raffaele; Affinito, Giuseppina; Triassi, Maria] Univ Federico II Naples, Dept Publ Hlth, I-80131 Naples, Italy; [Palladino, Raffaele] Imperial Coll London, Dept Primary Care &amp; Publ Hlth, London, England; [Borriello, Giovanna; Ianniello, Antonio] Sapienza Univ Rome, Dept Human Neurosci, Rome, Italy; [Clerico, Marinella; Streito, Lidia Mislin] Univ Torino, Dipartimento Sci Clin &amp; Biol, Turin, Italy; [Repice, Anna Maria] Careggi Univ Hosp, Dept Neurol 2, Florence, Italy; [Repice, Anna Maria] Careggi Univ Hosp, Tuscan Reg Multiple Sclerosis Referral Ctr, Florence, Italy; [Di Sapio, Alessia] Dept Neurol, AOU San Luigi Gonzaga, Turin, Italy; [Di Sapio, Alessia] AOU San Luigi Gonzaga, Multiple Sclerosis Reg Referral Ctr, Turin, Italy; [Iodice, Rosa; Scandurra, Cristiano; Lauro, Francesca; Morra, Vincenzo Brescia; Carotenuto, Antonio; Lanzillo, Roberta] Univ Naples Federico II, Dept Neurosci Reprod Sci &amp; Odontostomatol, Naples, Italy; [Ferraro, Diana] Azienda Osped Univ Modena, Azienda Ospedaliero Universitaria Modena, Modena, Emilia Romagna, Italy; [Ferraro, Diana; Smolik, Krzysztof] Univ Modena &amp; Reggio Emilia, Dept Biomed Metab &amp; Neural Sci, Modena, Italy; [Stromillo, Maria Laura; De Stefano, Nicola] Univ Siena, Dept Med Surg &amp; Neurosci, Siena, Italy; [Docimo, Renato; Bisecco, Alvino] Univ Campania Luigi Vanvitelli, Dept Adv Med &amp; Surg Sci, Multiple Sclerosis Ctr, Naples, Italy; [De Martino, Antonio] Magna Graecia Univ Catanzaro, Inst Neurol, Catanzaro, Italy; [Mancinelli, Luca; Romoli, Michele] Bufalini Hosp, Neurol Unit, Local Hlth Agcy Romagna, Cesena, Italy; [Abbadessa, Gianmarco] Imperial Coll London, Dept Brain Sci, London W120BZ, England; [Lorusso, Lorenzo] ASSTLecco, Neurosci Dept ASSTLecco, Neurol Unit, Neurosci Dept, I-23807 Merate, Italy; [Leone, Maurizio] Fdn IRCCS Casa Sollievo Sofferenza, Neurol Unit, I-71013 San Giovanni Rotondo, Italy; [Leveraro, Elisa; Inglese, Matilde] Univ Genoa, Dept Neurosci Rehabil Ophthalmol Genet Maternal &amp;, Genoa, Italy; [Leveraro, Elisa; Inglese, Matilde] Osped Policlin San Martino IRCCS, Dept Neurol, Genoa, Italy; [Gabriele, Francesca; Foschi, Matteo; Sacco, Simona] Univ Aquila, Dept Biotechnol &amp; Appl Clin Sci, Laquila, Italy; [Marinelli, Fabiana] Fabrizio Spaziani Hosp, Multiple Sclerosis Ctr, Neurol Unit, Frosinone, Italy; [De Santis, Federica] ASL 1 Avezzano Sulmona, Dept Neurol, Laquila, Italy; [De Santis, Federica] ASL 1 Avezzano Sulmona, Stroke Unit Avezzano Sulmona, Laquila, Italy; [Foschi, Matteo] S Maria Croci Hosp, S Maria delle Croci Hosp, Dept Neurosci, AUSL Romagna, Ravenna, Italy; [Coghe, Giancarlo; Cocco, Eleonora; Frau, Jessica] Univ Cagliari, Binaghi Hosp, Multiple Sclerosis Ctr, Dept Med Sci &amp; Publ Hlth, Cagliari, Italy; [Corea, Francesco] Azienda USL Umbria 2, Dipartimento Neurol, Osped Foligno, Terni, Italy; [Leocani, Letizia] Univ Vita Salute San Raffaele, Milan, Italy; [Leocani, Letizia] IRCCS Sci Inst San Raffaele, Inst Expt Neurol INSPE, Expt Neurophysiol Unit, Milan, Italy; [Padovani, Alessandro] Azienda Socio Sanit Terr Spedali Civili, Unit Neurol, Brescia, Italy; [Padovani, Alessandro] Univ Brescia, Dept Clin &amp; Expt Sci, Brescia, Italy</t>
  </si>
  <si>
    <t>Universita della Campania Vanvitelli; University of Naples Federico II; University of Naples Federico II; Imperial College London; Sapienza University Rome; University of Turin; University of Florence; Azienda Ospedaliero Universitaria Careggi; University of Florence; Azienda Ospedaliero Universitaria Careggi; University of Naples Federico II; Universita di Modena e Reggio Emilia; Universita di Modena e Reggio Emilia Hospital; Universita di Modena e Reggio Emilia; University of Siena; Universita della Campania Vanvitelli; Magna Graecia University of Catanzaro; Imperial College London; University of Genoa; University of Genoa; University of L'Aquila; AUSL della Romagna; University of Cagliari; Vita-Salute San Raffaele University; University of Brescia</t>
  </si>
  <si>
    <t>Italian Soc Neurology SIN</t>
  </si>
  <si>
    <t>ChatGPT vs. neurologists: a cross-sectional study investigating preference, satisfaction ratings and perceived empathy in responses among people living with multiple sclerosis</t>
  </si>
  <si>
    <t>JOURNAL OF NEUROLOGY</t>
  </si>
  <si>
    <t>Artificial intelligence; Machine learning; Multiple sclerosis; Large language model</t>
  </si>
  <si>
    <t>ARTIFICIAL-INTELLIGENCE; HEALTH; INFORMATION; DEPRESSION; VALIDITY</t>
  </si>
  <si>
    <t>Docimo, Renato/IAR-6246-2023; Trojsi, Francesca/AHD-9665-2022; Borriello, Giovanna/AAN-4938-2020; Mancinelli, Luca/LSJ-8900-2024; Sparaco, Maddalena/AAM-1712-2021; De Stefano, Nicola/AHE-3052-2022; IODICE, Rosa/J-4016-2018; Sacco, Simona/I-5253-2012; Palladino, Raffaele/AAG-6823-2020; Carotenuto, Antonio/AAE-1249-2020; Foschi, Matteo/ABR-7231-2022; Romoli, Michele/Q-1303-2019; Lavorgna, Luigi/R-2696-2016; Inglese, Matilde/IYJ-8067-2023; Moccia, Marcello/N-6987-2015; Leocani, Letizia/ABH-4703-2020; Abbadessa, Gianmarco/AAP-8788-2021; Miele, Giuseppina/ABB-9508-2020; Bonavita, Simona/AGN-5124-2022; Cocco, Eleonora/G-5064-2012; Scandurra, Cristiano/M-2456-2017; CLERICO, MARINELLA/JAN-7748-2023; Repice, Anna/AAX-6008-2020; Ianniello, Antonio/KFR-0836-2024</t>
  </si>
  <si>
    <t>Marinelli, Fabiana/0000-0003-4697-2051; Padovani, Alessandro/0000-0002-0119-3639; Frau, Jessica/0000-0001-9068-9144; Maida, Elisabetta/0009-0003-6505-0834; Palladino, Raffaele/0000-0002-3437-812X; Di Sapio, Alessia/0000-0002-5575-7567; Carotenuto, Antonio/0000-0002-1574-9693; Foschi, Matteo/0000-0002-0321-7155; , Maria Laura/0000-0001-6909-623X; Cocco, Eleonora/0000-0002-3878-8820; Leveraro, Elisa/0009-0005-0018-4449; Gabriele, Francesca/0009-0006-0393-2956; Scandurra, Cristiano/0000-0003-1790-3997</t>
  </si>
  <si>
    <t>0340-5354</t>
  </si>
  <si>
    <t>1432-1459</t>
  </si>
  <si>
    <t>J NEUROL</t>
  </si>
  <si>
    <t>J. Neurol.</t>
  </si>
  <si>
    <t>4057</t>
  </si>
  <si>
    <t>4066</t>
  </si>
  <si>
    <t>10.1007/s00415-024-12328-x</t>
  </si>
  <si>
    <t>http://dx.doi.org/10.1007/s00415-024-12328-x</t>
  </si>
  <si>
    <t>YT4O2</t>
  </si>
  <si>
    <t>38568227</t>
  </si>
  <si>
    <t>WOS:001196952600003</t>
  </si>
  <si>
    <t>Bae, SW; Chung, T; Zhang, TZ; Dey, AK; Islam, R</t>
  </si>
  <si>
    <t>Background: Acute marijuana intoxication can impair motor skills and cognitive functions such as attention and information processing. However, traditional tests, like blood, urine, and saliva, fail to accurately detect acute marijuana intoxication in real time. Objective: This study aims to explore whether integrating smartphone-based sensors with readily accessible wearable activity trackers, like Fitbit, can enhance the detection of acute marijuana intoxication in naturalistic settings. No previous research has investigated the effectiveness of passive sensing technologies for enhancing algorithm accuracy or enhancing the interpretability of digital phenotyping through explainable artificial intelligence in real-life scenarios. This approach aims to provide insights into how individuals interact with digital devices during algorithmic decision-making, particularly for detecting moderate to intensive marijuana intoxication in real-world contexts. Methods: Sensor data from smartphones and Fitbits, along with self-reported marijuana use, were collected from 33 young adults over a 30-day period using the experience sampling method. Participants rated their level of intoxication on a scale from 1 to 10 within 15 minutes of consuming marijuana and during 3 daily semirandom prompts. The ratings were categorized as not intoxicated (0), low (1-3), and moderate to intense intoxication (4-10). The study analyzed the performance of models using mobile phone data only, Fitbit data only, and a combination of both (MobiFit) in detecting acute marijuana intoxication. Results: The eXtreme Gradient Boosting Machine classifier showed that the MobiFit model, which combines mobile phone and wearable device data, achieved 99% accuracy (area under the curve=0.99; F 1-score=0.85) in detecting acute marijuana intoxication in natural environments. The F 1-score indicated significant improvements in sensitivity and specificity for the combined MobiFit model compared to using mobile or Fitbit data alone. Explainable artificial intelligence revealed that moderate to intense self-reported marijuana intoxication was associated with specific smartphone and Fitbit metrics, including elevated minimum heart rate, reduced macromovement, and increased noise energy around participants. Conclusions: This study demonstrates the potential of using smartphone sensors and wearable devices for interpretable, transparent, and unobtrusive monitoring of acute marijuana intoxication in daily life. Advanced algorithmic decision-making provides valuable insight into behavioral, physiological, and environmental factors that could support timely interventions to reduce marijuana-related harm. Future real-world applications of these algorithms should be evaluated in collaboration with clinical experts to enhance their practicality and effectiveness.</t>
  </si>
  <si>
    <t>Bae, Sang Won; Chung, Tammy; Zhang, Tongze; Dey, Anind K.; Islam, Rahul</t>
  </si>
  <si>
    <t>Bae, SW (corresponding author), Stevens Inst Technol, Charles V Schaefer Jr Sch Engn &amp; Sci, Human Comp Interact &amp; Human Ctr Syst Lab, Healthcare Lab, 1 Castle Point Terrace, Hoboken, NJ 07030 USA.</t>
  </si>
  <si>
    <t>National Institute on Drug Abuse [R21 DA043181/U01 DA056472]; Stevens Startup grant; Provost scholarship</t>
  </si>
  <si>
    <t>National Institute on Drug Abuse (United States Department of Health &amp; Human Services, National Institutes of Health (NIH) - USA, NIH National Institute on Drug Abuse (NIDA)); Stevens Startup grant; Provost scholarship</t>
  </si>
  <si>
    <t>This study was supported by the National Institute on Drug Abuse (R21 DA043181/U01 DA056472) , the Stevens Startup grant, and the Provost scholarship.</t>
  </si>
  <si>
    <t>[Bae, Sang Won; Zhang, Tongze; Islam, Rahul] Stevens Inst Technol, Charles V Schaefer Jr Sch Engn &amp; Sci, Human Comp Interact &amp; Human Ctr Syst Lab, Healthcare Lab, 1 Castle Point Terrace, Hoboken, NJ 07030 USA; [Chung, Tammy] Rutgers State Univ, Inst Hlth Healthcare Policy &amp; Aging Res, Newark, NJ USA; [Dey, Anind K.] Univ Washington, Informat Sch, Seattle, WA USA</t>
  </si>
  <si>
    <t>Stevens Institute of Technology; Rutgers University System; Rutgers University New Brunswick; Rutgers University Newark; University of Washington; University of Washington Seattle</t>
  </si>
  <si>
    <t>Enhancing Interpretable, Transparent, and Unobtrusive Detection of Acute Marijuana Intoxication in Natural Environments: Harnessing Smart Devices and Explainable AI to Empower Just-In-Time Adaptive Interventions: Longitudinal Observational Study</t>
  </si>
  <si>
    <t>digital phenotyping; smart devices; intoxication; smartphone-based sensors; wearables; mHealth; marijuana; cannabis; data collection; passive sensing; Fitbit; machine learning; eXtreme Gradient Boosting Machine classifier; XGBoost; algorithmic decision-making process; explainable artificial intelligence; XAI; artificial intelligence; JITAI; decision support; just-in-time adaptive interventions; experience sampling</t>
  </si>
  <si>
    <t>HEALTH; CANNABIS; IMPACT</t>
  </si>
  <si>
    <t>Bae, Sang Won/ABF-7315-2020; Dey, Anind K/B-1312-2008</t>
  </si>
  <si>
    <t>Zhang, Tongze/0000-0002-3375-7136; Bae, Sang Won/0000-0002-2047-1358; Dey, Anind K/0000-0002-3004-0770</t>
  </si>
  <si>
    <t>e52270</t>
  </si>
  <si>
    <t>10.2196/52270</t>
  </si>
  <si>
    <t>http://dx.doi.org/10.2196/52270</t>
  </si>
  <si>
    <t>R3J4Z</t>
  </si>
  <si>
    <t>39746202</t>
  </si>
  <si>
    <t>WOS:001390452700001</t>
  </si>
  <si>
    <t>Crovella, S; Suleman, M; Tricarico, PM; Al-Khuzaei, S; Moltrasio, C; EL Omri, A; Marzano, AV</t>
  </si>
  <si>
    <t>This perspective delves into the integration of artificial intelligence (AI) to enhance early diagnosis in hidradenitis suppurativa (HS). Despite significantly impacting Quality of Life, HS presents diagnostic challenges leading to treatment delays. We present a viewpoint on AI -powered clinical decision support system designed for HS, emphasizing the transformative potential of AI in dermatology. HS diagnosis, primarily reliant on clinical evaluation and visual inspection, often results in late -stage identification with substantial tissue damage. The incorporation of AI, utilizing machine learning and deep learning algorithms, addresses this challenge by excelling in image analysis. AI adeptly recognizes subtle patterns in skin lesions, providing objective and standardized analyses to mitigate subjectivity in traditional diagnostic approaches. The AI integration encompasses diverse datasets, including clinical records, images, biochemical and immunological data and OMICs data. AI algorithms enable nuanced comprehension, allowing for precise and customized diagnoses. We underscore AI's potential for continuous learning and adaptation, refining recommendations based on evolving data. Challenges in AI integration, such as data privacy, algorithm bias, and interpretability, are addressed, emphasizing the ethical considerations of responsible AI deployment, including transparency, human oversight, and striking a balance between automation and human intervention. From the dermatologists' standpoint, we illustrate how AI enhances diagnostic accuracy, treatment planning, and long-term follow-up in HS management. Dermatologists leverage AI to analyze clinical records, dermatological images, and various data types, facilitating a proactive and personalized approach. AI's dynamic nature supports continuous learning, refining diagnostic and treatment strategies, ultimately reshaping standards of care in dermatology.</t>
  </si>
  <si>
    <t>Crovella, Sergio; Suleman, Muhammad; Tricarico, Paola M.; Al-Khuzaei, Safaa; Moltrasio, Chiara; EL Omri, Abdelfatteh; Marzano, Angelo V.</t>
  </si>
  <si>
    <t>Crovella, S (corresponding author), Qatar Univ, Lab Anim Res Ctr LARC, Doha, Qatar.</t>
  </si>
  <si>
    <t>sgrovella@qu.edu.qa</t>
  </si>
  <si>
    <t>Italian Ministry of Health [SG-2019-12369421]; IRCCS Burlo Garofolo - Italian Ministry of Health [RC16/2018]</t>
  </si>
  <si>
    <t>Italian Ministry of Health (Ministry of Health, Italy); IRCCS Burlo Garofolo - Italian Ministry of Health</t>
  </si>
  <si>
    <t>Funding This research was supported by the Italian Ministry of Health (starting grant: SG-2019-12369421) and by the IRCCS Burlo Garofolo funded by the Italian Ministry of Health (grant: RC16/2018) .</t>
  </si>
  <si>
    <t>[Crovella, Sergio; Suleman, Muhammad] Qatar Univ, Lab Anim Res Ctr LARC, Doha, Qatar; [Tricarico, Paola M.] IRCCS Burlo Garofolo, Trieste, Italy; [Al-Khuzaei, Safaa] Rumailah Hosp, Dept Dermatol &amp; Venereol, Hamad Med Corp, Doha, Qatar; [Moltrasio, Chiara; Marzano, Angelo V.] Fdn IRCCS Ca Granda Osped Maggiore Policlin, Unit Dermatol, Milan, Italy; [EL Omri, Abdelfatteh] Hamad Med Corp, Dept Surg, Surg Res Sect, Doha, Qatar; [Marzano, Angelo V.] Univ Milan, Dept Pathophysiol &amp; Transplantat, Milan, Italy</t>
  </si>
  <si>
    <t>Qatar University; IRCCS Burlo Garofolo; Hamad Medical Corporation; IRCCS Ca Granda Ospedale Maggiore Policlinico; Hamad Medical Corporation; University of Milan</t>
  </si>
  <si>
    <t>Harnessing artificial intelligence for advancing early diagnosis in hidradenitis suppurativa</t>
  </si>
  <si>
    <t>ITALIAN JOURNAL OF DERMATOLOGY AND VENEREOLOGY</t>
  </si>
  <si>
    <t>Hidradenitis suppurativa; Artificial intelligence; Machine learning</t>
  </si>
  <si>
    <t>Crovella, Sergio/LUZ-5866-2024; Moltrasio, Chiara/AAX-8849-2021; tricarico, paola/AAB-8972-2019</t>
  </si>
  <si>
    <t>Suleman, Muhammad/0000-0003-2914-1862</t>
  </si>
  <si>
    <t>EDIZIONI MINERVA MEDICA</t>
  </si>
  <si>
    <t>TURIN</t>
  </si>
  <si>
    <t>CORSO BRAMANTE 83-85 INT JOURNALS DEPT., 10126 TURIN, ITALY</t>
  </si>
  <si>
    <t>2784-8671</t>
  </si>
  <si>
    <t>2784-8450</t>
  </si>
  <si>
    <t>ITAL J DERMATOL VENE</t>
  </si>
  <si>
    <t>Ital. J. Dermatol. Venereol.</t>
  </si>
  <si>
    <t>10.23736/S2784-8671.23.07829-5</t>
  </si>
  <si>
    <t>http://dx.doi.org/10.23736/S2784-8671.23.07829-5</t>
  </si>
  <si>
    <t>OR9R9</t>
  </si>
  <si>
    <t>38345291</t>
  </si>
  <si>
    <t>WOS:001209125800011</t>
  </si>
  <si>
    <t>Tappeiner, C</t>
  </si>
  <si>
    <t>Background: Artificial intelligence (AI) can improve efficiency, documentation, and diagnostic quality in ophthalmology. This study examined clinical AI adoption, institutional readiness, perceived utility, trust, ethical concerns, and educational needs among Swiss ophthalmologists and residents. Methods: In May 2025, an anonymous online survey was distributed to board-certified ophthalmologists and residents across Switzerland. The structured questionnaire addressed clinical AI use, institutional infrastructure, perceptions of diagnostic utility, trust, ethical-legal concerns, and educational preparedness. Responses were recorded on five-point Likert scales. Results: Of 106 respondents (mean age 42.4 +/- 11.4 years, 48.1% female), 20.8% reported current clinical AI use. Willingness to use AI exceeded 65% across all 10 diagnostic scenarios, but active use remained &lt;= 12.1%. Institutional readiness was low: 6.6% reported AI-related guidelines, 26.4% had access to an institutional AI contact person, and 28.3% received supervisor support (more often among residents). While 80% agreed that AI can support diagnostics, only 12.1% trusted AI recommendations as much as those from colleagues; 87.9% critically reviewed the results, and 93.9% endorsed the use of AI in an assistive but not independently decision-making role. Ethical-legal concerns included unresolved liability (74.8%), informed consent (66.7%), and data protection adequacy (49.5%). Structured AI education was supported by 77.8%, yet only 15.1% felt prepared, and two-thirds (66.7%) indicated they would use AI more with better training. Conclusions: Ophthalmologists and residents in Switzerland express strong interest in the clinical use of AI and recognize its diagnostic potential. Major barriers include insufficient institutional structures, lack of regulatory clarity, and inadequate educational preparation. Addressing these deficits will be essential for responsible AI integration into ophthalmologic practice.</t>
  </si>
  <si>
    <t>Tappeiner, Christoph</t>
  </si>
  <si>
    <t>Tappeiner, C (corresponding author), Pallas Kliniken, Dept Ophthalmol, CH-4600 Olten, Switzerland.</t>
  </si>
  <si>
    <t>christoph.tappeiner@pallas-kliniken.ch</t>
  </si>
  <si>
    <t>[Tappeiner, Christoph] Pallas Kliniken, Dept Ophthalmol, CH-4600 Olten, Switzerland; [Tappeiner, Christoph] Univ Bern, Med Fac, CH-3008 Bern, Switzerland; [Tappeiner, Christoph] Univ Duisburg Essen, Univ Hosp Essen, Dept Ophthalmol, D-45147 Essen, Germany; [Tappeiner, Christoph] Private Hsch Wirtsch PHW, CH-3014 Bern, Switzerland</t>
  </si>
  <si>
    <t>University of Bern; University of Duisburg Essen</t>
  </si>
  <si>
    <t>Artificial Intelligence in Ophthalmology: Acceptance, Clinical Integration, and Educational Needs in Switzerland</t>
  </si>
  <si>
    <t>artificial intelligence (AI); ophthalmology; digital affinity; barriers; training; Switzerland</t>
  </si>
  <si>
    <t>DIABETIC-RETINOPATHY; VALIDATION; ALGORITHM; HEALTH; BIAS</t>
  </si>
  <si>
    <t>SEP 6 2025</t>
  </si>
  <si>
    <t>6307</t>
  </si>
  <si>
    <t>10.3390/jcm14176307</t>
  </si>
  <si>
    <t>http://dx.doi.org/10.3390/jcm14176307</t>
  </si>
  <si>
    <t>7FN9H</t>
  </si>
  <si>
    <t>40944064</t>
  </si>
  <si>
    <t>WOS:001569824000001</t>
  </si>
  <si>
    <t>Zolanvari, M; Yang, ZB; Khan, K; Jain, R; Meskin, N</t>
  </si>
  <si>
    <t>Despite artificial intelligence (AI)'s significant growth, its "black box" nature creates challenges in generating adequate trust. Thus, it is seldom utilized as a standalone unit in IoT high-risk applications, such as critical industrial infrastructures, medical systems, financial applications, etc. Explainable AI (XAI) has emerged to help with this problem. However, designing appropriately fast and accurate XAI is still challenging, especially in numerical applications. Here, we propose a universal XAI model, named the transparency relying upon statistical theory (TRUST), which is model-agnostic, high performing, and suitable for numerical applications. Simply put, TRUST XAI models the statistical behavior of the AI's outputs in an AI-based system. Factor analysis is used to transform the input features into a new set of latent variables. We use mutual information (MI) to rank these variables and pick only the most influential ones on the AI's outputs and call them "representatives" of the classes. Then, we use multimodal Gaussian (MMG) distributions to determine the likelihood of any new sample belonging to each class. We demonstrate the effectiveness of TRUST in a case study on cybersecurity of the Industrial Internet of Things (IIoT) using three different cybersecurity data sets. As IIoT is a prominent application that deals with numerical data. The results show that TRUST XAI provides explanations for new random samples with an average success rate of 98%. Compared with local interpretable model-agnostic explanations (LIME), a popular XAI model, TRUST is shown to be superior in the context of performance, speed, and the method of explainability. In the end, we also show how TRUST is explained to the user.</t>
  </si>
  <si>
    <t>Zolanvari, Maede; Yang, Zebo; Khan, Khaled; Jain, Raj; Meskin, Nader</t>
  </si>
  <si>
    <t>Zolanvari, M (corresponding author), Washington Univ, Dept Comp Sci &amp; Engn, St Louis, MO 63130 USA.</t>
  </si>
  <si>
    <t>nader.meskin@qu.edu.qa; zebo@wustl.edu; jain@wustl.edu; maede.zolanvari@wustl.edu; k.khan@qu.edu.qa</t>
  </si>
  <si>
    <t>Qatar National Research Fund (QNRF) [NPRP10-0206-170360]; NSF [CNS-1718929]</t>
  </si>
  <si>
    <t>Qatar National Research Fund (QNRF) (Qatar National Research Fund (QNRF)); NSF (National Science Foundation (NSF))</t>
  </si>
  <si>
    <t>This work was supported in part by the Qatar National Research Fund (QNRF) under Grant NPRP10-0206-170360, and in part by NSF under Grant CNS-1718929.</t>
  </si>
  <si>
    <t>[Zolanvari, Maede; Yang, Zebo; Jain, Raj] Washington Univ, Dept Comp Sci &amp; Engn, St Louis, MO 63130 USA; [Khan, Khaled; Meskin, Nader] Qatar Univ, Dept Comp Sci &amp; Engn, Doha, Qatar</t>
  </si>
  <si>
    <t>Washington University (WUSTL); Qatar University</t>
  </si>
  <si>
    <t>TRUST XAI: Model-Agnostic Explanations for AI With a Case Study on IIoT Security</t>
  </si>
  <si>
    <t>Artificial intelligence; Industrial Internet of Things; Numerical models; Mathematical models; Computational modeling; Data models; Predictive models; Artificial intelligence (AI); cybersecurity; explainable AI (XAI); Industrial Internet of Things (IIoT); machine learning (ML); statistical modeling; trustworthy AI</t>
  </si>
  <si>
    <t>MACHINE; INTERNET</t>
  </si>
  <si>
    <t>Yang, Zebo/ACM-6998-2022; Meskin, Nader/AAR-9342-2020; Jain, Raj/A-6966-2008</t>
  </si>
  <si>
    <t>Zolanvari, Maede/0000-0003-1428-7770; Yang, Zebo/0000-0002-0600-2141; Meskin, Nader/0000-0003-3098-9369; Jain, Raj/0000-0002-7023-0368</t>
  </si>
  <si>
    <t>2967</t>
  </si>
  <si>
    <t>2978</t>
  </si>
  <si>
    <t>10.1109/JIOT.2021.3122019</t>
  </si>
  <si>
    <t>http://dx.doi.org/10.1109/JIOT.2021.3122019</t>
  </si>
  <si>
    <t>D0KD1</t>
  </si>
  <si>
    <t>WOS:000965692500001</t>
  </si>
  <si>
    <t>Bokhari, SFH</t>
  </si>
  <si>
    <t>This editorial explores the transformative impact of artificial intelligence (AI) and robotics in transplant surgery. By merging robotic precision with AI analysis, this integration enhances organ transplantation outcomes. AI algorithms scrutinize patient data, elevating organ compatibility during allocation. Robotic systems such as the da Vinci Surgical System enable intricate operations with reduced complications and faster recovery. AI-driven post-transplant monitoring identifies early rejection signs, while tailored immunosuppressive regimens enhance patient care. Future prospects encompass predictive organ availability, telemedicine-enabled expertise dissemination, bioengineered organs, and personalized immunosuppression. Ethical considerations include privacy and algorithmic bias. In striking a balance, responsible AI and robotics application can revolutionize transplant surgery, offering a brighter future for patients in need.</t>
  </si>
  <si>
    <t>Bokhari, Syed Faqeer Hussain</t>
  </si>
  <si>
    <t>Bokhari, SFH (corresponding author), King Edward Med Univ, Surg, Lahore, Pakistan.</t>
  </si>
  <si>
    <t>raven.gamer512@gmail.com</t>
  </si>
  <si>
    <t>[Bokhari, Syed Faqeer Hussain] King Edward Med Univ, Surg, Lahore, Pakistan</t>
  </si>
  <si>
    <t>Artificial Intelligence and Robotics in Transplant Surgery: Advancements and Future Directions</t>
  </si>
  <si>
    <t>CUREUS JOURNAL OF MEDICAL SCIENCE</t>
  </si>
  <si>
    <t>future directions; advancements; robotics; artificial intelligence (ai); transplant surgery</t>
  </si>
  <si>
    <t>Bokhari, Syed Faqeer Hussain/QTU-3379-2026</t>
  </si>
  <si>
    <t>2168-8184</t>
  </si>
  <si>
    <t>CUREUS J MED SCIENCE</t>
  </si>
  <si>
    <t>Cureus J Med Sci</t>
  </si>
  <si>
    <t>AUG 23 2023</t>
  </si>
  <si>
    <t>e43975</t>
  </si>
  <si>
    <t>10.7759/cureus.43975</t>
  </si>
  <si>
    <t>http://dx.doi.org/10.7759/cureus.43975</t>
  </si>
  <si>
    <t>R5ZB8</t>
  </si>
  <si>
    <t>37746390</t>
  </si>
  <si>
    <t>WOS:001065123000010</t>
  </si>
  <si>
    <t>Albashrawi, M</t>
  </si>
  <si>
    <t>Generative artificial intelligence (GenAI) is rapidly reshaping decision-making across multiple domains, including health, law, business, education, and tourism. This study synthesizes the fragmented research on GenAI to provide a comprehensive framework for understanding its role in enhancing decision-making accuracy, efficiency, and personalization. Employing a systematic literature review and thematic analysis, this study categorizes diverse applications, from clinical diagnostics and legal reasoning to financial advisement and educational support, highlighting both innovative practices and persistent challenges. The analysis of 101 articles reveals that, while GenAI significantly improves data processing and decision support, mitigating issues such as inherent bias, misinformation, and transparency deficits requires careful attention. The integration of multi-agent frameworks and human oversight is critical for ensuring ethical and reliable outcomes. Ultimately, this synthesis highlights the transformative potential of GenAI as a decision-making tool by presenting a cross-disciplinary framework that reveals its impact and uncovers gaps across various domains. The study also advocates the development of robust regulatory and technological strategies to harness the benefits and address the limitations of GenAI.</t>
  </si>
  <si>
    <t>Albashrawi, Mousa</t>
  </si>
  <si>
    <t>Albashrawi, M (corresponding author), KFUPM, IRC Finance &amp; Digital Econ, Dhahran, Saudi Arabia.</t>
  </si>
  <si>
    <t>bishrama@kfupm.edu.sa</t>
  </si>
  <si>
    <t>[Albashrawi, Mousa] KFUPM, IRC Finance &amp; Digital Econ, Dhahran, Saudi Arabia; [Albashrawi, Mousa] KFUPM, Informat Syst &amp; Operat Management Dept, Dhahran, Saudi Arabia</t>
  </si>
  <si>
    <t>King Fahd University of Petroleum &amp; Minerals; King Fahd University of Petroleum &amp; Minerals</t>
  </si>
  <si>
    <t>Generative AI for decision-making: A multidisciplinary perspective</t>
  </si>
  <si>
    <t>JOURNAL OF INNOVATION &amp; KNOWLEDGE</t>
  </si>
  <si>
    <t>GenAI; Decisions making; Health; Responsible AI; Ethical governance</t>
  </si>
  <si>
    <t>ARTIFICIAL-INTELLIGENCE; PERFORMANCE</t>
  </si>
  <si>
    <t>Albashrawi, Mousa/C-3135-2018</t>
  </si>
  <si>
    <t>Albashrawi, Mousa/0000-0002-6269-1658</t>
  </si>
  <si>
    <t>ELSEVIER ESPANA</t>
  </si>
  <si>
    <t>MADRID</t>
  </si>
  <si>
    <t>CALLE DE ZURBANO, 76-4TH FLR LEFT, MADRID, 28010, SPAIN</t>
  </si>
  <si>
    <t>2530-7614</t>
  </si>
  <si>
    <t>2444-569X</t>
  </si>
  <si>
    <t>J INNOV KNOWL</t>
  </si>
  <si>
    <t>J. Innov. Knowl.</t>
  </si>
  <si>
    <t>JUL-AUG 2025</t>
  </si>
  <si>
    <t>100751</t>
  </si>
  <si>
    <t>10.1016/j.jik.2025.100751</t>
  </si>
  <si>
    <t>http://dx.doi.org/10.1016/j.jik.2025.100751</t>
  </si>
  <si>
    <t>3NZ8F</t>
  </si>
  <si>
    <t>WOS:001504899900001</t>
  </si>
  <si>
    <t>El-Akhras, HA; El-Wahab, MAA; Saghier, EG; Selem, KM</t>
  </si>
  <si>
    <t>Purpose - Despite ChatGPT usage advantages to complete assignments as quickly as possible with detailed information, its adoption risks are crucial factors that may significantly influence student outcomes, like creative skills and achievement levels. Hence, this paper examines the potential effects of ChatGPT adoption risks on students' cognitive achievement, underpinned by perceived risk theory (PRT). Further, this paper examines the mediating role of creative thinking levels among hospitality college students. Design/methodology/approach - This paper employed a quantitative approach to collect data. Using an online survey, simple random sampling was employed to ensure bias. Hence, 267 faculty members at tourism and hospitality colleges affiliated with Egyptian public universities responded, and their responses were tested using SmartPLS v.4. Findings - Creative thinking partially mediated five potential risks of students' ChatGPT adoption effects on their cognitive achievement. More specifically, psychological risks of ChatGPT adoption among students are considered one of the most likely to reduce their levels of creative thinking and their ability to achieve achievement. Practical implications - This paper provides insights for policymakers aimed at enhancing higher education quality in tourism and hospitality colleges. Accordingly, this paper concludes by highlighting the importance of addressing ChatGPT adoption's psychological risks, integrating strategies to promote creative thinking among students and fostering responsible artificial intelligence usage in higher education. Originality/value - This paper underscores the critical role of faculty members in navigating and mitigating these risks, fostering a more conducive learning environment for responsible ChatGPT usage.</t>
  </si>
  <si>
    <t>El-Akhras, Heba Atef; El-Wahab, Marwa Ali Abd; Saghier, Elham Gharib; Selem, Kareem M.</t>
  </si>
  <si>
    <t>Selem, KM (corresponding author), Suez Canal Univ, Fac Tourism &amp; Hotels, Hotel Management Dept, Ismailia, Egypt.</t>
  </si>
  <si>
    <t>Heba_alakhras@tourism.suez.edu.eg; elhamelsaghier@tourism.suez.edu.eg; kareemselem91@yahoo.com; marwa_ali@tourism.suez.edu.eg</t>
  </si>
  <si>
    <t>[El-Akhras, Heba Atef; El-Wahab, Marwa Ali Abd; Saghier, Elham Gharib] Suez Canal Univ, Fac Tourism &amp; Hotels, Tourism Studies Dept, Ismailia, Egypt; [Selem, Kareem M.] Suez Canal Univ, Fac Tourism &amp; Hotels, Hotel Management Dept, Ismailia, Egypt</t>
  </si>
  <si>
    <t>Egyptian Knowledge Bank (EKB); Suez Canal University; Egyptian Knowledge Bank (EKB); Suez Canal University</t>
  </si>
  <si>
    <t>ChatGPT adoption risks and cognitive achievement among tourism and hospitality college students: from faculty member perspective</t>
  </si>
  <si>
    <t>JOURNAL OF HOSPITALITY AND TOURISM INSIGHTS</t>
  </si>
  <si>
    <t>Tourism students; Creative thinking; Cognitive achievement; ChatGPT; Adoption risks; Faculty members</t>
  </si>
  <si>
    <t>Selem, Kareem M/AAZ-5940-2020</t>
  </si>
  <si>
    <t>Selem, Kareem M/0000-0003-2987-4134</t>
  </si>
  <si>
    <t>2514-9792</t>
  </si>
  <si>
    <t>2514-9806</t>
  </si>
  <si>
    <t>J HOSP TOUR INSIGHTS</t>
  </si>
  <si>
    <t>J. Hosp. Tour. Insights</t>
  </si>
  <si>
    <t>1288</t>
  </si>
  <si>
    <t>1307</t>
  </si>
  <si>
    <t>10.1108/JHTI-04-2024-0292</t>
  </si>
  <si>
    <t>http://dx.doi.org/10.1108/JHTI-04-2024-0292</t>
  </si>
  <si>
    <t>0JU3P</t>
  </si>
  <si>
    <t>WOS:001343688600001</t>
  </si>
  <si>
    <t>Shankar, V</t>
  </si>
  <si>
    <t>This commentary explores the transformative potential and inherent risks associated with artificial intelligence (AI), particularly generative AI. It focuses on the dual nature of AI, where it offers substantial benefits in industries like retailing, and social media, while also presenting challenges related to ethics, privacy, and job displacement. The article introduces a framework to analyze AI's organizational impact, categorizing outcomes based on how AI supports or disrupts the status quo. It discusses AI's contribution to operational efficiency, demand expansion, and business transformation, acknowledging both the promise of enhanced customer experiences and the peril of ethical dilemmas such as algorithmic bias and data privacy concerns. It explores real-world applications of AI, such as personalized customer engagement and healthcare diagnostics. At the same time, the article critically examines negative implications, including job displacement, wage polarization, and the erosion of human connection in customer service. The commentary offers a balanced perspective, urging businesses and policymakers to embrace Responsible AI principles like fairness, reliability, and accountability. The article projects the future of AI, particularly advancements in agentic AI, artificial general intelligence (AGI), and artificial superintelligence (ASI), as holding both enormous potential and severe risks. It concludes by calling for a thoughtful, regulated approach to AI development to ensure it serves the greater good while mitigating its risks.</t>
  </si>
  <si>
    <t>Shankar, Venkatesh</t>
  </si>
  <si>
    <t>Shankar, V (corresponding author), Southern Methodist Univ, Brierley Inst Customer Engagement BICE, Cox Sch Business, Dallas, TX 75205 USA.</t>
  </si>
  <si>
    <t>venky@venkyshankar.com</t>
  </si>
  <si>
    <t>[Shankar, Venkatesh] Southern Methodist Univ, Brierley Inst Customer Engagement BICE, Cox Sch Business, Dallas, TX 75205 USA</t>
  </si>
  <si>
    <t>Southern Methodist University</t>
  </si>
  <si>
    <t>Managing the Twin Faces of AI: A Commentary on "Is AI Changing the World for Better or Worse?"</t>
  </si>
  <si>
    <t>JOURNAL OF MACROMARKETING</t>
  </si>
  <si>
    <t>artificial intelligence (AI); natural language processing (NLP); machine learning (ML); large language models (LLM); ethics; safety; innovation; regulation</t>
  </si>
  <si>
    <t>SHANKAR, VENKATESH/AAZ-1876-2020</t>
  </si>
  <si>
    <t>SHANKAR, VENKATESH/0000-0003-0080-2540</t>
  </si>
  <si>
    <t>0276-1467</t>
  </si>
  <si>
    <t>1552-6534</t>
  </si>
  <si>
    <t>J MACROMARKETING</t>
  </si>
  <si>
    <t>J. Macromarketing</t>
  </si>
  <si>
    <t>892</t>
  </si>
  <si>
    <t>899</t>
  </si>
  <si>
    <t>10.1177/02761467241286483</t>
  </si>
  <si>
    <t>http://dx.doi.org/10.1177/02761467241286483</t>
  </si>
  <si>
    <t>L0J3G</t>
  </si>
  <si>
    <t>WOS:001345977300001</t>
  </si>
  <si>
    <t>Khalil, R</t>
  </si>
  <si>
    <t>PurposeThis study aims to explore the predictive role of artificial intelligence (AI)-driven sentiment analysis in financial markets by developing a hybrid long short-term memory-Random Forest framework. It investigates whether the integration of generative sentiment signals with historical market data can enhance the accuracy and robustness of stock price forecasting and financial predictions across various industry sectors.Design/methodology/approachThis research uses a multisource data set from 2019 to 2024, including stock price data from Yahoo Finance, macroeconomic indicators from Federal Reserve Economic Data and textual sentiment from Reddit, Twitter, Bloomberg and Reuters. Transformer-based natural language processing models, such as FinBERT, are used to quantify sentiment, which is then used as a predictive feature in machine learning models. Granger causality analysis and accuracy metrics are applied to evaluate sectoral variations in sentiment impact.FindingsEmpirical analysis reveals that social media sentiment Granger causes short-term stock movements in technology and finance sectors, with the hybrid model achieving 68.5% directional accuracy and a 22% reduction in prediction error compared to ARIMA models benchmarks. In contrast, sectors like healthcare and energy show minimal sensitivity to sentiment, underscoring the need for domain-specific strategies. This study also identifies ethical concerns related to sentiment manipulation, transparency and AI governance in financial contexts.Originality/valueThis research introduces a reproducible, cross-sectoral forecasting framework that bridges AI, sentiment analysis and finance. The proposed architecture offers practical forecasting enhancements and contributes to ethical discourse on AI use in high-stakes financial environments, with implications for regulators, analysts and portfolio managers.</t>
  </si>
  <si>
    <t>Khalil, Rashid</t>
  </si>
  <si>
    <t>Khalil, R (corresponding author), Bahrain Polytech, Sch Business &amp; Logist, Dept Banking &amp; Finance, Isa Town, Bahrain.</t>
  </si>
  <si>
    <t>rashid.khalil@polytechnic.bh</t>
  </si>
  <si>
    <t>Revolutionizing Business and Management" in Journal of Modelling in Management [ICAIMT 2025]</t>
  </si>
  <si>
    <t>Revolutionizing Business and Management" in Journal of Modelling in Management</t>
  </si>
  <si>
    <t>An earlier short VERSION of this paper was presented at the International Conference on AI Management and Trends (ICAIMT 2025). This extended and substantially revised version has been submitted in the special issue "AI Frontiers: Revolutionizing Business and Management" in Journal of Modelling in Management. The author gratefully acknowledges the constructive feedback provided by the reviewers.</t>
  </si>
  <si>
    <t>[Khalil, Rashid] Bahrain Polytech, Sch Business &amp; Logist, Dept Banking &amp; Finance, Isa Town, Bahrain</t>
  </si>
  <si>
    <t>Bahrain Polytechnic</t>
  </si>
  <si>
    <t>AI driven sentiment analysis in financial markets: using transformer base models and social media signals for stock market predictions</t>
  </si>
  <si>
    <t>JOURNAL OF MODELLING IN MANAGEMENT</t>
  </si>
  <si>
    <t>Artificial intelligence (AI); Sentiment analysis; Financial markets; Hybrid LSTM-Random Forest; Granger causality; Ethical AI; Sectoral dynamics</t>
  </si>
  <si>
    <t>Khalil, Rashid/GVT-2651-2022</t>
  </si>
  <si>
    <t>1746-5664</t>
  </si>
  <si>
    <t>1746-5672</t>
  </si>
  <si>
    <t>J MODEL MANAG</t>
  </si>
  <si>
    <t>J. Model. Manag.</t>
  </si>
  <si>
    <t>10.1108/JM2-08-2025-0415</t>
  </si>
  <si>
    <t>http://dx.doi.org/10.1108/JM2-08-2025-0415</t>
  </si>
  <si>
    <t>CB7RV</t>
  </si>
  <si>
    <t>WOS:001662012200001</t>
  </si>
  <si>
    <t>Mallouhy, RE</t>
  </si>
  <si>
    <t>Artificial Intelligence (AI) is rapidly transitioning from a specialized technology to an everyday socio-technical infrastructure, yet public acceptance remains shaped by a trade-off between perceived benefits and risks. This study examines how individuals from varied demographic and professional backgrounds perceive, use, and evaluate AI-enabled systems using a mixed-method research design. A bilingual (English/Arabic) online survey (N=115) captured demographics, awareness, usage patterns, perceived impact, self-assessed understanding, domain-specific trust, concerns, and attitudes toward regulation, complemented by open-ended reflections. In parallel, semi-structured face-to-face interviews provided deeper insight into AI conceptualization, lived experiences, trust boundaries, and conditions for acceptable use. Quantitative results show frequent AI engagement embedded in daily life, with strong domain dependence in trust: education is the most trusted domain, whereas healthcare and finance attract substantially lower trust. Prominent concerns include overreliance ("brain rot"), privacy and data misuse, job displacement, and misinformation. Support for stronger AI regulation is high, indicating that governance is viewed as a prerequisite for sustainable adoption rather than a constraint on innovation. Qualitative findings triangulate these results, revealing a pattern of conditional acceptanceunderstood as the simultaneous valuation of AI's practical utility alongside the imposition of explicit trust prerequisites whereby participants value AI for productivity and learning support while emphasizing confidentiality, transparency, human oversight in high-stakes contexts, and clear boundaries to mitigate misuse and erosion of human judgment. The study offers empirically grounded insights for policymakers, educators, and industry stakeholders into how AI acceptance is negotiated through utility, literacy, perceived risk, and expectations of accountability.</t>
  </si>
  <si>
    <t>Mallouhy, Roxane Elias</t>
  </si>
  <si>
    <t>Mallouhy, RE (corresponding author), Al Yamamah Univ, Coll Engn, Khobar 32342, Saudi Arabia.</t>
  </si>
  <si>
    <t>r_mallouhy@yu.edu.sa</t>
  </si>
  <si>
    <t>[Mallouhy, Roxane Elias] Al Yamamah Univ, Coll Engn, Khobar 32342, Saudi Arabia</t>
  </si>
  <si>
    <t>Between Trust and Risk: Understanding the Conditional Acceptance of Artificial Intelligence</t>
  </si>
  <si>
    <t>INFORMATICS-BASEL</t>
  </si>
  <si>
    <t>artificial intelligence (AI); public perception; technology acceptance; trust in AI; risk perception; AI governance; AI regulation; AI literacy; human-AI interaction</t>
  </si>
  <si>
    <t>USER ACCEPTANCE</t>
  </si>
  <si>
    <t>Mallouhy, Roxane/NAZ-2557-2025</t>
  </si>
  <si>
    <t>2227-9709</t>
  </si>
  <si>
    <t>Informatics-Basel</t>
  </si>
  <si>
    <t>JUN 16 2026</t>
  </si>
  <si>
    <t>10.3390/informatics13060091</t>
  </si>
  <si>
    <t>http://dx.doi.org/10.3390/informatics13060091</t>
  </si>
  <si>
    <t>KA7JC</t>
  </si>
  <si>
    <t>WOS:001802493600001</t>
  </si>
  <si>
    <t>Brauner, P; Glawe, F; Liehner, GL; Vervier, L; Ziefle, M</t>
  </si>
  <si>
    <t>Public opinion on artificial intelligence (AI) plays a pivotal role in shaping trust and AI alignment, ethical adoption, and the development equitable policy frameworks. This study investigates expectations, risk-benefit tradeoffs, and value assessments as determinants of societal acceptance of AI. Using a nationally representative sample (N = 1100) from Germany, we examined mental models of AI and potential biases. Participants evaluated 71 AI-related scenarios across domains such as autonomous driving, medical care, art, politics, warfare, and societal divides, assessing their expected likelihood, perceived risks, benefits, and overall value. We present ranked evaluations alongside visual mappings illustrating the risk-benefit tradeoffs. Our findings suggest that while many scenarios were considered likely, they were often associated with high risks, limited benefits, and low overall value. Regression analyses revealed that 96.5% (r2 = 0.965) of the variance in value judgments was explained by risks (/3 = -0.490) and, more strongly, benefits (/3 = +0.672), with no significant relationship to expected likelihood. Demographics and personality traits, including age, gender, and AI readiness, influenced perceptions, highlighting the need for targeted AI literacy initiatives. These findings offer actionable insights for researchers, developers, and policymakers, highlighting the need to communicate tangible benefits and address public concerns to foster responsible and inclusive AI adoption. Future research should explore cross-cultural differences and longitudinal changes in public perception to inform global AI governance.</t>
  </si>
  <si>
    <t>Brauner, Philipp; Glawe, Felix; Liehner, Gian Luca; Vervier, Luisa; Ziefle, Martina</t>
  </si>
  <si>
    <t>Brauner, P (corresponding author), Rhein Westfal TH Aachen, Commun Sci, D-52056 Aachen, Germany.</t>
  </si>
  <si>
    <t>brauner@comm.rwth-aachen.de</t>
  </si>
  <si>
    <t>Deutsche Forschungsgemeinschaft (DFG, German Research Foundation) [390621612]</t>
  </si>
  <si>
    <t>Funded by the Deutsche Forschungsgemeinschaft (DFG, German Research Foundation) under Germany's Excellence Strategy-EXC-2023 Internet of Production-390621612. Open Access funding enabled and organized by Projekt DEAL.</t>
  </si>
  <si>
    <t>[Brauner, Philipp; Glawe, Felix; Liehner, Gian Luca; Vervier, Luisa; Ziefle, Martina] Rhein Westfal TH Aachen, Commun Sci, D-52056 Aachen, Germany</t>
  </si>
  <si>
    <t>RWTH Aachen University</t>
  </si>
  <si>
    <t>Mapping public perception of artificial intelligence: Expectations, risk-benefit tradeoffs, and value as determinants for societal acceptance</t>
  </si>
  <si>
    <t>AI ethics; AI alignment; Technology acceptance; Risk perception; Technology assessment; Mental models; Artificial intelligence</t>
  </si>
  <si>
    <t>TECHNOLOGY; SYSTEMS; AI; KNOWLEDGE; EDUCATION; INTERNET</t>
  </si>
  <si>
    <t>Brauner, Philipp/H-5038-2017</t>
  </si>
  <si>
    <t>Ziefle, Martina/0000-0002-6105-4729; Glawe, Felix/0000-0001-7054-8520; Vervier, Luisa/0000-0002-9030-6999; Brauner, Philipp/0000-0003-2837-5181</t>
  </si>
  <si>
    <t>124304</t>
  </si>
  <si>
    <t>10.1016/j.techfore.2025.124304</t>
  </si>
  <si>
    <t>http://dx.doi.org/10.1016/j.techfore.2025.124304</t>
  </si>
  <si>
    <t>7XP8J</t>
  </si>
  <si>
    <t>WOS:001582075500004</t>
  </si>
  <si>
    <t>van Dijk, BMA; Lefebvre, AEJL; Spruit, MR</t>
  </si>
  <si>
    <t>Objectives: We present Welzijn.AI, a new digital solution for monitoring (mental) well-being in older populations, and illustrate how the development of systems like Welzijn.AI can align with guidelines on responsible AI development. Study design: Three different evaluations with various groups of stakeholders were designed to disclose new perspectives on the strengths, weaknesses, design characteristics, and value requirements of Welzijn.AI. Evaluations consisted of expert panels with patient representatives, general practitioners, researchers, and older people themselves. Panels were involved in interviews, a co-creation session, and an evaluation of a proof-ofconcept implementation of Welzijn.AI. Main outcome measures: Interview results were summarized in terms of Welzijn.AI's strengths, weaknesses, opportunities and threats. The co-creation session ranked a variety of value requirements of Welzijn.AI with the Hundred Dollar Method. The proof-of-concept evaluation entailed analysing proportions of (dis)agreement on statements targeting Welzijn.AI's design characteristics, and ranking desired social characteristics. Results: Stakeholders in the interviews acknowledged Welzijn.AI's potential to combat loneliness and extract patterns from the linguistic behaviour of older people. The proof-of-concept evaluation complemented the design characteristics most appealing to older people to achieve empathetic and varying interactions. Stakeholders linked the technology to the implementation context: Welzijn.AI can unlock an individual's social network, but practice sessions and continuous support should also be available to empower users. Yet, stakeholders also disclosed challenges to a proper understanding of the application, and issues concerning privacy were also highlighted. Conclusions: Incorporating all stakeholder perspectives in system development remains challenging. Still, our results benefit researchers, policymakers, and health professionals who aim to improve the care for older people through the use of technology.</t>
  </si>
  <si>
    <t>van Dijk, Bram M. A.; Lefebvre, Armel E. J. L.; Spruit, Marco R.</t>
  </si>
  <si>
    <t>Spruit, MR (corresponding author), Health Campus The Hague,Turfmarkt 99, NL-2511 DP The Hague, Netherlands.</t>
  </si>
  <si>
    <t>m.r.spruit@lumc.nl</t>
  </si>
  <si>
    <t>ZonMw of the program HTA Methodology [10580012210019]</t>
  </si>
  <si>
    <t>ZonMw of the program HTA Methodology</t>
  </si>
  <si>
    <t>Funding The expert co-creation session took place within the project appraisal of AIdriven MedTech for Trustworthy AI-development participatory, patient-centric methodology and toolkit', financed ZonMw, grant number 10580012210019 of the program HTA ology 2021-2024.</t>
  </si>
  <si>
    <t>[van Dijk, Bram M. A.; Lefebvre, Armel E. J. L.; Spruit, Marco R.] Leiden Univ, Med Ctr, Hlth Campus The Hague,Turfmarkt 99, NL-2511 DP The Hague, Netherlands; [Spruit, Marco R.] Leiden Univ, Leiden Inst Adv Comp Sci, Einsteinweg 55, NL-2333 CC Leiden, Netherlands</t>
  </si>
  <si>
    <t>Leiden University - Excl LUMC; Leiden University; Leiden University Medical Center (LUMC); Leiden University; Leiden University - Excl LUMC</t>
  </si>
  <si>
    <t>Welzijn.AI: Developing responsible conversational AI for the care of older people through stakeholder involvement</t>
  </si>
  <si>
    <t>MATURITAS</t>
  </si>
  <si>
    <t>Well-being; Geriatric care; Artificial intelligence; Remote monitoring; Language biomarkers; Responsible AI; Large language models; Conversational AI</t>
  </si>
  <si>
    <t>Lefebvre, Armel/GPW-9338-2022; van Dijk, Bram/GYR-3129-2022; Spruit, Marco/HZL-8810-2023</t>
  </si>
  <si>
    <t>Lefebvre, Armel/0000-0002-7428-1728</t>
  </si>
  <si>
    <t>0378-5122</t>
  </si>
  <si>
    <t>1873-4111</t>
  </si>
  <si>
    <t>Maturitas</t>
  </si>
  <si>
    <t>199</t>
  </si>
  <si>
    <t>108616</t>
  </si>
  <si>
    <t>10.1016/j.maturitas.2025.108616</t>
  </si>
  <si>
    <t>http://dx.doi.org/10.1016/j.maturitas.2025.108616</t>
  </si>
  <si>
    <t>Geriatrics &amp; Gerontology; Obstetrics &amp; Gynecology</t>
  </si>
  <si>
    <t>3KV6N</t>
  </si>
  <si>
    <t>40446629</t>
  </si>
  <si>
    <t>WOS:001502754400001</t>
  </si>
  <si>
    <t>Moghaddam, SNM; Cao, HH</t>
  </si>
  <si>
    <t>This study examines the deployment of artificial intelligence in urban systems through a multiple case study analysis of 28 implementations selected from 157 AI deployments across six domains (2015-2024). We reveal how cities have fallen into a "metrics trap", pursuing technical accuracy that fails to achieve policy goals. Our analysis documents three critical patterns: (1) an "accuracy illusion" where impressive performance metrics mask fundamental failures, exemplified by ShotSpotter's 97% acoustic accuracy yielding only 9.1% crime-fighting effectiveness; (2) discriminatory feedback loops that transform historical bias into computational destiny, affecting millions through predictive policing and housing algorithms; and (3) successful community resistance movements from Toronto to Detroit proving technological determinism is a myth. Cases including Amsterdam's algorithm register, Seoul's participatory waste management, and NYC Health + Hospitals' bias mitigation reveal varied approaches to democratic AI governance. These findings suggest cities can pursue both technical capability and democratic accountability.</t>
  </si>
  <si>
    <t>Mashhadi Moghaddam, Seyed Navid; Cao, Huhua</t>
  </si>
  <si>
    <t>Moghaddam, SNM (corresponding author), Univ Ottawa, Fac Arts, Dept Geog, Ottawa, ON, Canada.</t>
  </si>
  <si>
    <t>navid.mm@uottawa.ca</t>
  </si>
  <si>
    <t>We are grateful to Reviewer 1 for their insightful comments and appreciate Reviewer 2 for their constructive feedback. We would like to extend our special thanks to Reviewer 3 for their particularly valuable and thoughtful observation. No funding was received for this research.</t>
  </si>
  <si>
    <t>[Mashhadi Moghaddam, Seyed Navid; Cao, Huhua] Univ Ottawa, Fac Arts, Dept Geog, Ottawa, ON, Canada</t>
  </si>
  <si>
    <t>University of Ottawa</t>
  </si>
  <si>
    <t>The metrics trap: how technical sophistication masks social harm in urban AI systems</t>
  </si>
  <si>
    <t>NPJ URBAN SUSTAINABILITY</t>
  </si>
  <si>
    <t>ARTIFICIAL-INTELLIGENCE; BIG DATA; BIAS</t>
  </si>
  <si>
    <t>2661-8001</t>
  </si>
  <si>
    <t>NPJ URBAN SUSTAIN</t>
  </si>
  <si>
    <t>npj Urban Sustain.</t>
  </si>
  <si>
    <t>APR 25 2026</t>
  </si>
  <si>
    <t>10.1038/s42949-026-00394-1</t>
  </si>
  <si>
    <t>http://dx.doi.org/10.1038/s42949-026-00394-1</t>
  </si>
  <si>
    <t>Environmental Studies; Urban Studies</t>
  </si>
  <si>
    <t>Environmental Sciences &amp; Ecology; Urban Studies</t>
  </si>
  <si>
    <t>KK7FJ</t>
  </si>
  <si>
    <t>WOS:001809260300001</t>
  </si>
  <si>
    <t>Hassan, AM; Coert, JH; Clemens, MW; Hassanein, AH; Waljee, JF; Nelson, JA; Mehrara, BJ; Selber, JC</t>
  </si>
  <si>
    <t>BACKGROUND:Artificial intelligence (AI)-enabled clinical decision support systems (CDSS) demonstrate performance comparable or superior to human experts in certain tasks. However, their integration into surgical practice faces a significant implementation gap, alongside ethical, privacy, and legal concerns. Clear governance frameworks are needed to guide their responsible adoption in surgery, to prevent inconsistent application, care quality variation, and exacerbation of algorithmic bias. Here, we establish a systematic, evidence-based, and consensus-driven framework to guide the ethical, effective, and sustainable adoption of AI-enabled CDSS in surgery.STUDY DESIGN:A systematic literature review was conducted of PubMed, Cochrane Library, Medline, and Embase databases until 2024 to identify key governance themes. The themes informed the generation of candidate items, which were then refined through a multiround expert panel consensus process using a modified Delphi approach to produce the final framework.RESULTS:Thematic analysis of 80 full-text articles meeting inclusion criteria identified 4 overarching themes for AI governance: (1) technical prerequisites and model design; (2) clinical implementation and human factors; (3) ethics, safety, and trustworthiness; and (4) bias, fairness, and equity. Panel consensus evaluation resulted in the development of a 19-item framework.CONCLUSIONS:The consensus-driven framework presented here provides foundational guidance essential for navigating the complexities of implementing AI-enabled CDSS safely and ethically in surgery. Addressing the considerations outlined across these 4 core themes can facilitate the responsible adoption of AI, accelerating the transition toward an advanced, data-driven surgical practice while mitigating potential risks.</t>
  </si>
  <si>
    <t>Hassan, Abbas M.; Coert, J. Henk; Clemens, Mark W.; Hassanein, Aladdin H.; Waljee, Jennifer F.; Nelson, Jonas A.; Mehrara, Babak J.; Selber, Jesse C.</t>
  </si>
  <si>
    <t>Selber, JC (corresponding author), Corewell Hlth, Dept Surg, 100 MI St NE, Grand Rapids, MI 49503 USA.</t>
  </si>
  <si>
    <t>Jesse.Selber@corewellhealth.org</t>
  </si>
  <si>
    <t>[Hassan, Abbas M.; Hassanein, Aladdin H.; Waljee, Jennifer F.] Indiana Univ, Dept Surg, Div Plast Surg, Indianapolis, IN USA; [Coert, J. Henk] Univ Med Ctr Utrecht, Dept Plast &amp; Reconstruct Surg, Utrecht, Netherlands; [Clemens, Mark W.] Univ Texas MD Anderson Canc Ctr, Dept Plast Surg, Houston, TX USA; [Nelson, Jonas A.; Mehrara, Babak J.] Mem Sloan Kettering Canc Ctr, Dept Surg, Plast &amp; Reconstruct Surg Serv, New York, NY USA; [Selber, Jesse C.] Corewell Hlth, Dept Surg, 100 MI St NE, Grand Rapids, MI 49503 USA</t>
  </si>
  <si>
    <t>Indiana University System; Indiana University Indianapolis; Utrecht University; Utrecht University Medical Center; University of Texas System; UTMD Anderson Cancer Center; Memorial Sloan Kettering Cancer Center</t>
  </si>
  <si>
    <t>Governance Framework for Safe and Ethical Implementation of Artificial Intelligence in Surgery: A Modified Delphi Consensus</t>
  </si>
  <si>
    <t>Waljee, Jennifer/A-1319-2014; Hassanein, Aladdin/JYP-7135-2024</t>
  </si>
  <si>
    <t>243</t>
  </si>
  <si>
    <t>237</t>
  </si>
  <si>
    <t>10.1097/XCS.0000000000001834</t>
  </si>
  <si>
    <t>http://dx.doi.org/10.1097/XCS.0000000000001834</t>
  </si>
  <si>
    <t>JL4MN</t>
  </si>
  <si>
    <t>41641894</t>
  </si>
  <si>
    <t>WOS:001792125800017</t>
  </si>
  <si>
    <t>Caraka, RE; Supardi, K; Gondhowiardjo, SA; Isnaniawardhani, V; Gio, PU; Chen, RC; Pardamean, B</t>
  </si>
  <si>
    <t>The integration of artificial intelligence, particularly deep learning, has transformed cancer oncology through more precise diagnostics, personalized therapies, and improved clinical decision-making. This study conducts a bibliometric mapping to capture global research trends, intellectual influence, and conceptual structures in cancer oncology and deep learning. A total of 19,627 peerreviewed articles published between 2022 and 2025 were analyzed, retrieved from an initial dataset of 34,218 documents. Using Correspondence Analysis (CA) and Multiple Correspondence Analysis (MCA) in RStudio, we evaluated both Author Keywords and Keyword Plus. The results highlight dominant themes, including multimodal learning and radiogenomics, while also uncovering emerging directions such as transformer-based models, federated learning for cross-institutional data, and the ethical dimensions of explainable AI in clinical workflows. MCA on Keyword Plus provided stronger explanatory power (80.01% and 8.76% for the first two dimensions) compared to CA on Author Keywords (5.27% and 3.73%). This mapping reveals critical gaps-such as limited participation from low- and middle-income countries, lack of standardized datasets, and insufficient multidisciplinary collaboration. By identifying these challenges and opportunities, the study provides actionable insights for researchers, policymakers, and clinicians to advance inclusive and ethically responsible AI-driven cancer research.</t>
  </si>
  <si>
    <t>Caraka, Rezzy Eko; Supardi, Khairunnisa; Gondhowiardjo, Soehartati A.; Isnaniawardhani, Vijaya; Gio, Prana Ugiana; Chen, Rung Ching; Pardamean, Bens</t>
  </si>
  <si>
    <t>Caraka, RE (corresponding author), Univ Padjadjaran, Grad Sch, Engineers Profess Program, Bandung 45363, West Java, Indonesia.; Caraka, RE (corresponding author), Telkom Univ, Sch Business &amp; Econ, Bandung 40257, Indonesia.; Caraka, RE (corresponding author), Natl Res &amp; Innovat Agcy BRIN, Res Org Elect &amp; Informat, Res Ctr Data &amp; Informat Sci, Bandung 40135, Indonesia.; Caraka, RE (corresponding author), Chaoyang Univ Technol, Dept Informat Management, Taichung 41349, Taiwan.; Supardi, K (corresponding author), Univ Indonesia, Dr Cipto Mangunkusumo Natl Gen Hosp, Dept Radiat Oncol, Fac Med, Jakarta 10430, Indonesia.</t>
  </si>
  <si>
    <t>r.eko.caraka@unpad.ac.id; crching@cyut.edu.tw</t>
  </si>
  <si>
    <t>Universitas Padjadjaran; Vibrant Academic Community of Telkom University</t>
  </si>
  <si>
    <t>Acknowledgment Rezzy Eko Caraka and Khairunnisa Supardi contributed equally as first authors and were responsible for the conceptua-lization of this study. Rezzy Eko Caraka and Rung Ching Chen contributed equally and are designated as co-correspond-ing authors. The authors express their sincere gratitude to Universitas Padjadjaran and the Vibrant Academic Community of Telkom University for their support in scholarly publications. This work was partially supported by internal research funding from the authors' respective institutions.</t>
  </si>
  <si>
    <t>[Caraka, Rezzy Eko; Isnaniawardhani, Vijaya] Univ Padjadjaran, Grad Sch, Engineers Profess Program, Bandung 45363, West Java, Indonesia; [Caraka, Rezzy Eko] Telkom Univ, Sch Business &amp; Econ, Bandung 40257, Indonesia; [Caraka, Rezzy Eko] Natl Res &amp; Innovat Agcy BRIN, Res Org Elect &amp; Informat, Res Ctr Data &amp; Informat Sci, Bandung 40135, Indonesia; [Caraka, Rezzy Eko; Chen, Rung Ching] Chaoyang Univ Technol, Dept Informat Management, Taichung 41349, Taiwan; [Supardi, Khairunnisa; Gondhowiardjo, Soehartati A.] Univ Indonesia, Dr Cipto Mangunkusumo Natl Gen Hosp, Dept Radiat Oncol, Fac Med, Jakarta 10430, Indonesia; [Gio, Prana Ugiana] Univ Sumatera Utara, Dept Math, Medan, Indonesia; [Pardamean, Bens] Bina Nusantara Univ, Bioinformat &amp; Data Sci Res Ctr, Jakarta 11480, Indonesia; [Pardamean, Bens] Bina Nusantara Univ, Comp Sci Dept, BINUS Grad Program, Comp Sci Program, Jakarta 11480, Indonesia</t>
  </si>
  <si>
    <t>Universitas Padjadjaran; Telkom University; National Research &amp; Innovation Agency of Indonesia (BRIN); Chaoyang University of Technology; University of Indonesia; University of North Sumatra; Universitas Bina Nusantara; Universitas Bina Nusantara</t>
  </si>
  <si>
    <t>Artificial Intelligence in Cancer Oncology Through Comprehensive Bibliometric Mapping of Global Trends Impact and Conceptual Structures</t>
  </si>
  <si>
    <t>JOURNAL OF HEALTHCARE LEADERSHIP</t>
  </si>
  <si>
    <t>cancer oncology; deep learning; artificial intelligence; bibliometric analysis; machine learning in cancer</t>
  </si>
  <si>
    <t>MULTIVARIATE METHODS; COLORECTAL-CANCER; PROGNOSIS; AI</t>
  </si>
  <si>
    <t>Pardamean, Bens/GRJ-5921-2022; Gondhowiardjo, Soehartati/AEG-7309-2022; gio, prana ugiana/GYD-5398-2022; Caraka, Rezzy Eko/Q-3891-2019</t>
  </si>
  <si>
    <t>Pardamean, Bens/0000-0002-7404-9005; Gondhowiardjo, Soehartati/0000-0002-9446-4361</t>
  </si>
  <si>
    <t>1179-3201</t>
  </si>
  <si>
    <t>J HEALTHC LEADERSH</t>
  </si>
  <si>
    <t>J. Healthc. Leadersh.</t>
  </si>
  <si>
    <t>591</t>
  </si>
  <si>
    <t>621</t>
  </si>
  <si>
    <t>10.2147/JHL.S550933</t>
  </si>
  <si>
    <t>http://dx.doi.org/10.2147/JHL.S550933</t>
  </si>
  <si>
    <t>9GB2U</t>
  </si>
  <si>
    <t>41185664</t>
  </si>
  <si>
    <t>WOS:001605497000001</t>
  </si>
  <si>
    <t>Bang, SH; Han, S; Turchioe, MR; Ellison, M; Dai, S; Happ, MB; Russell, D; Creber, RM</t>
  </si>
  <si>
    <t>Objective To develop and systematically compare a human-led and LLM-assisted hybrid deductive-inductive workflow for qualitative analyses.Materials and methods We analyzed 122 transcripts (n = 61 research clinical consultations; n = 61 reflexive interviews) from a video ethnography study of patients with heart failure. Human-led thematic analysis used Dedoose software, and LLM-based analysis was conducted using ChatGPT Edu (GPT-5.2; OpenAI) with an eleven-prompt protocol. Both applied a hybrid deductive-inductive approach. The research team compared outputs across 63 human-LLM theme pairs using human consensus and LLM-based evaluation, integrated themes into a final framework, and manually verified quotation fidelity against the original transcripts.Results Human-led and LLM-generated analyses produced complementary cross-cutting themes (7 human; 9 LLM), all judged valid and integrated into 14 final themes across three domains. Thematic overlap was moderate to substantial (Hit Rate 1.00; Jaccard 0.44-0.51). Robustness testing across three runs revealed recurrence of five core concepts alongside variability in theme labels and counts. Quotation fidelity showed 68% verbatim, 20% paraphrased, 6% partial and 3% full hallucinations, and 3% truncated excerpts; verbatim quotations did not always clearly support their assigned themes.Discussion LLM-assisted analysis is feasible for large-scale qualitative health research within a HIPAA-compliant environment using an adaptable eleven-prompt protocol. Human oversight remained essential for contextual interpretation, quotation verification, and assessment of theme-quotation support.Conclusions LLMs are best positioned as analytic partners rather than autonomous coders. Transparent workflows with human-in-the-loop validation are essential for responsible AI integration in health and biomedical informatics.</t>
  </si>
  <si>
    <t>Bang, So Hyeon; Han, Soojeong; Turchioe, Meghan Reading; Ellison, Melani; Dai, Stacey; Happ, Mary Beth; Russell, David; Creber, Ruth Masterson</t>
  </si>
  <si>
    <t>Creber, RM (corresponding author), 560 168th St, New York, NY 10032 USA.</t>
  </si>
  <si>
    <t>rm3284@cumc.columbia.edu</t>
  </si>
  <si>
    <t>National Institutes of Health [R01HL161458]</t>
  </si>
  <si>
    <t>National Institutes of Health (United States Department of Health &amp; Human Services, National Institutes of Health (NIH) - USA, Office of the Administrator (NIH))</t>
  </si>
  <si>
    <t>This work was supported by the National Heart, Lung, and Blood Institute of the National Institutes of Health under Award Number R01HL161458 (PI: Masterson Creber). Soojeong Han is a postdoctoral research fellow, supported by the National Institutes of Health, National Institute of Nursing Research-Reducing Health Differences Through Informatics Training Program (T32NR007969).</t>
  </si>
  <si>
    <t>[Bang, So Hyeon; Han, Soojeong; Turchioe, Meghan Reading; Ellison, Melani; Dai, Stacey; Creber, Ruth Masterson] Columbia Univ, Sch Nursing, New York, NY USA; [Happ, Mary Beth] Ohio State Univ, Coll Nursing, Columbus, OH USA; [Russell, David] Appalachian State Univ, Dept Sociol, Boone, NC USA</t>
  </si>
  <si>
    <t>Columbia University; University System of Ohio; Ohio State University; University of North Carolina; Appalachian State University</t>
  </si>
  <si>
    <t>Developing and evaluating human-led and large language model-assisted hybrid deductive-inductive workflows for qualitative analysis</t>
  </si>
  <si>
    <t>Large Language Models (LLMs); qualitative research; thematic analysis; clinical informatics; patient-reported outcomes</t>
  </si>
  <si>
    <t>Bang, Sohyeon/LJM-1722-2024</t>
  </si>
  <si>
    <t>10.1093/jamia/ocag123</t>
  </si>
  <si>
    <t>http://dx.doi.org/10.1093/jamia/ocag123</t>
  </si>
  <si>
    <t>MH1BS</t>
  </si>
  <si>
    <t>42562767</t>
  </si>
  <si>
    <t>WOS:001842094200001</t>
  </si>
  <si>
    <t>Thorat, V; Rao, PJK; Joshi, N; Talreja, P; Shetty, AR</t>
  </si>
  <si>
    <t>Effective patient education and communication are integral components of quality dental care, contributing to informed decision -making, treatment compliance, and positive clinical outcomes. However, traditional methods face challenges such as language barriers, anxiety, and information retention issues. Artificial intelligence (AI) presents innovative solutions to enhance patient engagement and communication in dentistry. This review explores the transformative role of AI in redefining patient education and communication strategies, focusing on applications, benefits, challenges, and future directions. A literature search identified articles from 2018 to 2024, encompassing empirical evidence and conceptual frameworks related to AI in dental patient engagement and communication. Key findings reveal AI's potential to offer personalized educational materials, virtual consultations, language translation tools, and virtual reality simulations, improving patient understanding and experience. Despite advancements, concerns about overreliance, accuracy, implementation costs, patient acceptance, privacy, and regulatory compliance persist. Future implications suggest AI's ability to track patient progress, analyze feedback, streamline administrative processes, and provide ongoing support, enhancing oral health outcomes. However, ethical, regulatory, and equity considerations require attention for responsible AI deployment and widespread adoption. Overall, AI holds promise for revolutionizing dental patient education, communication, and care delivery, emphasizing the need for comprehensive strategies to address emerging challenges and maximize benefits.</t>
  </si>
  <si>
    <t>Thorat, Vinayak; Rao, Prajakta; Joshi, Nilesh; Talreja, Prakash; Shetty, Anupa R.</t>
  </si>
  <si>
    <t>Thorat, V (corresponding author), Bharati Vidyapeeth Dent Coll &amp; Hosp, Dept Periodontol, Navi Mumbai, India.</t>
  </si>
  <si>
    <t>dr.vinayakthorat@gmail.com</t>
  </si>
  <si>
    <t>[Thorat, Vinayak; Rao, Prajakta; Joshi, Nilesh; Talreja, Prakash; Shetty, Anupa R.] Bharati Vidyapeeth Dent Coll &amp; Hosp, Dept Periodontol, Navi Mumbai, India</t>
  </si>
  <si>
    <t>Bharati Vidyapeeth Deemed University</t>
  </si>
  <si>
    <t>Role of Artificial Intelligence (AI) in Patient Education and Communication in Dentistry</t>
  </si>
  <si>
    <t>artificial intelligence in dentistry; ai applications in dentistry; dental patient engagement; ai in dentistry; patient education ai; dental ai communication</t>
  </si>
  <si>
    <t>Talreja, Prakash/ACR-9785-2022; RAO, PRAJAKTA/ABF-9650-2020; Hiasa, Yoichi/ABD-2759-2021; Joshi, Nilesh/ADM-4477-2022; Shetty, Anupa/GYV-0431-2022; thorat, vinayak/ACT-7267-2022</t>
  </si>
  <si>
    <t>RAO, PRAJAKTA/0000-0002-4611-4711; Joshi, Nilesh/0000-0002-8010-3696; Shetty, Anupa/0000-0002-0566-0230</t>
  </si>
  <si>
    <t>MAY 7 2024</t>
  </si>
  <si>
    <t>e59799</t>
  </si>
  <si>
    <t>10.7759/cureus.59799</t>
  </si>
  <si>
    <t>http://dx.doi.org/10.7759/cureus.59799</t>
  </si>
  <si>
    <t>SO6X6</t>
  </si>
  <si>
    <t>38846249</t>
  </si>
  <si>
    <t>WOS:001235443700035</t>
  </si>
  <si>
    <t>Zhao, ZH; Liu, ZH; Guo, L; Pan, T; Zhang, YS; Miao, CX; Ge, YT; Wang, YP; Hu, X; Wang, X; Zhang, RP; Hou, ZY</t>
  </si>
  <si>
    <t>Background: Artificial intelligence (AI), particularly generative AI and large language models, is increasingly used for assessment-related tasks in medical education. Existing overviews often address AI in medical education broadly, limiting assessment-specific interpretation of functions, settings, learner stages, and responsible-AI reporting domains. Objective: This study aims to map the literature on AI for assessment and feedback in medical education, including publication trends, bibliometric structure, assessment functions, AI types, settings, learner stages, and reporting of validity, reliability, fairness, integrity, transparency, human oversight, implementation, and governance. Methods: We conducted a bibliometric mapping study incorporating structured thematic evidence-map coding. Web of Science Core Collection, Scopus, and PubMed were searched from January 1, 2015, to April 8, 2026. Document selection and main evidence-map coding were based primarily on titles, abstracts, and bibliographic metadata, with targeted ambiguity resolution. Because reporting domains may appear mainly in full-text sections, all 435 included records underwent full-text sensitivity analysis for the 8 reporting domains. Coding reliability was assessed by two coders using percent agreement and Cohen kappa before adjudication. Exploratory subgroup analyses and an excluding-2026 partial-year sensitivity analysis were conducted. Results: Searches identified 14,968 records; 435 were included after deduplication and selection. Overall, 399 (91.7%) records were indexed in the post-ChatGPT period. Generative AI was coded in 310 (71.3%) records, and large language models in 301 (69.2%) records. In the assessment-function umbrella analysis, learner performanceevaluation accounted for 270 (62.1%) records, feedback for 93 (21.4%) records, assessment content generation for 65 (14.9%) records, and other or unclear functions for 7 (1.6%) records. The most common settings were board-style examinations (n=151, 34.7%) and written examinations (n=88, 20.2%); undergraduate medical education was the most represented learner stage (n=172, 39.5%). Full-text-confirmed reporting was most frequent for reliability (n=288, 66.2%) and implementation (n=231, 53.1%); intermediate for validity (n=158, 36.3%), fairness (n=132, 30.3%), and transparency (n=130, 29.9%); and less frequent for governance (n=57, 13.1%), human oversight (n=46, 10.6%), and integrity (n=26, 6%). Stage 1 kappa values ranged from 0.785 to 0.895, and stage 2 kappa values ranged from 0.809 to 0.880. Excluding 65 partial-year 2026 records did not change the overall interpretation. Conclusions:The indexed English-language literatureon AI for assessment and feedback in medical education expanded rapidly in the post-ChatGPT period and was concentrated in generative AI, large language models, examination-oriented assessment, and undergraduate medical education. Future studies should complement examination benchmarking with authentic assessment contexts, distinguish assessment content generation from learner-facing evaluation and feedback, and report responsible assessment domains more consistently.</t>
  </si>
  <si>
    <t>Zhao, Zihang; Liu, Zihan; Guo, Liang; Pan, Teng; Zhang, Yousheng; Miao, Chenxiang; Ge, Yiting; Wang, Yipeng; Hu, Xin; Wang, Xin; Zhang, Ruipeng; Hou, Zhiyong</t>
  </si>
  <si>
    <t>Hou, ZY (corresponding author), Hebei Med Univ, Hosp 3, Dept Orthoped Surg, 139 Ziqiang Rd, Shijiazhuang 050051, Hebei, Peoples R China.</t>
  </si>
  <si>
    <t>drzyhou@hebmu.edu.cn</t>
  </si>
  <si>
    <t>Natural Science Foundation of Hebei Province [H2025206300]; The 2025 Hebei Province Government-funded Training Program for Clinical Medical Professionals [ZF2025138]; Clinical Innovation Research Team of Hebei Medical University [2022LCTD-B35]; Third Hospital of Hebei Medical University University-Hospital Collaboration Fund Program [ydsyqjjh202513]; Hebei Province Introduction of Foreign Intelligence Projects (2026)</t>
  </si>
  <si>
    <t>Natural Science Foundation of Hebei Province (Natural Science Foundation of Hebei Province); The 2025 Hebei Province Government-funded Training Program for Clinical Medical Professionals; Clinical Innovation Research Team of Hebei Medical University; Third Hospital of Hebei Medical University University-Hospital Collaboration Fund Program; Hebei Province Introduction of Foreign Intelligence Projects (2026)</t>
  </si>
  <si>
    <t>This study was supported by the Natural Science Foundation of Hebei Province (Grant number H2025206300), the 2025 Hebei Province Government-funded Training Program for Clinical Medical Professionals (Grant number ZF2025138), the Clinical Innovation Research Team of Hebei Medical University (Grant number 2022LCTD-B35), the Third Hospital of Hebei Medical University University-Hospital Collaboration Fund Program (Grant number ydsyqjjh202513), and the Hebei Province Introduction of Foreign Intelligence Projects (2026) . The funders had no role in the design and conduct of the study; collection, management, analysis, and interpretation of the data; preparation, review, or approval of the manuscript; or the decision to submit the manuscript for publication.</t>
  </si>
  <si>
    <t>[Zhao, Zihang; Liu, Zihan; Guo, Liang; Hu, Xin; Wang, Xin; Zhang, Ruipeng; Hou, Zhiyong] Hebei Med Univ, Hosp 3, Dept Orthoped Surg, 139 Ziqiang Rd, Shijiazhuang 050051, Hebei, Peoples R China; [Zhao, Zihang; Liu, Zihan; Guo, Liang; Miao, Chenxiang; Ge, Yiting; Wang, Yipeng; Hu, Xin; Wang, Xin; Zhang, Ruipeng; Hou, Zhiyong] Hebei Med Univ, Shijiazhuang, Hebei, Peoples R China; [Pan, Teng] Shijiazhuang Peoples Hosp, Dept Oncol, Shijiazhuang, Hebei, Peoples R China; [Zhang, Yousheng] Univ Melbourne, Fac Med Dent &amp; Hlth Sci, Melbourne, Vic, Australia</t>
  </si>
  <si>
    <t>Hebei Medical University; Hebei Medical University; University of Melbourne</t>
  </si>
  <si>
    <t>Artificial Intelligence for Assessment and Feedback in Medical Education: Bibliometric Mapping Study and Thematic Evidence Map</t>
  </si>
  <si>
    <t>artificial intelligence; generative artificial intelligence; large language model; medical education; learner assessment; feedback; bibliometric analysis; evidence map; summative assessment; validity; fairness; governance</t>
  </si>
  <si>
    <t>PROGRAMMATIC ASSESSMENT; COMPETENCE</t>
  </si>
  <si>
    <t>Miao, Chenxiang/0009-0002-5054-8077; Zhang, Yousheng/0009-0008-4998-668X</t>
  </si>
  <si>
    <t>e98949</t>
  </si>
  <si>
    <t>10.2196/98949</t>
  </si>
  <si>
    <t>http://dx.doi.org/10.2196/98949</t>
  </si>
  <si>
    <t>KW4UN</t>
  </si>
  <si>
    <t>42392589</t>
  </si>
  <si>
    <t>WOS:001817242900003</t>
  </si>
  <si>
    <t>Alqaissi, N; Qtait, M; Farajalla, F; Al-Tamimi, M</t>
  </si>
  <si>
    <t>Objectives: Artificial intelligence (AI) is increasingly transforming healthcare delivery and health professions education, creating a need for future healthcare professionals to develop adequate knowledge, practical skills, and ethical awareness. However, many students remain exposed to AI tools without receiving structured academic preparation. This study aimed to assess knowledge, attitudes, practices, and perceived barriers toward AI among nursing and health sciences students. Methods: A descriptive cross-sectional study was conducted among 242 undergraduate students at a public university in Palestine between January and February 2025. Data were collected using a structured self-administered questionnaire adapted from previous literature and refined through expert review and pilot testing. The survey assessed sociodemographic characteristics, AI-related knowledge and exposure, attitudes, practices, and perceived barriers. Descriptive statistics were used to summarize the data, while Mann-Whitney U and Kruskal-Wallis tests examined subgroup differences. Results: Participants had a mean age of 20.4 +/- 2.28 years, and 77.3% were female. Most students reported using AI tools (83.1%), whereas only 31.0% had received formal AI training. Overall knowledge/exposure scores were moderate (2.78 +/- 1.12), attitudes were generally positive (3.64 +/- 0.61), and practice levels were moderate (3.18 +/- 0.72). No significant differences in knowledge or practice scores were observed across demographic variables (p &gt; .05). Students with formal AI training demonstrated significantly higher attitude scores (p = .019). The most frequently reported barriers were ethical and privacy concerns (44.2%), limited curriculum integration (42.6%), and lack of knowledge or expertise (38.4%). Conclusions: Students demonstrated substantial exposure to AI technologies but limited structured preparedness for their effective and ethical use. Positive attitudes toward AI suggest readiness for educational adoption; however, moderate knowledge and practice levels indicate the need for formal curriculum integration, faculty development, and competency-based training. Addressing ethical concerns and institutional barriers is essential to support responsible AI implementation in nursing and health sciences education.</t>
  </si>
  <si>
    <t>Alqaissi, Nesreen; Qtait, Mohammad; Farajalla, Fuad; Al-Tamimi, Marwa</t>
  </si>
  <si>
    <t>Qtait, M (corresponding author), Palestine Polytech Univ, Nursing Coll, Wadi Al Hariya Campus,Bldg C,POB 198, Hebron, Palestine.</t>
  </si>
  <si>
    <t>The authors would like to thank the nursing student who participated in this study for their time and valuable contributions. Special appreciation is extended to the University for facilitating data collection. Gratitude is also due to Palestine Polytechnic University for their ethical oversight and support throughout the research process.</t>
  </si>
  <si>
    <t>[Alqaissi, Nesreen; Qtait, Mohammad; Farajalla, Fuad; Al-Tamimi, Marwa] Palestine Polytech Univ, Nursing Coll, Wadi Al Hariya Campus,Bldg C,POB 198, Hebron, Palestine</t>
  </si>
  <si>
    <t>Knowledge, attitudes, practices, and barriers toward artificial intelligence integration among nursing and health sciences students: A cross-sectional study</t>
  </si>
  <si>
    <t>artificial intelligence; nursing students; health sciences education; knowledge; attitudes; and practices; educational barriers</t>
  </si>
  <si>
    <t>SAUDI-ARABIA; EDUCATION; AI</t>
  </si>
  <si>
    <t>qtait, mohammad/U-6851-2019</t>
  </si>
  <si>
    <t>20552076261452364</t>
  </si>
  <si>
    <t>10.1177/20552076261452364</t>
  </si>
  <si>
    <t>http://dx.doi.org/10.1177/20552076261452364</t>
  </si>
  <si>
    <t>IY1DS</t>
  </si>
  <si>
    <t>42245255</t>
  </si>
  <si>
    <t>WOS:001783078800001</t>
  </si>
  <si>
    <t>Sharma, A; Rani, S</t>
  </si>
  <si>
    <t>The fast growth of 6G-enabled Internet of Things (IoT) networks has transformed communication and made it possible for smart cities, driverless cars, healthcare, and industrial automation to all have seamless connectivity. However, the growing complexity and diversity of 6G-IoT infrastructures present serious cybersecurity issues, leaving these networks open to a range of attacks like malware dissemination, spoofing, and distributed Denial-of-Service (DDoS). Because traditional intrusion detection systems (IDS) cannot adjust to changing attack patterns, they are unable to effectively combat these threats. Using random forest (RF), support vector machine (SVM), logistic regression (LR), and extreme gradient boosting (XGBoost) to improve detection accuracy and robustness, this study proposed a novel Stacked-Hybrid Model for attack detection in 6G-IoT networks. The proposed model maximizes classification performance while reducing computational cost by utilizing feature selection and ensemble learning. Training and evaluation are conducted on the RT-IoT dataset, proving the effectiveness of the method. The experimental results demonstrate that the proposed Stacked-Hybrid Model outperforms individual machine learning (ML) models, achieving 99.90% detection accuracy. The other performance metrics of the proposed model have also been evaluated, including precision, sensitivity, specificity and F1-score rates at 99.56%, 99.56%, 99.93%, and 99.56%, respectively. Significant advancements in identifying intricate and dynamic cyber threats in 6G-IoT contexts are also revealed by a comparison with other models.</t>
  </si>
  <si>
    <t>Sharma, Anshika; Rani, Shalli</t>
  </si>
  <si>
    <t>Rani, S (corresponding author), Chitkara Univ, Inst Engn &amp; Technol, Rajpura 140401, Punjab, India.</t>
  </si>
  <si>
    <t>shalli.rani@chitkara.edu.in; anshika.sharma@chitkara.edu.in</t>
  </si>
  <si>
    <t>[Sharma, Anshika; Rani, Shalli] Chitkara Univ, Inst Engn &amp; Technol, Rajpura 140401, Punjab, India</t>
  </si>
  <si>
    <t>Chitkara University, Punjab</t>
  </si>
  <si>
    <t>Enhancing 6G-IoT Network Security: A Trustworthy and Responsible AI-Driven Stacked-Hybrid Model for Attack Detection</t>
  </si>
  <si>
    <t>6G mobile communication; Security; Computational modeling; Support vector machines; Adaptation models; Training; Computer crime; Accuracy; Smart cities; Predictive models; 6G; cyberattacks; Internet of Things (IoT); machine learning (ML); security; stacked-hybrid model</t>
  </si>
  <si>
    <t>Rani, Shalli/AGY-9513-2022</t>
  </si>
  <si>
    <t>7777</t>
  </si>
  <si>
    <t>7784</t>
  </si>
  <si>
    <t>10.1109/JIOT.2025.3566403</t>
  </si>
  <si>
    <t>http://dx.doi.org/10.1109/JIOT.2025.3566403</t>
  </si>
  <si>
    <t>WOS:001696600200049</t>
  </si>
  <si>
    <t>Jayawardena, S; Haddela, PS; Shyamalee, T; Ekanayake, A; Mudalige, T; Dhanawardhana, I</t>
  </si>
  <si>
    <t>With the growing adoption of audio based AI systems in high-stakes domains such as healthcare, law enforcement, and social media, ensuring fairness particularly regarding gender bias has become critically important. While prior work on fairness has predominantly focused on disparities in model performance, bias inherent in training datasets remains underexplored. To address this gap, we propose EuqAud, a novel, pre-trained and traceable fairness metric that quantifies gender bias in audio datasets using raw acoustic features such as pitch, energy, amplitude, and voice activity. Unlike methods dependent on demographic labels such as race, age or language, EuqAud is designed to be demographic and language agnostic, enhancing its applicability across diverse contexts. The score is computed using an equation derived from polynomial regression with L2 regularization (Ridge regression), yielding robust and generalizable outputs. It spans a range from -10 to 10, where 0 denotes neutral, positive scores indicate male dominant bias, and negative scores reflect female dominant bias. For clarity, bias severity is categorized into three tiers: Neutral (EuqAud &lt;2), Moderate Bias ( 2 &lt;= EuqAud &lt;= 6 ), and Strong Bias (EuqAud &gt;6). Evaluation across multiple datasets demonstrates high predictive performance, with R2 values between 0.95 and 0.99. By focusing on dataset level bias rather than model outcomes, EuqAud offers a scalable and rigorous solution for advancing fairness in audio-based AI systems.</t>
  </si>
  <si>
    <t>Jayawardena, Sriwanthi; Haddela, Prasanna S.; Shyamalee, Thisara; Ekanayake, Amandi; Mudalige, Tharushi; Dhanawardhana, Imesha</t>
  </si>
  <si>
    <t>Jayawardena, S (corresponding author), Sri Lanka Inst Informat Technol, Fac Comp, Malabe 10115, Sri Lanka.</t>
  </si>
  <si>
    <t>sriwanthij@gmail.com</t>
  </si>
  <si>
    <t>[Jayawardena, Sriwanthi; Haddela, Prasanna S.; Shyamalee, Thisara; Ekanayake, Amandi; Mudalige, Tharushi; Dhanawardhana, Imesha] Sri Lanka Inst Informat Technol, Fac Comp, Malabe 10115, Sri Lanka</t>
  </si>
  <si>
    <t>Sri Lanka Institute of Information Technology (SLIIT)</t>
  </si>
  <si>
    <t>EuqAud: Detecting Gender Bias in Audio Datasets Using Polynomial Regression-Based Metric</t>
  </si>
  <si>
    <t>Measurement; Artificial intelligence; Mathematical models; Acoustics; Voice activity detection; Training; Feature extraction; Predictive models; Information technology; Error analysis; Audio datasets; bias detection; EuqAud; gender bias; polynomial regression; responsible AI</t>
  </si>
  <si>
    <t>SPEECH RECOGNITION</t>
  </si>
  <si>
    <t>Haddela, Prasanna/LXA-7450-2024</t>
  </si>
  <si>
    <t>42943</t>
  </si>
  <si>
    <t>42955</t>
  </si>
  <si>
    <t>10.1109/ACCESS.2026.3674991</t>
  </si>
  <si>
    <t>http://dx.doi.org/10.1109/ACCESS.2026.3674991</t>
  </si>
  <si>
    <t>FN6KS</t>
  </si>
  <si>
    <t>WOS:001723045700045</t>
  </si>
  <si>
    <t>Ramachandranpillai, R; Baeza-Yates, R; Heintz, F</t>
  </si>
  <si>
    <t>Explainable artificial intelligence (XAI) and fair learning have made significant strides in various application domains, including criminal recidivism predictions, healthcare settings, toxic comment detection, automatic speech detection, recommendation systems, and image segmentation. However, these two fields have largely evolved independently. Recent studies have demonstrated that incorporating explanations into decision-making processes enhances the transparency and trustworthiness of AI systems. In light of this, our objective is to conduct a systematic review of FairXAI, which explores the interplay between fairness and explainability frameworks. To commence, we propose a taxonomy of FairXAI that utilizes XAI to mitigate and evaluate bias. This taxonomy will be a base for machine learning researchers operating in diverse domains. Additionally, we will undertake an extensive review of existing articles, taking into account factors such as the purpose of the interaction, target audience, and domain and context. Moreover, we outline an interaction framework for FairXAI considering various fairness perceptions and propose a FairXAI wheel that encompasses four core properties that must be verified and evaluated. This will serve as a practical tool for researchers and practitioners, ensuring the fairness and transparency of their AI systems. Furthermore, we will identify challenges and conflicts in the interactions between fairness and explainability, which could potentially pave the way for enhancing the responsibility of AI systems. As the inaugural review of its kind, we hope that this survey will inspire scholars to address these challenges by scrutinizing current research in their respective domains.</t>
  </si>
  <si>
    <t>Ramachandranpillai, Resmi; Baeza-Yates, Ricardo; Heintz, Fredrik</t>
  </si>
  <si>
    <t>Ramachandranpillai, R (corresponding author), Northeastern Univ, Inst Experiential AI, Portland, ME 04101 USA.</t>
  </si>
  <si>
    <t>r.ramachandranpillai@northeastern.edu</t>
  </si>
  <si>
    <t>Knut and Alice Wallenberg Foundation; ELLIIT Excellence Center at Linkoeping-Lund for Information Technology; TAILOR (A Network for Trustworthy Artificial Intelligence in Europe)</t>
  </si>
  <si>
    <t>Knut and Alice Wallenberg Foundation (Knut &amp; Alice Wallenberg Foundation); ELLIIT Excellence Center at Linkoeping-Lund for Information Technology; TAILOR (A Network for Trustworthy Artificial Intelligence in Europe)</t>
  </si>
  <si>
    <t>This work was supported in part by the Knut and Alice Wallenberg Foundation, in part by ELLIIT Excellence Center at Linkoeping-Lund for Information Technology, and in part by TAILOR (A Network for Trustworthy Artificial Intelligence in Europe).</t>
  </si>
  <si>
    <t>[Ramachandranpillai, Resmi] Northeastern Univ, Inst Experiential AI, Portland, ME 04101 USA; [Baeza-Yates, Ricardo] Northeastern Univ, Inst Experiential AI, San Jose, CA 95113 USA; [Heintz, Fredrik] Linkoping Univ, Dept Comp &amp; Informat Sci, S-58183 Linkoping, Sweden</t>
  </si>
  <si>
    <t>Linkoping University</t>
  </si>
  <si>
    <t>FairXAI -A Taxonomy and Framework for Fairness and Explainability Synergy in Machine Learning</t>
  </si>
  <si>
    <t>IEEE TRANSACTIONS ON NEURAL NETWORKS AND LEARNING SYSTEMS</t>
  </si>
  <si>
    <t>Explainability; fair machine learning (ML); interpretability; interpretability; responsible AI; responsible AI; responsible AI</t>
  </si>
  <si>
    <t>CLASSIFICATION; BIAS</t>
  </si>
  <si>
    <t>Baeza-Yates, Ricardo/H-5692-2015; ramachandranpillai, resmi/JXN-0774-2024</t>
  </si>
  <si>
    <t>Heintz, Fredrik/0000-0002-9595-2471; ramachandranpillai, resmi/0000-0002-4302-9327</t>
  </si>
  <si>
    <t>2162-237X</t>
  </si>
  <si>
    <t>2162-2388</t>
  </si>
  <si>
    <t>IEEE T NEUR NET LEAR</t>
  </si>
  <si>
    <t>IEEE Trans. Neural Netw. Learn. Syst.</t>
  </si>
  <si>
    <t>9819</t>
  </si>
  <si>
    <t>9836</t>
  </si>
  <si>
    <t>10.1109/TNNLS.2025.3528321</t>
  </si>
  <si>
    <t>http://dx.doi.org/10.1109/TNNLS.2025.3528321</t>
  </si>
  <si>
    <t>Computer Science, Artificial Intelligence; Computer Science, Hardware &amp; Architecture; Computer Science, Theory &amp; Methods; Engineering, Electrical &amp; Electronic</t>
  </si>
  <si>
    <t>3JM0B</t>
  </si>
  <si>
    <t>40031152</t>
  </si>
  <si>
    <t>WOS:001406000700001</t>
  </si>
  <si>
    <t>Shaikh, JA; Aldrees, A; Eshmawi, AA; Umer, M; Cascone, C; Huo, YX</t>
  </si>
  <si>
    <t>The deployment of deep learning in safety-critical computer vision applications has exposed fundamental vulnerabilities to adversarial attacks, while existing defense mechanisms lack the interpretability required for trust-critical deployment in regulated domains such as autonomous driving, medical diagnostics, and facial recognition systems. This paper presents SentriShield-VQ, a novel explainable adversarial defense framework that synergistically integrates variational quantum encoding with self-adaptive visual reasoning and human-interpretable attribution mechanisms to secure deep learning vision models against comprehensive attack taxonomies. The proposed framework introduces four principal contributions: (1) a quantum-driven sentinel module leveraging parameterized quantum circuits to detect Fast Gradient Sign Method (FGSM), Projected Gradient Descent (PGD), Basic Iterative Method (BIM), Carlini-Wagner (CW), DeepFool, and clean-label poisoning attacks through latent-space curvature analysis; (2) a progressive quantum-inspired purification process that removes adversarial distortions while preserving semantic content; (3) a contextual re-validation module ensuring geometric consistency of purified outputs; and (4) a comprehensive explainable AI (XAI) module providing amplitude-based feature attribution, quantum gate contribution analysis, and spatial perturbation localization that enables security analysts to validate defense decisions, diagnose failure modes, and establish trust through human-interpretable visualizations. The XAI framework quantifies detection rationale by backpropagating quantum amplitude contributions to input pixels, decomposing variational quantum circuit gate importance across rotation and entanglement operations, and localizing adversarial artifacts with patch-level precision. Comprehensive experiments on CIFAR-100 and ImageNet-1K benchmarks across autonomous driving, facial analysis, and medical imaging scenarios demonstrate that SentriShield-VQ achieves 97.25% detection accuracy, 72.45% robust accuracy under PGD-20 attack, and 62.51% average accuracy recovery on purified adversarial inputs, while maintaining 77.34% clean accuracy with only 2.11% degradation. The explainability module attains 91.3% attribution fidelity and 0.915 perturbation localization F1-score, with human interpretability studies establishing 87.2% analyst understanding scores and 4.18/5.0 trust ratings. The framework outperforms ten state-of-the-art defense methods by 14.0% in robust accuracy while uniquely providing actionable interpretability absent in existing black-box defenses, establishing a new paradigm for accountable and auditable adversarial defense in safety-critical computer vision systems.</t>
  </si>
  <si>
    <t>Shaikh, Jamshed Ali; Aldrees, Asma; Eshmawi, Ala' Abdulmajid; Umer, Muhammad; Cascone, Catello; Huo, Yingxiang</t>
  </si>
  <si>
    <t>Umer, M (corresponding author), Islamia Univ Bahawalpur, Dept Comp Sci &amp; Informat Technol, Bahawalpur 63100, Pakistan.</t>
  </si>
  <si>
    <t>shaikhjamshedali@scut.edu.cn; umersabir1996@gmail.com; aaeshmawi@uj.edu.sa; cacascone@unisa.it; yingxiang.huo@gmail.com; edrees@kku.edu.sa</t>
  </si>
  <si>
    <t>[Shaikh, Jamshed Ali; Huo, Yingxiang] South China Univ Technol, Sch Comp Sci &amp; Engn, Guangzhou 510006, Guangdong, Peoples R China; [Aldrees, Asma] King Khalid Univ, Coll Comp Sci, Dept Informat &amp; Comp Syst, Abha, Saudi Arabia; [Eshmawi, Ala' Abdulmajid] Univ Jeddah, Coll Comp Sci &amp; Engn, Jeddah, Saudi Arabia; [Umer, Muhammad] Islamia Univ Bahawalpur, Dept Comp Sci &amp; Informat Technol, Bahawalpur 63100, Pakistan; [Cascone, Catello] Scuola IMT Alti Studi, Lucca, Italy; [Cascone, Catello] Univ Salerno, Salerno, Italy</t>
  </si>
  <si>
    <t>South China University of Technology; King Khalid University; University of Jeddah; Islamia University of Bahawalpur; University of Salerno</t>
  </si>
  <si>
    <t>SentriShield-VQ: An explainable variational quantum adversarial defense framework with interpretable attribution for secure computer vision under multi-vector attacks</t>
  </si>
  <si>
    <t>Explainable artificial intelligence; Variational quantum circuits; Adversarial defense; Interpretable machine learning; Computer vision security; Multi-vector attacks; Quantum machine learning; Adversarial purification; Attribution methods; Human-interpretable AI; Trustworthy AI; Deep neural network robustness</t>
  </si>
  <si>
    <t>106140</t>
  </si>
  <si>
    <t>10.1016/j.imavis.2026.106140</t>
  </si>
  <si>
    <t>http://dx.doi.org/10.1016/j.imavis.2026.106140</t>
  </si>
  <si>
    <t>MG7MJ</t>
  </si>
  <si>
    <t>WOS:001841850900001</t>
  </si>
  <si>
    <t>Almasri, A; Prieto-González, P; Nutter, T; Silva, L</t>
  </si>
  <si>
    <t>The rapid expansion of conversational artificial intelligence (AI) usage in healthcare, nutrition, and digital health education has made prompting a routine part of professional and personal practice. However, each AI prompt consumes electrical energy and cooling water in remote data centers, a physical footprint largely invisible to end users. Existing Green AI work has largely focused on system-level efficiency (training, infrastructure, scheduling, and data-center optimization) rather than tools that influence everyday user prompting behavior. As a result, end users in health and nutrition contexts often lack practical, point-of-use feedback that links prompt verbosity to resource implications. This study aims to increase sustainability awareness in everyday AI interactions by introducing EcoPrompt V1.0, an offline tool that estimates the approximate energy and water associated with individual prompts and encourages more efficient prompting behavior. EcoPrompt V1.0 was developed as a lightweight, privacy-preserving prompt-efficiency tool that operates entirely offline. It estimates energy (Wh) and water (L) consumption per prompt using approximations based on publicly available data for modern AI model processing. The tool analyzes a user's original prompt, displays the estimated resource cost, and then generates a shorter, clearer version intended to reduce computational load. To evaluate the approach, a dataset of 500 manually curated nutrition- and health-related prompts was compiled, covering topics such as diet advice, food substitutions, metabolic concerns, meal planning, and patient education. Across the dataset, simplified prompts reduced input token counts by approximately 30%, producing proportional reductions in the estimated prompt-processing energy and water footprint. Because the total resource use of an AI interaction also depends on the output length generated by the model, these estimates should be interpreted as reductions associated with prompt text processing, not the complete prompt-response inference cycle. Although the absolute numerical values were small, qualitative feedback indicated a meaningful behavioral shift: users reported increased awareness of AI's physical resource demands and adopted more concise prompting practices. EcoPrompt V1.0 demonstrates that sustainability awareness can be introduced into digital health and nutrition workflows without complex instrumentation or real-time hardware monitoring. By making the otherwise invisible resource consumption of AI prompts visible, the tool encourages more mindful and responsible AI usage. This work offers a practical, privacy-friendly mechanism for embedding sustainability thinking into modern health-informatics education and daily clinical or personal prompting practices.</t>
  </si>
  <si>
    <t>Almasri, Abdullah; Prieto-Gonzalez, Pablo; Nutter, Tiffani; Silva, Liliana</t>
  </si>
  <si>
    <t>Almasri, A (corresponding author), Prince Sultan Univ, Coll Sci &amp; Humanities, Riyadh, Saudi Arabia.</t>
  </si>
  <si>
    <t>almasri.mail@gmail.com</t>
  </si>
  <si>
    <t>Prince Sultan University covered the Article Processing Charges of this publication</t>
  </si>
  <si>
    <t>Portions of this manuscript were proofread with the assistance of ChatGPT (OpenAI) for language editing and minor stylistic improvements. The authors reviewed and verified all content and remain fully responsible for the final manuscript.</t>
  </si>
  <si>
    <t>[Almasri, Abdullah; Nutter, Tiffani] Prince Sultan Univ, Coll Sci &amp; Humanities, Riyadh, Saudi Arabia; [Prieto-Gonzalez, Pablo] Prince Sultan Univ, Coll Sci &amp; Humanities, Sport Sci &amp; Diagnost Res Grp, Riyadh, Saudi Arabia; [Silva, Liliana] Escola Super Saude Fernando Pessoa, Porto, Portugal</t>
  </si>
  <si>
    <t>Prince Sultan University; Prince Sultan University</t>
  </si>
  <si>
    <t>EcoPrompt V1.0: an offline energy-efficient prompt optimizer for sustainable health informatics artificial intelligence tools</t>
  </si>
  <si>
    <t>Sustainable artificial intelligence; Energy-efficient prompting; Digital health informatics; Prompt simplification; Environmental footprint of AI; Offline AI tools; Token-based energy estimation; Green health technologies</t>
  </si>
  <si>
    <t>/AAN-1259-2020; Prieto-González, Pablo/T-9113-2018</t>
  </si>
  <si>
    <t>APR 28 2026</t>
  </si>
  <si>
    <t>e3832</t>
  </si>
  <si>
    <t>10.7717/peerj-cs.3832</t>
  </si>
  <si>
    <t>http://dx.doi.org/10.7717/peerj-cs.3832</t>
  </si>
  <si>
    <t>IR8BU</t>
  </si>
  <si>
    <t>WOS:001778799200001</t>
  </si>
</sst>
</file>

<file path=xl/styles.xml><?xml version="1.0" encoding="utf-8"?>
<styleSheet xmlns="http://schemas.openxmlformats.org/spreadsheetml/2006/main">
  <numFmts count="0"/>
  <fonts count="1993">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1993">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xf numFmtId="0" fontId="245" fillId="0" borderId="0" xfId="0" applyFont="true"/>
    <xf numFmtId="0" fontId="246" fillId="0" borderId="0" xfId="0" applyFont="true"/>
    <xf numFmtId="0" fontId="247" fillId="0" borderId="0" xfId="0" applyFont="true"/>
    <xf numFmtId="0" fontId="248" fillId="0" borderId="0" xfId="0" applyFont="true"/>
    <xf numFmtId="0" fontId="249" fillId="0" borderId="0" xfId="0" applyFont="true"/>
    <xf numFmtId="0" fontId="250" fillId="0" borderId="0" xfId="0" applyFont="true"/>
    <xf numFmtId="0" fontId="251" fillId="0" borderId="0" xfId="0" applyFont="true"/>
    <xf numFmtId="0" fontId="252" fillId="0" borderId="0" xfId="0" applyFont="true"/>
    <xf numFmtId="0" fontId="253" fillId="0" borderId="0" xfId="0" applyFont="true"/>
    <xf numFmtId="0" fontId="254" fillId="0" borderId="0" xfId="0" applyFont="true"/>
    <xf numFmtId="0" fontId="255" fillId="0" borderId="0" xfId="0" applyFont="true"/>
    <xf numFmtId="0" fontId="256" fillId="0" borderId="0" xfId="0" applyFont="true"/>
    <xf numFmtId="0" fontId="257" fillId="0" borderId="0" xfId="0" applyFont="true"/>
    <xf numFmtId="0" fontId="258" fillId="0" borderId="0" xfId="0" applyFont="true"/>
    <xf numFmtId="0" fontId="259" fillId="0" borderId="0" xfId="0" applyFont="true"/>
    <xf numFmtId="0" fontId="260" fillId="0" borderId="0" xfId="0" applyFont="true"/>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xf numFmtId="0" fontId="273" fillId="0" borderId="0" xfId="0" applyFont="true"/>
    <xf numFmtId="0" fontId="274" fillId="0" borderId="0" xfId="0" applyFont="true"/>
    <xf numFmtId="0" fontId="275" fillId="0" borderId="0" xfId="0" applyFont="true"/>
    <xf numFmtId="0" fontId="276" fillId="0" borderId="0" xfId="0" applyFont="true"/>
    <xf numFmtId="0" fontId="277" fillId="0" borderId="0" xfId="0" applyFont="true"/>
    <xf numFmtId="0" fontId="278" fillId="0" borderId="0" xfId="0" applyFont="true"/>
    <xf numFmtId="0" fontId="279" fillId="0" borderId="0" xfId="0" applyFont="true"/>
    <xf numFmtId="0" fontId="280" fillId="0" borderId="0" xfId="0" applyFont="true"/>
    <xf numFmtId="0" fontId="281" fillId="0" borderId="0" xfId="0" applyFont="true"/>
    <xf numFmtId="0" fontId="282" fillId="0" borderId="0" xfId="0" applyFont="true"/>
    <xf numFmtId="0" fontId="283" fillId="0" borderId="0" xfId="0" applyFont="true"/>
    <xf numFmtId="0" fontId="284" fillId="0" borderId="0" xfId="0" applyFont="true"/>
    <xf numFmtId="0" fontId="285" fillId="0" borderId="0" xfId="0" applyFont="true"/>
    <xf numFmtId="0" fontId="286" fillId="0" borderId="0" xfId="0" applyFont="true"/>
    <xf numFmtId="0" fontId="287" fillId="0" borderId="0" xfId="0" applyFont="true"/>
    <xf numFmtId="0" fontId="288" fillId="0" borderId="0" xfId="0" applyFont="true"/>
    <xf numFmtId="0" fontId="289" fillId="0" borderId="0" xfId="0" applyFont="true"/>
    <xf numFmtId="0" fontId="290" fillId="0" borderId="0" xfId="0" applyFont="true"/>
    <xf numFmtId="0" fontId="291" fillId="0" borderId="0" xfId="0" applyFont="true"/>
    <xf numFmtId="0" fontId="292" fillId="0" borderId="0" xfId="0" applyFont="true"/>
    <xf numFmtId="0" fontId="293" fillId="0" borderId="0" xfId="0" applyFont="true"/>
    <xf numFmtId="0" fontId="294" fillId="0" borderId="0" xfId="0" applyFont="true"/>
    <xf numFmtId="0" fontId="295" fillId="0" borderId="0" xfId="0" applyFont="true"/>
    <xf numFmtId="0" fontId="296" fillId="0" borderId="0" xfId="0" applyFont="true"/>
    <xf numFmtId="0" fontId="297" fillId="0" borderId="0" xfId="0" applyFont="true"/>
    <xf numFmtId="0" fontId="298" fillId="0" borderId="0" xfId="0" applyFont="true"/>
    <xf numFmtId="0" fontId="299" fillId="0" borderId="0" xfId="0" applyFont="true"/>
    <xf numFmtId="0" fontId="300" fillId="0" borderId="0" xfId="0" applyFont="true"/>
    <xf numFmtId="0" fontId="301" fillId="0" borderId="0" xfId="0" applyFont="true"/>
    <xf numFmtId="0" fontId="302" fillId="0" borderId="0" xfId="0" applyFont="true"/>
    <xf numFmtId="0" fontId="303" fillId="0" borderId="0" xfId="0" applyFont="true"/>
    <xf numFmtId="0" fontId="304" fillId="0" borderId="0" xfId="0" applyFont="true"/>
    <xf numFmtId="0" fontId="305" fillId="0" borderId="0" xfId="0" applyFont="true"/>
    <xf numFmtId="0" fontId="306" fillId="0" borderId="0" xfId="0" applyFont="true"/>
    <xf numFmtId="0" fontId="307" fillId="0" borderId="0" xfId="0" applyFont="true"/>
    <xf numFmtId="0" fontId="308" fillId="0" borderId="0" xfId="0" applyFont="true"/>
    <xf numFmtId="0" fontId="309" fillId="0" borderId="0" xfId="0" applyFont="true"/>
    <xf numFmtId="0" fontId="310" fillId="0" borderId="0" xfId="0" applyFont="true"/>
    <xf numFmtId="0" fontId="311" fillId="0" borderId="0" xfId="0" applyFont="true"/>
    <xf numFmtId="0" fontId="312" fillId="0" borderId="0" xfId="0" applyFont="true"/>
    <xf numFmtId="0" fontId="313" fillId="0" borderId="0" xfId="0" applyFont="true"/>
    <xf numFmtId="0" fontId="314" fillId="0" borderId="0" xfId="0" applyFont="true"/>
    <xf numFmtId="0" fontId="315" fillId="0" borderId="0" xfId="0" applyFont="true"/>
    <xf numFmtId="0" fontId="316" fillId="0" borderId="0" xfId="0" applyFont="true"/>
    <xf numFmtId="0" fontId="317" fillId="0" borderId="0" xfId="0" applyFont="true"/>
    <xf numFmtId="0" fontId="318" fillId="0" borderId="0" xfId="0" applyFont="true"/>
    <xf numFmtId="0" fontId="319" fillId="0" borderId="0" xfId="0" applyFont="true"/>
    <xf numFmtId="0" fontId="320" fillId="0" borderId="0" xfId="0" applyFont="true"/>
    <xf numFmtId="0" fontId="321" fillId="0" borderId="0" xfId="0" applyFont="true"/>
    <xf numFmtId="0" fontId="322" fillId="0" borderId="0" xfId="0" applyFont="true"/>
    <xf numFmtId="0" fontId="323" fillId="0" borderId="0" xfId="0" applyFont="true"/>
    <xf numFmtId="0" fontId="324" fillId="0" borderId="0" xfId="0" applyFont="true"/>
    <xf numFmtId="0" fontId="325" fillId="0" borderId="0" xfId="0" applyFont="true"/>
    <xf numFmtId="0" fontId="326" fillId="0" borderId="0" xfId="0" applyFont="true"/>
    <xf numFmtId="0" fontId="327" fillId="0" borderId="0" xfId="0" applyFont="true"/>
    <xf numFmtId="0" fontId="328" fillId="0" borderId="0" xfId="0" applyFont="true"/>
    <xf numFmtId="0" fontId="329" fillId="0" borderId="0" xfId="0" applyFont="true"/>
    <xf numFmtId="0" fontId="330" fillId="0" borderId="0" xfId="0" applyFont="true"/>
    <xf numFmtId="0" fontId="331" fillId="0" borderId="0" xfId="0" applyFont="true"/>
    <xf numFmtId="0" fontId="332" fillId="0" borderId="0" xfId="0" applyFont="true"/>
    <xf numFmtId="0" fontId="333" fillId="0" borderId="0" xfId="0" applyFont="true"/>
    <xf numFmtId="0" fontId="334" fillId="0" borderId="0" xfId="0" applyFont="true"/>
    <xf numFmtId="0" fontId="335" fillId="0" borderId="0" xfId="0" applyFont="true"/>
    <xf numFmtId="0" fontId="336" fillId="0" borderId="0" xfId="0" applyFont="true"/>
    <xf numFmtId="0" fontId="337" fillId="0" borderId="0" xfId="0" applyFont="true"/>
    <xf numFmtId="0" fontId="338" fillId="0" borderId="0" xfId="0" applyFont="true"/>
    <xf numFmtId="0" fontId="339" fillId="0" borderId="0" xfId="0" applyFont="true"/>
    <xf numFmtId="0" fontId="340" fillId="0" borderId="0" xfId="0" applyFont="true"/>
    <xf numFmtId="0" fontId="341" fillId="0" borderId="0" xfId="0" applyFont="true"/>
    <xf numFmtId="0" fontId="342" fillId="0" borderId="0" xfId="0" applyFont="true"/>
    <xf numFmtId="0" fontId="343" fillId="0" borderId="0" xfId="0" applyFont="true"/>
    <xf numFmtId="0" fontId="344" fillId="0" borderId="0" xfId="0" applyFont="true"/>
    <xf numFmtId="0" fontId="345" fillId="0" borderId="0" xfId="0" applyFont="true"/>
    <xf numFmtId="0" fontId="346" fillId="0" borderId="0" xfId="0" applyFont="true"/>
    <xf numFmtId="0" fontId="347" fillId="0" borderId="0" xfId="0" applyFont="true"/>
    <xf numFmtId="0" fontId="348" fillId="0" borderId="0" xfId="0" applyFont="true"/>
    <xf numFmtId="0" fontId="349" fillId="0" borderId="0" xfId="0" applyFont="true"/>
    <xf numFmtId="0" fontId="350" fillId="0" borderId="0" xfId="0" applyFont="true"/>
    <xf numFmtId="0" fontId="351" fillId="0" borderId="0" xfId="0" applyFont="true"/>
    <xf numFmtId="0" fontId="352" fillId="0" borderId="0" xfId="0" applyFont="true"/>
    <xf numFmtId="0" fontId="353" fillId="0" borderId="0" xfId="0" applyFont="true"/>
    <xf numFmtId="0" fontId="354" fillId="0" borderId="0" xfId="0" applyFont="true"/>
    <xf numFmtId="0" fontId="355" fillId="0" borderId="0" xfId="0" applyFont="true"/>
    <xf numFmtId="0" fontId="356" fillId="0" borderId="0" xfId="0" applyFont="true"/>
    <xf numFmtId="0" fontId="357" fillId="0" borderId="0" xfId="0" applyFont="true"/>
    <xf numFmtId="0" fontId="358" fillId="0" borderId="0" xfId="0" applyFont="true"/>
    <xf numFmtId="0" fontId="359" fillId="0" borderId="0" xfId="0" applyFont="true"/>
    <xf numFmtId="0" fontId="360" fillId="0" borderId="0" xfId="0" applyFont="true"/>
    <xf numFmtId="0" fontId="361" fillId="0" borderId="0" xfId="0" applyFont="true"/>
    <xf numFmtId="0" fontId="362" fillId="0" borderId="0" xfId="0" applyFont="true"/>
    <xf numFmtId="0" fontId="363" fillId="0" borderId="0" xfId="0" applyFont="true"/>
    <xf numFmtId="0" fontId="364" fillId="0" borderId="0" xfId="0" applyFont="true"/>
    <xf numFmtId="0" fontId="365" fillId="0" borderId="0" xfId="0" applyFont="true"/>
    <xf numFmtId="0" fontId="366" fillId="0" borderId="0" xfId="0" applyFont="true"/>
    <xf numFmtId="0" fontId="367" fillId="0" borderId="0" xfId="0" applyFont="true"/>
    <xf numFmtId="0" fontId="368" fillId="0" borderId="0" xfId="0" applyFont="true"/>
    <xf numFmtId="0" fontId="369" fillId="0" borderId="0" xfId="0" applyFont="true"/>
    <xf numFmtId="0" fontId="370" fillId="0" borderId="0" xfId="0" applyFont="true"/>
    <xf numFmtId="0" fontId="371" fillId="0" borderId="0" xfId="0" applyFont="true"/>
    <xf numFmtId="0" fontId="372" fillId="0" borderId="0" xfId="0" applyFont="true"/>
    <xf numFmtId="0" fontId="373" fillId="0" borderId="0" xfId="0" applyFont="true"/>
    <xf numFmtId="0" fontId="374" fillId="0" borderId="0" xfId="0" applyFont="true"/>
    <xf numFmtId="0" fontId="375" fillId="0" borderId="0" xfId="0" applyFont="true"/>
    <xf numFmtId="0" fontId="376" fillId="0" borderId="0" xfId="0" applyFont="true"/>
    <xf numFmtId="0" fontId="377" fillId="0" borderId="0" xfId="0" applyFont="true"/>
    <xf numFmtId="0" fontId="378" fillId="0" borderId="0" xfId="0" applyFont="true"/>
    <xf numFmtId="0" fontId="379" fillId="0" borderId="0" xfId="0" applyFont="true"/>
    <xf numFmtId="0" fontId="380" fillId="0" borderId="0" xfId="0" applyFont="true"/>
    <xf numFmtId="0" fontId="381" fillId="0" borderId="0" xfId="0" applyFont="true"/>
    <xf numFmtId="0" fontId="382" fillId="0" borderId="0" xfId="0" applyFont="true"/>
    <xf numFmtId="0" fontId="383" fillId="0" borderId="0" xfId="0" applyFont="true"/>
    <xf numFmtId="0" fontId="384" fillId="0" borderId="0" xfId="0" applyFont="true"/>
    <xf numFmtId="0" fontId="385" fillId="0" borderId="0" xfId="0" applyFont="true"/>
    <xf numFmtId="0" fontId="386" fillId="0" borderId="0" xfId="0" applyFont="true"/>
    <xf numFmtId="0" fontId="387" fillId="0" borderId="0" xfId="0" applyFont="true"/>
    <xf numFmtId="0" fontId="388" fillId="0" borderId="0" xfId="0" applyFont="true"/>
    <xf numFmtId="0" fontId="389" fillId="0" borderId="0" xfId="0" applyFont="true"/>
    <xf numFmtId="0" fontId="390" fillId="0" borderId="0" xfId="0" applyFont="true"/>
    <xf numFmtId="0" fontId="391" fillId="0" borderId="0" xfId="0" applyFont="true"/>
    <xf numFmtId="0" fontId="392" fillId="0" borderId="0" xfId="0" applyFont="true"/>
    <xf numFmtId="0" fontId="393" fillId="0" borderId="0" xfId="0" applyFont="true"/>
    <xf numFmtId="0" fontId="394" fillId="0" borderId="0" xfId="0" applyFont="true"/>
    <xf numFmtId="0" fontId="395" fillId="0" borderId="0" xfId="0" applyFont="true"/>
    <xf numFmtId="0" fontId="396" fillId="0" borderId="0" xfId="0" applyFont="true"/>
    <xf numFmtId="0" fontId="397" fillId="0" borderId="0" xfId="0" applyFont="true"/>
    <xf numFmtId="0" fontId="398" fillId="0" borderId="0" xfId="0" applyFont="true"/>
    <xf numFmtId="0" fontId="399" fillId="0" borderId="0" xfId="0" applyFont="true"/>
    <xf numFmtId="0" fontId="400" fillId="0" borderId="0" xfId="0" applyFont="true"/>
    <xf numFmtId="0" fontId="401" fillId="0" borderId="0" xfId="0" applyFont="true"/>
    <xf numFmtId="0" fontId="402" fillId="0" borderId="0" xfId="0" applyFont="true"/>
    <xf numFmtId="0" fontId="403" fillId="0" borderId="0" xfId="0" applyFont="true"/>
    <xf numFmtId="0" fontId="404" fillId="0" borderId="0" xfId="0" applyFont="true"/>
    <xf numFmtId="0" fontId="405" fillId="0" borderId="0" xfId="0" applyFont="true"/>
    <xf numFmtId="0" fontId="406" fillId="0" borderId="0" xfId="0" applyFont="true"/>
    <xf numFmtId="0" fontId="407" fillId="0" borderId="0" xfId="0" applyFont="true"/>
    <xf numFmtId="0" fontId="408" fillId="0" borderId="0" xfId="0" applyFont="true"/>
    <xf numFmtId="0" fontId="409" fillId="0" borderId="0" xfId="0" applyFont="true"/>
    <xf numFmtId="0" fontId="410" fillId="0" borderId="0" xfId="0" applyFont="true"/>
    <xf numFmtId="0" fontId="411" fillId="0" borderId="0" xfId="0" applyFont="true"/>
    <xf numFmtId="0" fontId="412" fillId="0" borderId="0" xfId="0" applyFont="true"/>
    <xf numFmtId="0" fontId="413" fillId="0" borderId="0" xfId="0" applyFont="true"/>
    <xf numFmtId="0" fontId="414" fillId="0" borderId="0" xfId="0" applyFont="true"/>
    <xf numFmtId="0" fontId="415" fillId="0" borderId="0" xfId="0" applyFont="true"/>
    <xf numFmtId="0" fontId="416" fillId="0" borderId="0" xfId="0" applyFont="true"/>
    <xf numFmtId="0" fontId="417" fillId="0" borderId="0" xfId="0" applyFont="true"/>
    <xf numFmtId="0" fontId="418" fillId="0" borderId="0" xfId="0" applyFont="true"/>
    <xf numFmtId="0" fontId="419" fillId="0" borderId="0" xfId="0" applyFont="true"/>
    <xf numFmtId="0" fontId="420" fillId="0" borderId="0" xfId="0" applyFont="true"/>
    <xf numFmtId="0" fontId="421" fillId="0" borderId="0" xfId="0" applyFont="true"/>
    <xf numFmtId="0" fontId="422" fillId="0" borderId="0" xfId="0" applyFont="true"/>
    <xf numFmtId="0" fontId="423" fillId="0" borderId="0" xfId="0" applyFont="true"/>
    <xf numFmtId="0" fontId="424" fillId="0" borderId="0" xfId="0" applyFont="true"/>
    <xf numFmtId="0" fontId="425" fillId="0" borderId="0" xfId="0" applyFont="true"/>
    <xf numFmtId="0" fontId="426" fillId="0" borderId="0" xfId="0" applyFont="true"/>
    <xf numFmtId="0" fontId="427" fillId="0" borderId="0" xfId="0" applyFont="true"/>
    <xf numFmtId="0" fontId="428" fillId="0" borderId="0" xfId="0" applyFont="true"/>
    <xf numFmtId="0" fontId="429" fillId="0" borderId="0" xfId="0" applyFont="true"/>
    <xf numFmtId="0" fontId="430" fillId="0" borderId="0" xfId="0" applyFont="true"/>
    <xf numFmtId="0" fontId="431" fillId="0" borderId="0" xfId="0" applyFont="true"/>
    <xf numFmtId="0" fontId="432" fillId="0" borderId="0" xfId="0" applyFont="true"/>
    <xf numFmtId="0" fontId="433" fillId="0" borderId="0" xfId="0" applyFont="true"/>
    <xf numFmtId="0" fontId="434" fillId="0" borderId="0" xfId="0" applyFont="true"/>
    <xf numFmtId="0" fontId="435" fillId="0" borderId="0" xfId="0" applyFont="true"/>
    <xf numFmtId="0" fontId="436" fillId="0" borderId="0" xfId="0" applyFont="true"/>
    <xf numFmtId="0" fontId="437" fillId="0" borderId="0" xfId="0" applyFont="true"/>
    <xf numFmtId="0" fontId="438" fillId="0" borderId="0" xfId="0" applyFont="true"/>
    <xf numFmtId="0" fontId="439" fillId="0" borderId="0" xfId="0" applyFont="true"/>
    <xf numFmtId="0" fontId="440" fillId="0" borderId="0" xfId="0" applyFont="true"/>
    <xf numFmtId="0" fontId="441" fillId="0" borderId="0" xfId="0" applyFont="true"/>
    <xf numFmtId="0" fontId="442" fillId="0" borderId="0" xfId="0" applyFont="true"/>
    <xf numFmtId="0" fontId="443" fillId="0" borderId="0" xfId="0" applyFont="true"/>
    <xf numFmtId="0" fontId="444" fillId="0" borderId="0" xfId="0" applyFont="true"/>
    <xf numFmtId="0" fontId="445" fillId="0" borderId="0" xfId="0" applyFont="true"/>
    <xf numFmtId="0" fontId="446" fillId="0" borderId="0" xfId="0" applyFont="true"/>
    <xf numFmtId="0" fontId="447" fillId="0" borderId="0" xfId="0" applyFont="true"/>
    <xf numFmtId="0" fontId="448" fillId="0" borderId="0" xfId="0" applyFont="true"/>
    <xf numFmtId="0" fontId="449" fillId="0" borderId="0" xfId="0" applyFont="true"/>
    <xf numFmtId="0" fontId="450" fillId="0" borderId="0" xfId="0" applyFont="true"/>
    <xf numFmtId="0" fontId="451" fillId="0" borderId="0" xfId="0" applyFont="true"/>
    <xf numFmtId="0" fontId="452" fillId="0" borderId="0" xfId="0" applyFont="true"/>
    <xf numFmtId="0" fontId="453" fillId="0" borderId="0" xfId="0" applyFont="true"/>
    <xf numFmtId="0" fontId="454" fillId="0" borderId="0" xfId="0" applyFont="true"/>
    <xf numFmtId="0" fontId="455" fillId="0" borderId="0" xfId="0" applyFont="true"/>
    <xf numFmtId="0" fontId="456" fillId="0" borderId="0" xfId="0" applyFont="true"/>
    <xf numFmtId="0" fontId="457" fillId="0" borderId="0" xfId="0" applyFont="true"/>
    <xf numFmtId="0" fontId="458" fillId="0" borderId="0" xfId="0" applyFont="true"/>
    <xf numFmtId="0" fontId="459" fillId="0" borderId="0" xfId="0" applyFont="true"/>
    <xf numFmtId="0" fontId="460" fillId="0" borderId="0" xfId="0" applyFont="true"/>
    <xf numFmtId="0" fontId="461" fillId="0" borderId="0" xfId="0" applyFont="true"/>
    <xf numFmtId="0" fontId="462" fillId="0" borderId="0" xfId="0" applyFont="true"/>
    <xf numFmtId="0" fontId="463" fillId="0" borderId="0" xfId="0" applyFont="true"/>
    <xf numFmtId="0" fontId="464" fillId="0" borderId="0" xfId="0" applyFont="true"/>
    <xf numFmtId="0" fontId="465" fillId="0" borderId="0" xfId="0" applyFont="true"/>
    <xf numFmtId="0" fontId="466" fillId="0" borderId="0" xfId="0" applyFont="true"/>
    <xf numFmtId="0" fontId="467" fillId="0" borderId="0" xfId="0" applyFont="true"/>
    <xf numFmtId="0" fontId="468" fillId="0" borderId="0" xfId="0" applyFont="true"/>
    <xf numFmtId="0" fontId="469" fillId="0" borderId="0" xfId="0" applyFont="true"/>
    <xf numFmtId="0" fontId="470" fillId="0" borderId="0" xfId="0" applyFont="true"/>
    <xf numFmtId="0" fontId="471" fillId="0" borderId="0" xfId="0" applyFont="true"/>
    <xf numFmtId="0" fontId="472" fillId="0" borderId="0" xfId="0" applyFont="true"/>
    <xf numFmtId="0" fontId="473" fillId="0" borderId="0" xfId="0" applyFont="true"/>
    <xf numFmtId="0" fontId="474" fillId="0" borderId="0" xfId="0" applyFont="true"/>
    <xf numFmtId="0" fontId="475" fillId="0" borderId="0" xfId="0" applyFont="true"/>
    <xf numFmtId="0" fontId="476" fillId="0" borderId="0" xfId="0" applyFont="true"/>
    <xf numFmtId="0" fontId="477" fillId="0" borderId="0" xfId="0" applyFont="true"/>
    <xf numFmtId="0" fontId="478" fillId="0" borderId="0" xfId="0" applyFont="true"/>
    <xf numFmtId="0" fontId="479" fillId="0" borderId="0" xfId="0" applyFont="true"/>
    <xf numFmtId="0" fontId="480" fillId="0" borderId="0" xfId="0" applyFont="true"/>
    <xf numFmtId="0" fontId="481" fillId="0" borderId="0" xfId="0" applyFont="true"/>
    <xf numFmtId="0" fontId="482" fillId="0" borderId="0" xfId="0" applyFont="true"/>
    <xf numFmtId="0" fontId="483" fillId="0" borderId="0" xfId="0" applyFont="true"/>
    <xf numFmtId="0" fontId="484" fillId="0" borderId="0" xfId="0" applyFont="true"/>
    <xf numFmtId="0" fontId="485" fillId="0" borderId="0" xfId="0" applyFont="true"/>
    <xf numFmtId="0" fontId="486" fillId="0" borderId="0" xfId="0" applyFont="true"/>
    <xf numFmtId="0" fontId="487" fillId="0" borderId="0" xfId="0" applyFont="true"/>
    <xf numFmtId="0" fontId="488" fillId="0" borderId="0" xfId="0" applyFont="true"/>
    <xf numFmtId="0" fontId="489" fillId="0" borderId="0" xfId="0" applyFont="true"/>
    <xf numFmtId="0" fontId="490" fillId="0" borderId="0" xfId="0" applyFont="true"/>
    <xf numFmtId="0" fontId="491" fillId="0" borderId="0" xfId="0" applyFont="true"/>
    <xf numFmtId="0" fontId="492" fillId="0" borderId="0" xfId="0" applyFont="true"/>
    <xf numFmtId="0" fontId="493" fillId="0" borderId="0" xfId="0" applyFont="true"/>
    <xf numFmtId="0" fontId="494" fillId="0" borderId="0" xfId="0" applyFont="true"/>
    <xf numFmtId="0" fontId="495" fillId="0" borderId="0" xfId="0" applyFont="true"/>
    <xf numFmtId="0" fontId="496" fillId="0" borderId="0" xfId="0" applyFont="true"/>
    <xf numFmtId="0" fontId="497" fillId="0" borderId="0" xfId="0" applyFont="true"/>
    <xf numFmtId="0" fontId="498" fillId="0" borderId="0" xfId="0" applyFont="true"/>
    <xf numFmtId="0" fontId="499" fillId="0" borderId="0" xfId="0" applyFont="true"/>
    <xf numFmtId="0" fontId="500" fillId="0" borderId="0" xfId="0" applyFont="true"/>
    <xf numFmtId="0" fontId="501" fillId="0" borderId="0" xfId="0" applyFont="true"/>
    <xf numFmtId="0" fontId="502" fillId="0" borderId="0" xfId="0" applyFont="true"/>
    <xf numFmtId="0" fontId="503" fillId="0" borderId="0" xfId="0" applyFont="true"/>
    <xf numFmtId="0" fontId="504" fillId="0" borderId="0" xfId="0" applyFont="true"/>
    <xf numFmtId="0" fontId="505" fillId="0" borderId="0" xfId="0" applyFont="true"/>
    <xf numFmtId="0" fontId="506" fillId="0" borderId="0" xfId="0" applyFont="true"/>
    <xf numFmtId="0" fontId="507" fillId="0" borderId="0" xfId="0" applyFont="true"/>
    <xf numFmtId="0" fontId="508" fillId="0" borderId="0" xfId="0" applyFont="true"/>
    <xf numFmtId="0" fontId="509" fillId="0" borderId="0" xfId="0" applyFont="true"/>
    <xf numFmtId="0" fontId="510" fillId="0" borderId="0" xfId="0" applyFont="true"/>
    <xf numFmtId="0" fontId="511" fillId="0" borderId="0" xfId="0" applyFont="true"/>
    <xf numFmtId="0" fontId="512" fillId="0" borderId="0" xfId="0" applyFont="true"/>
    <xf numFmtId="0" fontId="513" fillId="0" borderId="0" xfId="0" applyFont="true"/>
    <xf numFmtId="0" fontId="514" fillId="0" borderId="0" xfId="0" applyFont="true"/>
    <xf numFmtId="0" fontId="515" fillId="0" borderId="0" xfId="0" applyFont="true"/>
    <xf numFmtId="0" fontId="516" fillId="0" borderId="0" xfId="0" applyFont="true"/>
    <xf numFmtId="0" fontId="517" fillId="0" borderId="0" xfId="0" applyFont="true"/>
    <xf numFmtId="0" fontId="518" fillId="0" borderId="0" xfId="0" applyFont="true"/>
    <xf numFmtId="0" fontId="519" fillId="0" borderId="0" xfId="0" applyFont="true"/>
    <xf numFmtId="0" fontId="520" fillId="0" borderId="0" xfId="0" applyFont="true"/>
    <xf numFmtId="0" fontId="521" fillId="0" borderId="0" xfId="0" applyFont="true"/>
    <xf numFmtId="0" fontId="522" fillId="0" borderId="0" xfId="0" applyFont="true"/>
    <xf numFmtId="0" fontId="523" fillId="0" borderId="0" xfId="0" applyFont="true"/>
    <xf numFmtId="0" fontId="524" fillId="0" borderId="0" xfId="0" applyFont="true"/>
    <xf numFmtId="0" fontId="525" fillId="0" borderId="0" xfId="0" applyFont="true"/>
    <xf numFmtId="0" fontId="526" fillId="0" borderId="0" xfId="0" applyFont="true"/>
    <xf numFmtId="0" fontId="527" fillId="0" borderId="0" xfId="0" applyFont="true"/>
    <xf numFmtId="0" fontId="528" fillId="0" borderId="0" xfId="0" applyFont="true"/>
    <xf numFmtId="0" fontId="529" fillId="0" borderId="0" xfId="0" applyFont="true"/>
    <xf numFmtId="0" fontId="530" fillId="0" borderId="0" xfId="0" applyFont="true"/>
    <xf numFmtId="0" fontId="531" fillId="0" borderId="0" xfId="0" applyFont="true"/>
    <xf numFmtId="0" fontId="532" fillId="0" borderId="0" xfId="0" applyFont="true"/>
    <xf numFmtId="0" fontId="533" fillId="0" borderId="0" xfId="0" applyFont="true"/>
    <xf numFmtId="0" fontId="534" fillId="0" borderId="0" xfId="0" applyFont="true"/>
    <xf numFmtId="0" fontId="535" fillId="0" borderId="0" xfId="0" applyFont="true"/>
    <xf numFmtId="0" fontId="536" fillId="0" borderId="0" xfId="0" applyFont="true"/>
    <xf numFmtId="0" fontId="537" fillId="0" borderId="0" xfId="0" applyFont="true"/>
    <xf numFmtId="0" fontId="538" fillId="0" borderId="0" xfId="0" applyFont="true"/>
    <xf numFmtId="0" fontId="539" fillId="0" borderId="0" xfId="0" applyFont="true"/>
    <xf numFmtId="0" fontId="540" fillId="0" borderId="0" xfId="0" applyFont="true"/>
    <xf numFmtId="0" fontId="541" fillId="0" borderId="0" xfId="0" applyFont="true"/>
    <xf numFmtId="0" fontId="542" fillId="0" borderId="0" xfId="0" applyFont="true"/>
    <xf numFmtId="0" fontId="543" fillId="0" borderId="0" xfId="0" applyFont="true"/>
    <xf numFmtId="0" fontId="544" fillId="0" borderId="0" xfId="0" applyFont="true"/>
    <xf numFmtId="0" fontId="545" fillId="0" borderId="0" xfId="0" applyFont="true"/>
    <xf numFmtId="0" fontId="546" fillId="0" borderId="0" xfId="0" applyFont="true"/>
    <xf numFmtId="0" fontId="547" fillId="0" borderId="0" xfId="0" applyFont="true"/>
    <xf numFmtId="0" fontId="548" fillId="0" borderId="0" xfId="0" applyFont="true"/>
    <xf numFmtId="0" fontId="549" fillId="0" borderId="0" xfId="0" applyFont="true"/>
    <xf numFmtId="0" fontId="550" fillId="0" borderId="0" xfId="0" applyFont="true"/>
    <xf numFmtId="0" fontId="551" fillId="0" borderId="0" xfId="0" applyFont="true"/>
    <xf numFmtId="0" fontId="552" fillId="0" borderId="0" xfId="0" applyFont="true"/>
    <xf numFmtId="0" fontId="553" fillId="0" borderId="0" xfId="0" applyFont="true"/>
    <xf numFmtId="0" fontId="554" fillId="0" borderId="0" xfId="0" applyFont="true"/>
    <xf numFmtId="0" fontId="555" fillId="0" borderId="0" xfId="0" applyFont="true"/>
    <xf numFmtId="0" fontId="556" fillId="0" borderId="0" xfId="0" applyFont="true"/>
    <xf numFmtId="0" fontId="557" fillId="0" borderId="0" xfId="0" applyFont="true"/>
    <xf numFmtId="0" fontId="558" fillId="0" borderId="0" xfId="0" applyFont="true"/>
    <xf numFmtId="0" fontId="559" fillId="0" borderId="0" xfId="0" applyFont="true"/>
    <xf numFmtId="0" fontId="560" fillId="0" borderId="0" xfId="0" applyFont="true"/>
    <xf numFmtId="0" fontId="561" fillId="0" borderId="0" xfId="0" applyFont="true"/>
    <xf numFmtId="0" fontId="562" fillId="0" borderId="0" xfId="0" applyFont="true"/>
    <xf numFmtId="0" fontId="563" fillId="0" borderId="0" xfId="0" applyFont="true"/>
    <xf numFmtId="0" fontId="564" fillId="0" borderId="0" xfId="0" applyFont="true"/>
    <xf numFmtId="0" fontId="565" fillId="0" borderId="0" xfId="0" applyFont="true"/>
    <xf numFmtId="0" fontId="566" fillId="0" borderId="0" xfId="0" applyFont="true"/>
    <xf numFmtId="0" fontId="567" fillId="0" borderId="0" xfId="0" applyFont="true"/>
    <xf numFmtId="0" fontId="568" fillId="0" borderId="0" xfId="0" applyFont="true"/>
    <xf numFmtId="0" fontId="569" fillId="0" borderId="0" xfId="0" applyFont="true"/>
    <xf numFmtId="0" fontId="570" fillId="0" borderId="0" xfId="0" applyFont="true"/>
    <xf numFmtId="0" fontId="571" fillId="0" borderId="0" xfId="0" applyFont="true"/>
    <xf numFmtId="0" fontId="572" fillId="0" borderId="0" xfId="0" applyFont="true"/>
    <xf numFmtId="0" fontId="573" fillId="0" borderId="0" xfId="0" applyFont="true"/>
    <xf numFmtId="0" fontId="574" fillId="0" borderId="0" xfId="0" applyFont="true"/>
    <xf numFmtId="0" fontId="575" fillId="0" borderId="0" xfId="0" applyFont="true"/>
    <xf numFmtId="0" fontId="576" fillId="0" borderId="0" xfId="0" applyFont="true"/>
    <xf numFmtId="0" fontId="577" fillId="0" borderId="0" xfId="0" applyFont="true"/>
    <xf numFmtId="0" fontId="578" fillId="0" borderId="0" xfId="0" applyFont="true"/>
    <xf numFmtId="0" fontId="579" fillId="0" borderId="0" xfId="0" applyFont="true"/>
    <xf numFmtId="0" fontId="580" fillId="0" borderId="0" xfId="0" applyFont="true"/>
    <xf numFmtId="0" fontId="581" fillId="0" borderId="0" xfId="0" applyFont="true"/>
    <xf numFmtId="0" fontId="582" fillId="0" borderId="0" xfId="0" applyFont="true"/>
    <xf numFmtId="0" fontId="583" fillId="0" borderId="0" xfId="0" applyFont="true"/>
    <xf numFmtId="0" fontId="584" fillId="0" borderId="0" xfId="0" applyFont="true"/>
    <xf numFmtId="0" fontId="585" fillId="0" borderId="0" xfId="0" applyFont="true"/>
    <xf numFmtId="0" fontId="586" fillId="0" borderId="0" xfId="0" applyFont="true"/>
    <xf numFmtId="0" fontId="587" fillId="0" borderId="0" xfId="0" applyFont="true"/>
    <xf numFmtId="0" fontId="588" fillId="0" borderId="0" xfId="0" applyFont="true"/>
    <xf numFmtId="0" fontId="589" fillId="0" borderId="0" xfId="0" applyFont="true"/>
    <xf numFmtId="0" fontId="590" fillId="0" borderId="0" xfId="0" applyFont="true"/>
    <xf numFmtId="0" fontId="591" fillId="0" borderId="0" xfId="0" applyFont="true"/>
    <xf numFmtId="0" fontId="592" fillId="0" borderId="0" xfId="0" applyFont="true"/>
    <xf numFmtId="0" fontId="593" fillId="0" borderId="0" xfId="0" applyFont="true"/>
    <xf numFmtId="0" fontId="594" fillId="0" borderId="0" xfId="0" applyFont="true"/>
    <xf numFmtId="0" fontId="595" fillId="0" borderId="0" xfId="0" applyFont="true"/>
    <xf numFmtId="0" fontId="596" fillId="0" borderId="0" xfId="0" applyFont="true"/>
    <xf numFmtId="0" fontId="597" fillId="0" borderId="0" xfId="0" applyFont="true"/>
    <xf numFmtId="0" fontId="598" fillId="0" borderId="0" xfId="0" applyFont="true"/>
    <xf numFmtId="0" fontId="599" fillId="0" borderId="0" xfId="0" applyFont="true"/>
    <xf numFmtId="0" fontId="600" fillId="0" borderId="0" xfId="0" applyFont="true"/>
    <xf numFmtId="0" fontId="601" fillId="0" borderId="0" xfId="0" applyFont="true"/>
    <xf numFmtId="0" fontId="602" fillId="0" borderId="0" xfId="0" applyFont="true"/>
    <xf numFmtId="0" fontId="603" fillId="0" borderId="0" xfId="0" applyFont="true"/>
    <xf numFmtId="0" fontId="604" fillId="0" borderId="0" xfId="0" applyFont="true"/>
    <xf numFmtId="0" fontId="605" fillId="0" borderId="0" xfId="0" applyFont="true"/>
    <xf numFmtId="0" fontId="606" fillId="0" borderId="0" xfId="0" applyFont="true"/>
    <xf numFmtId="0" fontId="607" fillId="0" borderId="0" xfId="0" applyFont="true"/>
    <xf numFmtId="0" fontId="608" fillId="0" borderId="0" xfId="0" applyFont="true"/>
    <xf numFmtId="0" fontId="609" fillId="0" borderId="0" xfId="0" applyFont="true"/>
    <xf numFmtId="0" fontId="610" fillId="0" borderId="0" xfId="0" applyFont="true"/>
    <xf numFmtId="0" fontId="611" fillId="0" borderId="0" xfId="0" applyFont="true"/>
    <xf numFmtId="0" fontId="612" fillId="0" borderId="0" xfId="0" applyFont="true"/>
    <xf numFmtId="0" fontId="613" fillId="0" borderId="0" xfId="0" applyFont="true"/>
    <xf numFmtId="0" fontId="614" fillId="0" borderId="0" xfId="0" applyFont="true"/>
    <xf numFmtId="0" fontId="615" fillId="0" borderId="0" xfId="0" applyFont="true"/>
    <xf numFmtId="0" fontId="616" fillId="0" borderId="0" xfId="0" applyFont="true"/>
    <xf numFmtId="0" fontId="617" fillId="0" borderId="0" xfId="0" applyFont="true"/>
    <xf numFmtId="0" fontId="618" fillId="0" borderId="0" xfId="0" applyFont="true"/>
    <xf numFmtId="0" fontId="619" fillId="0" borderId="0" xfId="0" applyFont="true"/>
    <xf numFmtId="0" fontId="620" fillId="0" borderId="0" xfId="0" applyFont="true"/>
    <xf numFmtId="0" fontId="621" fillId="0" borderId="0" xfId="0" applyFont="true"/>
    <xf numFmtId="0" fontId="622" fillId="0" borderId="0" xfId="0" applyFont="true"/>
    <xf numFmtId="0" fontId="623" fillId="0" borderId="0" xfId="0" applyFont="true"/>
    <xf numFmtId="0" fontId="624" fillId="0" borderId="0" xfId="0" applyFont="true"/>
    <xf numFmtId="0" fontId="625" fillId="0" borderId="0" xfId="0" applyFont="true"/>
    <xf numFmtId="0" fontId="626" fillId="0" borderId="0" xfId="0" applyFont="true"/>
    <xf numFmtId="0" fontId="627" fillId="0" borderId="0" xfId="0" applyFont="true"/>
    <xf numFmtId="0" fontId="628" fillId="0" borderId="0" xfId="0" applyFont="true"/>
    <xf numFmtId="0" fontId="629" fillId="0" borderId="0" xfId="0" applyFont="true"/>
    <xf numFmtId="0" fontId="630" fillId="0" borderId="0" xfId="0" applyFont="true"/>
    <xf numFmtId="0" fontId="631" fillId="0" borderId="0" xfId="0" applyFont="true"/>
    <xf numFmtId="0" fontId="632" fillId="0" borderId="0" xfId="0" applyFont="true"/>
    <xf numFmtId="0" fontId="633" fillId="0" borderId="0" xfId="0" applyFont="true"/>
    <xf numFmtId="0" fontId="634" fillId="0" borderId="0" xfId="0" applyFont="true"/>
    <xf numFmtId="0" fontId="635" fillId="0" borderId="0" xfId="0" applyFont="true"/>
    <xf numFmtId="0" fontId="636" fillId="0" borderId="0" xfId="0" applyFont="true"/>
    <xf numFmtId="0" fontId="637" fillId="0" borderId="0" xfId="0" applyFont="true"/>
    <xf numFmtId="0" fontId="638" fillId="0" borderId="0" xfId="0" applyFont="true"/>
    <xf numFmtId="0" fontId="639" fillId="0" borderId="0" xfId="0" applyFont="true"/>
    <xf numFmtId="0" fontId="640" fillId="0" borderId="0" xfId="0" applyFont="true"/>
    <xf numFmtId="0" fontId="641" fillId="0" borderId="0" xfId="0" applyFont="true"/>
    <xf numFmtId="0" fontId="642" fillId="0" borderId="0" xfId="0" applyFont="true"/>
    <xf numFmtId="0" fontId="643" fillId="0" borderId="0" xfId="0" applyFont="true"/>
    <xf numFmtId="0" fontId="644" fillId="0" borderId="0" xfId="0" applyFont="true"/>
    <xf numFmtId="0" fontId="645" fillId="0" borderId="0" xfId="0" applyFont="true"/>
    <xf numFmtId="0" fontId="646" fillId="0" borderId="0" xfId="0" applyFont="true"/>
    <xf numFmtId="0" fontId="647" fillId="0" borderId="0" xfId="0" applyFont="true"/>
    <xf numFmtId="0" fontId="648" fillId="0" borderId="0" xfId="0" applyFont="true"/>
    <xf numFmtId="0" fontId="649" fillId="0" borderId="0" xfId="0" applyFont="true"/>
    <xf numFmtId="0" fontId="650" fillId="0" borderId="0" xfId="0" applyFont="true"/>
    <xf numFmtId="0" fontId="651" fillId="0" borderId="0" xfId="0" applyFont="true"/>
    <xf numFmtId="0" fontId="652" fillId="0" borderId="0" xfId="0" applyFont="true"/>
    <xf numFmtId="0" fontId="653" fillId="0" borderId="0" xfId="0" applyFont="true"/>
    <xf numFmtId="0" fontId="654" fillId="0" borderId="0" xfId="0" applyFont="true"/>
    <xf numFmtId="0" fontId="655" fillId="0" borderId="0" xfId="0" applyFont="true"/>
    <xf numFmtId="0" fontId="656" fillId="0" borderId="0" xfId="0" applyFont="true"/>
    <xf numFmtId="0" fontId="657" fillId="0" borderId="0" xfId="0" applyFont="true"/>
    <xf numFmtId="0" fontId="658" fillId="0" borderId="0" xfId="0" applyFont="true"/>
    <xf numFmtId="0" fontId="659" fillId="0" borderId="0" xfId="0" applyFont="true"/>
    <xf numFmtId="0" fontId="660" fillId="0" borderId="0" xfId="0" applyFont="true"/>
    <xf numFmtId="0" fontId="661" fillId="0" borderId="0" xfId="0" applyFont="true"/>
    <xf numFmtId="0" fontId="662" fillId="0" borderId="0" xfId="0" applyFont="true"/>
    <xf numFmtId="0" fontId="663" fillId="0" borderId="0" xfId="0" applyFont="true"/>
    <xf numFmtId="0" fontId="664" fillId="0" borderId="0" xfId="0" applyFont="true"/>
    <xf numFmtId="0" fontId="665" fillId="0" borderId="0" xfId="0" applyFont="true"/>
    <xf numFmtId="0" fontId="666" fillId="0" borderId="0" xfId="0" applyFont="true"/>
    <xf numFmtId="0" fontId="667" fillId="0" borderId="0" xfId="0" applyFont="true"/>
    <xf numFmtId="0" fontId="668" fillId="0" borderId="0" xfId="0" applyFont="true"/>
    <xf numFmtId="0" fontId="669" fillId="0" borderId="0" xfId="0" applyFont="true"/>
    <xf numFmtId="0" fontId="670" fillId="0" borderId="0" xfId="0" applyFont="true"/>
    <xf numFmtId="0" fontId="671" fillId="0" borderId="0" xfId="0" applyFont="true"/>
    <xf numFmtId="0" fontId="672" fillId="0" borderId="0" xfId="0" applyFont="true"/>
    <xf numFmtId="0" fontId="673" fillId="0" borderId="0" xfId="0" applyFont="true"/>
    <xf numFmtId="0" fontId="674" fillId="0" borderId="0" xfId="0" applyFont="true"/>
    <xf numFmtId="0" fontId="675" fillId="0" borderId="0" xfId="0" applyFont="true"/>
    <xf numFmtId="0" fontId="676" fillId="0" borderId="0" xfId="0" applyFont="true"/>
    <xf numFmtId="0" fontId="677" fillId="0" borderId="0" xfId="0" applyFont="true"/>
    <xf numFmtId="0" fontId="678" fillId="0" borderId="0" xfId="0" applyFont="true"/>
    <xf numFmtId="0" fontId="679" fillId="0" borderId="0" xfId="0" applyFont="true"/>
    <xf numFmtId="0" fontId="680" fillId="0" borderId="0" xfId="0" applyFont="true"/>
    <xf numFmtId="0" fontId="681" fillId="0" borderId="0" xfId="0" applyFont="true"/>
    <xf numFmtId="0" fontId="682" fillId="0" borderId="0" xfId="0" applyFont="true"/>
    <xf numFmtId="0" fontId="683" fillId="0" borderId="0" xfId="0" applyFont="true"/>
    <xf numFmtId="0" fontId="684" fillId="0" borderId="0" xfId="0" applyFont="true"/>
    <xf numFmtId="0" fontId="685" fillId="0" borderId="0" xfId="0" applyFont="true"/>
    <xf numFmtId="0" fontId="686" fillId="0" borderId="0" xfId="0" applyFont="true"/>
    <xf numFmtId="0" fontId="687" fillId="0" borderId="0" xfId="0" applyFont="true"/>
    <xf numFmtId="0" fontId="688" fillId="0" borderId="0" xfId="0" applyFont="true"/>
    <xf numFmtId="0" fontId="689" fillId="0" borderId="0" xfId="0" applyFont="true"/>
    <xf numFmtId="0" fontId="690" fillId="0" borderId="0" xfId="0" applyFont="true"/>
    <xf numFmtId="0" fontId="691" fillId="0" borderId="0" xfId="0" applyFont="true"/>
    <xf numFmtId="0" fontId="692" fillId="0" borderId="0" xfId="0" applyFont="true"/>
    <xf numFmtId="0" fontId="693" fillId="0" borderId="0" xfId="0" applyFont="true"/>
    <xf numFmtId="0" fontId="694" fillId="0" borderId="0" xfId="0" applyFont="true"/>
    <xf numFmtId="0" fontId="695" fillId="0" borderId="0" xfId="0" applyFont="true"/>
    <xf numFmtId="0" fontId="696" fillId="0" borderId="0" xfId="0" applyFont="true"/>
    <xf numFmtId="0" fontId="697" fillId="0" borderId="0" xfId="0" applyFont="true"/>
    <xf numFmtId="0" fontId="698" fillId="0" borderId="0" xfId="0" applyFont="true"/>
    <xf numFmtId="0" fontId="699" fillId="0" borderId="0" xfId="0" applyFont="true"/>
    <xf numFmtId="0" fontId="700" fillId="0" borderId="0" xfId="0" applyFont="true"/>
    <xf numFmtId="0" fontId="701" fillId="0" borderId="0" xfId="0" applyFont="true"/>
    <xf numFmtId="0" fontId="702" fillId="0" borderId="0" xfId="0" applyFont="true"/>
    <xf numFmtId="0" fontId="703" fillId="0" borderId="0" xfId="0" applyFont="true"/>
    <xf numFmtId="0" fontId="704" fillId="0" borderId="0" xfId="0" applyFont="true"/>
    <xf numFmtId="0" fontId="705" fillId="0" borderId="0" xfId="0" applyFont="true"/>
    <xf numFmtId="0" fontId="706" fillId="0" borderId="0" xfId="0" applyFont="true"/>
    <xf numFmtId="0" fontId="707" fillId="0" borderId="0" xfId="0" applyFont="true"/>
    <xf numFmtId="0" fontId="708" fillId="0" borderId="0" xfId="0" applyFont="true"/>
    <xf numFmtId="0" fontId="709" fillId="0" borderId="0" xfId="0" applyFont="true"/>
    <xf numFmtId="0" fontId="710" fillId="0" borderId="0" xfId="0" applyFont="true"/>
    <xf numFmtId="0" fontId="711" fillId="0" borderId="0" xfId="0" applyFont="true"/>
    <xf numFmtId="0" fontId="712" fillId="0" borderId="0" xfId="0" applyFont="true"/>
    <xf numFmtId="0" fontId="713" fillId="0" borderId="0" xfId="0" applyFont="true"/>
    <xf numFmtId="0" fontId="714" fillId="0" borderId="0" xfId="0" applyFont="true"/>
    <xf numFmtId="0" fontId="715" fillId="0" borderId="0" xfId="0" applyFont="true"/>
    <xf numFmtId="0" fontId="716" fillId="0" borderId="0" xfId="0" applyFont="true"/>
    <xf numFmtId="0" fontId="717" fillId="0" borderId="0" xfId="0" applyFont="true"/>
    <xf numFmtId="0" fontId="718" fillId="0" borderId="0" xfId="0" applyFont="true"/>
    <xf numFmtId="0" fontId="719" fillId="0" borderId="0" xfId="0" applyFont="true"/>
    <xf numFmtId="0" fontId="720" fillId="0" borderId="0" xfId="0" applyFont="true"/>
    <xf numFmtId="0" fontId="721" fillId="0" borderId="0" xfId="0" applyFont="true"/>
    <xf numFmtId="0" fontId="722" fillId="0" borderId="0" xfId="0" applyFont="true"/>
    <xf numFmtId="0" fontId="723" fillId="0" borderId="0" xfId="0" applyFont="true"/>
    <xf numFmtId="0" fontId="724" fillId="0" borderId="0" xfId="0" applyFont="true"/>
    <xf numFmtId="0" fontId="725" fillId="0" borderId="0" xfId="0" applyFont="true"/>
    <xf numFmtId="0" fontId="726" fillId="0" borderId="0" xfId="0" applyFont="true"/>
    <xf numFmtId="0" fontId="727" fillId="0" borderId="0" xfId="0" applyFont="true"/>
    <xf numFmtId="0" fontId="728" fillId="0" borderId="0" xfId="0" applyFont="true"/>
    <xf numFmtId="0" fontId="729" fillId="0" borderId="0" xfId="0" applyFont="true"/>
    <xf numFmtId="0" fontId="730" fillId="0" borderId="0" xfId="0" applyFont="true"/>
    <xf numFmtId="0" fontId="731" fillId="0" borderId="0" xfId="0" applyFont="true"/>
    <xf numFmtId="0" fontId="732" fillId="0" borderId="0" xfId="0" applyFont="true"/>
    <xf numFmtId="0" fontId="733" fillId="0" borderId="0" xfId="0" applyFont="true"/>
    <xf numFmtId="0" fontId="734" fillId="0" borderId="0" xfId="0" applyFont="true"/>
    <xf numFmtId="0" fontId="735" fillId="0" borderId="0" xfId="0" applyFont="true"/>
    <xf numFmtId="0" fontId="736" fillId="0" borderId="0" xfId="0" applyFont="true"/>
    <xf numFmtId="0" fontId="737" fillId="0" borderId="0" xfId="0" applyFont="true"/>
    <xf numFmtId="0" fontId="738" fillId="0" borderId="0" xfId="0" applyFont="true"/>
    <xf numFmtId="0" fontId="739" fillId="0" borderId="0" xfId="0" applyFont="true"/>
    <xf numFmtId="0" fontId="740" fillId="0" borderId="0" xfId="0" applyFont="true"/>
    <xf numFmtId="0" fontId="741" fillId="0" borderId="0" xfId="0" applyFont="true"/>
    <xf numFmtId="0" fontId="742" fillId="0" borderId="0" xfId="0" applyFont="true"/>
    <xf numFmtId="0" fontId="743" fillId="0" borderId="0" xfId="0" applyFont="true"/>
    <xf numFmtId="0" fontId="744" fillId="0" borderId="0" xfId="0" applyFont="true"/>
    <xf numFmtId="0" fontId="745" fillId="0" borderId="0" xfId="0" applyFont="true"/>
    <xf numFmtId="0" fontId="746" fillId="0" borderId="0" xfId="0" applyFont="true"/>
    <xf numFmtId="0" fontId="747" fillId="0" borderId="0" xfId="0" applyFont="true"/>
    <xf numFmtId="0" fontId="748" fillId="0" borderId="0" xfId="0" applyFont="true"/>
    <xf numFmtId="0" fontId="749" fillId="0" borderId="0" xfId="0" applyFont="true"/>
    <xf numFmtId="0" fontId="750" fillId="0" borderId="0" xfId="0" applyFont="true"/>
    <xf numFmtId="0" fontId="751" fillId="0" borderId="0" xfId="0" applyFont="true"/>
    <xf numFmtId="0" fontId="752" fillId="0" borderId="0" xfId="0" applyFont="true"/>
    <xf numFmtId="0" fontId="753" fillId="0" borderId="0" xfId="0" applyFont="true"/>
    <xf numFmtId="0" fontId="754" fillId="0" borderId="0" xfId="0" applyFont="true"/>
    <xf numFmtId="0" fontId="755" fillId="0" borderId="0" xfId="0" applyFont="true"/>
    <xf numFmtId="0" fontId="756" fillId="0" borderId="0" xfId="0" applyFont="true"/>
    <xf numFmtId="0" fontId="757" fillId="0" borderId="0" xfId="0" applyFont="true"/>
    <xf numFmtId="0" fontId="758" fillId="0" borderId="0" xfId="0" applyFont="true"/>
    <xf numFmtId="0" fontId="759" fillId="0" borderId="0" xfId="0" applyFont="true"/>
    <xf numFmtId="0" fontId="760" fillId="0" borderId="0" xfId="0" applyFont="true"/>
    <xf numFmtId="0" fontId="761" fillId="0" borderId="0" xfId="0" applyFont="true"/>
    <xf numFmtId="0" fontId="762" fillId="0" borderId="0" xfId="0" applyFont="true"/>
    <xf numFmtId="0" fontId="763" fillId="0" borderId="0" xfId="0" applyFont="true"/>
    <xf numFmtId="0" fontId="764" fillId="0" borderId="0" xfId="0" applyFont="true"/>
    <xf numFmtId="0" fontId="765" fillId="0" borderId="0" xfId="0" applyFont="true"/>
    <xf numFmtId="0" fontId="766" fillId="0" borderId="0" xfId="0" applyFont="true"/>
    <xf numFmtId="0" fontId="767" fillId="0" borderId="0" xfId="0" applyFont="true"/>
    <xf numFmtId="0" fontId="768" fillId="0" borderId="0" xfId="0" applyFont="true"/>
    <xf numFmtId="0" fontId="769" fillId="0" borderId="0" xfId="0" applyFont="true"/>
    <xf numFmtId="0" fontId="770" fillId="0" borderId="0" xfId="0" applyFont="true"/>
    <xf numFmtId="0" fontId="771" fillId="0" borderId="0" xfId="0" applyFont="true"/>
    <xf numFmtId="0" fontId="772" fillId="0" borderId="0" xfId="0" applyFont="true"/>
    <xf numFmtId="0" fontId="773" fillId="0" borderId="0" xfId="0" applyFont="true"/>
    <xf numFmtId="0" fontId="774" fillId="0" borderId="0" xfId="0" applyFont="true"/>
    <xf numFmtId="0" fontId="775" fillId="0" borderId="0" xfId="0" applyFont="true"/>
    <xf numFmtId="0" fontId="776" fillId="0" borderId="0" xfId="0" applyFont="true"/>
    <xf numFmtId="0" fontId="777" fillId="0" borderId="0" xfId="0" applyFont="true"/>
    <xf numFmtId="0" fontId="778" fillId="0" borderId="0" xfId="0" applyFont="true"/>
    <xf numFmtId="0" fontId="779" fillId="0" borderId="0" xfId="0" applyFont="true"/>
    <xf numFmtId="0" fontId="780" fillId="0" borderId="0" xfId="0" applyFont="true"/>
    <xf numFmtId="0" fontId="781" fillId="0" borderId="0" xfId="0" applyFont="true"/>
    <xf numFmtId="0" fontId="782" fillId="0" borderId="0" xfId="0" applyFont="true"/>
    <xf numFmtId="0" fontId="783" fillId="0" borderId="0" xfId="0" applyFont="true"/>
    <xf numFmtId="0" fontId="784" fillId="0" borderId="0" xfId="0" applyFont="true"/>
    <xf numFmtId="0" fontId="785" fillId="0" borderId="0" xfId="0" applyFont="true"/>
    <xf numFmtId="0" fontId="786" fillId="0" borderId="0" xfId="0" applyFont="true"/>
    <xf numFmtId="0" fontId="787" fillId="0" borderId="0" xfId="0" applyFont="true"/>
    <xf numFmtId="0" fontId="788" fillId="0" borderId="0" xfId="0" applyFont="true"/>
    <xf numFmtId="0" fontId="789" fillId="0" borderId="0" xfId="0" applyFont="true"/>
    <xf numFmtId="0" fontId="790" fillId="0" borderId="0" xfId="0" applyFont="true"/>
    <xf numFmtId="0" fontId="791" fillId="0" borderId="0" xfId="0" applyFont="true"/>
    <xf numFmtId="0" fontId="792" fillId="0" borderId="0" xfId="0" applyFont="true"/>
    <xf numFmtId="0" fontId="793" fillId="0" borderId="0" xfId="0" applyFont="true"/>
    <xf numFmtId="0" fontId="794" fillId="0" borderId="0" xfId="0" applyFont="true"/>
    <xf numFmtId="0" fontId="795" fillId="0" borderId="0" xfId="0" applyFont="true"/>
    <xf numFmtId="0" fontId="796" fillId="0" borderId="0" xfId="0" applyFont="true"/>
    <xf numFmtId="0" fontId="797" fillId="0" borderId="0" xfId="0" applyFont="true"/>
    <xf numFmtId="0" fontId="798" fillId="0" borderId="0" xfId="0" applyFont="true"/>
    <xf numFmtId="0" fontId="799" fillId="0" borderId="0" xfId="0" applyFont="true"/>
    <xf numFmtId="0" fontId="800" fillId="0" borderId="0" xfId="0" applyFont="true"/>
    <xf numFmtId="0" fontId="801" fillId="0" borderId="0" xfId="0" applyFont="true"/>
    <xf numFmtId="0" fontId="802" fillId="0" borderId="0" xfId="0" applyFont="true"/>
    <xf numFmtId="0" fontId="803" fillId="0" borderId="0" xfId="0" applyFont="true"/>
    <xf numFmtId="0" fontId="804" fillId="0" borderId="0" xfId="0" applyFont="true"/>
    <xf numFmtId="0" fontId="805" fillId="0" borderId="0" xfId="0" applyFont="true"/>
    <xf numFmtId="0" fontId="806" fillId="0" borderId="0" xfId="0" applyFont="true"/>
    <xf numFmtId="0" fontId="807" fillId="0" borderId="0" xfId="0" applyFont="true"/>
    <xf numFmtId="0" fontId="808" fillId="0" borderId="0" xfId="0" applyFont="true"/>
    <xf numFmtId="0" fontId="809" fillId="0" borderId="0" xfId="0" applyFont="true"/>
    <xf numFmtId="0" fontId="810" fillId="0" borderId="0" xfId="0" applyFont="true"/>
    <xf numFmtId="0" fontId="811" fillId="0" borderId="0" xfId="0" applyFont="true"/>
    <xf numFmtId="0" fontId="812" fillId="0" borderId="0" xfId="0" applyFont="true"/>
    <xf numFmtId="0" fontId="813" fillId="0" borderId="0" xfId="0" applyFont="true"/>
    <xf numFmtId="0" fontId="814" fillId="0" borderId="0" xfId="0" applyFont="true"/>
    <xf numFmtId="0" fontId="815" fillId="0" borderId="0" xfId="0" applyFont="true"/>
    <xf numFmtId="0" fontId="816" fillId="0" borderId="0" xfId="0" applyFont="true"/>
    <xf numFmtId="0" fontId="817" fillId="0" borderId="0" xfId="0" applyFont="true"/>
    <xf numFmtId="0" fontId="818" fillId="0" borderId="0" xfId="0" applyFont="true"/>
    <xf numFmtId="0" fontId="819" fillId="0" borderId="0" xfId="0" applyFont="true"/>
    <xf numFmtId="0" fontId="820" fillId="0" borderId="0" xfId="0" applyFont="true"/>
    <xf numFmtId="0" fontId="821" fillId="0" borderId="0" xfId="0" applyFont="true"/>
    <xf numFmtId="0" fontId="822" fillId="0" borderId="0" xfId="0" applyFont="true"/>
    <xf numFmtId="0" fontId="823" fillId="0" borderId="0" xfId="0" applyFont="true"/>
    <xf numFmtId="0" fontId="824" fillId="0" borderId="0" xfId="0" applyFont="true"/>
    <xf numFmtId="0" fontId="825" fillId="0" borderId="0" xfId="0" applyFont="true"/>
    <xf numFmtId="0" fontId="826" fillId="0" borderId="0" xfId="0" applyFont="true"/>
    <xf numFmtId="0" fontId="827" fillId="0" borderId="0" xfId="0" applyFont="true"/>
    <xf numFmtId="0" fontId="828" fillId="0" borderId="0" xfId="0" applyFont="true"/>
    <xf numFmtId="0" fontId="829" fillId="0" borderId="0" xfId="0" applyFont="true"/>
    <xf numFmtId="0" fontId="830" fillId="0" borderId="0" xfId="0" applyFont="true"/>
    <xf numFmtId="0" fontId="831" fillId="0" borderId="0" xfId="0" applyFont="true"/>
    <xf numFmtId="0" fontId="832" fillId="0" borderId="0" xfId="0" applyFont="true"/>
    <xf numFmtId="0" fontId="833" fillId="0" borderId="0" xfId="0" applyFont="true"/>
    <xf numFmtId="0" fontId="834" fillId="0" borderId="0" xfId="0" applyFont="true"/>
    <xf numFmtId="0" fontId="835" fillId="0" borderId="0" xfId="0" applyFont="true"/>
    <xf numFmtId="0" fontId="836" fillId="0" borderId="0" xfId="0" applyFont="true"/>
    <xf numFmtId="0" fontId="837" fillId="0" borderId="0" xfId="0" applyFont="true"/>
    <xf numFmtId="0" fontId="838" fillId="0" borderId="0" xfId="0" applyFont="true"/>
    <xf numFmtId="0" fontId="839" fillId="0" borderId="0" xfId="0" applyFont="true"/>
    <xf numFmtId="0" fontId="840" fillId="0" borderId="0" xfId="0" applyFont="true"/>
    <xf numFmtId="0" fontId="841" fillId="0" borderId="0" xfId="0" applyFont="true"/>
    <xf numFmtId="0" fontId="842" fillId="0" borderId="0" xfId="0" applyFont="true"/>
    <xf numFmtId="0" fontId="843" fillId="0" borderId="0" xfId="0" applyFont="true"/>
    <xf numFmtId="0" fontId="844" fillId="0" borderId="0" xfId="0" applyFont="true"/>
    <xf numFmtId="0" fontId="845" fillId="0" borderId="0" xfId="0" applyFont="true"/>
    <xf numFmtId="0" fontId="846" fillId="0" borderId="0" xfId="0" applyFont="true"/>
    <xf numFmtId="0" fontId="847" fillId="0" borderId="0" xfId="0" applyFont="true"/>
    <xf numFmtId="0" fontId="848" fillId="0" borderId="0" xfId="0" applyFont="true"/>
    <xf numFmtId="0" fontId="849" fillId="0" borderId="0" xfId="0" applyFont="true"/>
    <xf numFmtId="0" fontId="850" fillId="0" borderId="0" xfId="0" applyFont="true"/>
    <xf numFmtId="0" fontId="851" fillId="0" borderId="0" xfId="0" applyFont="true"/>
    <xf numFmtId="0" fontId="852" fillId="0" borderId="0" xfId="0" applyFont="true"/>
    <xf numFmtId="0" fontId="853" fillId="0" borderId="0" xfId="0" applyFont="true"/>
    <xf numFmtId="0" fontId="854" fillId="0" borderId="0" xfId="0" applyFont="true"/>
    <xf numFmtId="0" fontId="855" fillId="0" borderId="0" xfId="0" applyFont="true"/>
    <xf numFmtId="0" fontId="856" fillId="0" borderId="0" xfId="0" applyFont="true"/>
    <xf numFmtId="0" fontId="857" fillId="0" borderId="0" xfId="0" applyFont="true"/>
    <xf numFmtId="0" fontId="858" fillId="0" borderId="0" xfId="0" applyFont="true"/>
    <xf numFmtId="0" fontId="859" fillId="0" borderId="0" xfId="0" applyFont="true"/>
    <xf numFmtId="0" fontId="860" fillId="0" borderId="0" xfId="0" applyFont="true"/>
    <xf numFmtId="0" fontId="861" fillId="0" borderId="0" xfId="0" applyFont="true"/>
    <xf numFmtId="0" fontId="862" fillId="0" borderId="0" xfId="0" applyFont="true"/>
    <xf numFmtId="0" fontId="863" fillId="0" borderId="0" xfId="0" applyFont="true"/>
    <xf numFmtId="0" fontId="864" fillId="0" borderId="0" xfId="0" applyFont="true"/>
    <xf numFmtId="0" fontId="865" fillId="0" borderId="0" xfId="0" applyFont="true"/>
    <xf numFmtId="0" fontId="866" fillId="0" borderId="0" xfId="0" applyFont="true"/>
    <xf numFmtId="0" fontId="867" fillId="0" borderId="0" xfId="0" applyFont="true"/>
    <xf numFmtId="0" fontId="868" fillId="0" borderId="0" xfId="0" applyFont="true"/>
    <xf numFmtId="0" fontId="869" fillId="0" borderId="0" xfId="0" applyFont="true"/>
    <xf numFmtId="0" fontId="870" fillId="0" borderId="0" xfId="0" applyFont="true"/>
    <xf numFmtId="0" fontId="871" fillId="0" borderId="0" xfId="0" applyFont="true"/>
    <xf numFmtId="0" fontId="872" fillId="0" borderId="0" xfId="0" applyFont="true"/>
    <xf numFmtId="0" fontId="873" fillId="0" borderId="0" xfId="0" applyFont="true"/>
    <xf numFmtId="0" fontId="874" fillId="0" borderId="0" xfId="0" applyFont="true"/>
    <xf numFmtId="0" fontId="875" fillId="0" borderId="0" xfId="0" applyFont="true"/>
    <xf numFmtId="0" fontId="876" fillId="0" borderId="0" xfId="0" applyFont="true"/>
    <xf numFmtId="0" fontId="877" fillId="0" borderId="0" xfId="0" applyFont="true"/>
    <xf numFmtId="0" fontId="878" fillId="0" borderId="0" xfId="0" applyFont="true"/>
    <xf numFmtId="0" fontId="879" fillId="0" borderId="0" xfId="0" applyFont="true"/>
    <xf numFmtId="0" fontId="880" fillId="0" borderId="0" xfId="0" applyFont="true"/>
    <xf numFmtId="0" fontId="881" fillId="0" borderId="0" xfId="0" applyFont="true"/>
    <xf numFmtId="0" fontId="882" fillId="0" borderId="0" xfId="0" applyFont="true"/>
    <xf numFmtId="0" fontId="883" fillId="0" borderId="0" xfId="0" applyFont="true"/>
    <xf numFmtId="0" fontId="884" fillId="0" borderId="0" xfId="0" applyFont="true"/>
    <xf numFmtId="0" fontId="885" fillId="0" borderId="0" xfId="0" applyFont="true"/>
    <xf numFmtId="0" fontId="886" fillId="0" borderId="0" xfId="0" applyFont="true"/>
    <xf numFmtId="0" fontId="887" fillId="0" borderId="0" xfId="0" applyFont="true"/>
    <xf numFmtId="0" fontId="888" fillId="0" borderId="0" xfId="0" applyFont="true"/>
    <xf numFmtId="0" fontId="889" fillId="0" borderId="0" xfId="0" applyFont="true"/>
    <xf numFmtId="0" fontId="890" fillId="0" borderId="0" xfId="0" applyFont="true"/>
    <xf numFmtId="0" fontId="891" fillId="0" borderId="0" xfId="0" applyFont="true"/>
    <xf numFmtId="0" fontId="892" fillId="0" borderId="0" xfId="0" applyFont="true"/>
    <xf numFmtId="0" fontId="893" fillId="0" borderId="0" xfId="0" applyFont="true"/>
    <xf numFmtId="0" fontId="894" fillId="0" borderId="0" xfId="0" applyFont="true"/>
    <xf numFmtId="0" fontId="895" fillId="0" borderId="0" xfId="0" applyFont="true"/>
    <xf numFmtId="0" fontId="896" fillId="0" borderId="0" xfId="0" applyFont="true"/>
    <xf numFmtId="0" fontId="897" fillId="0" borderId="0" xfId="0" applyFont="true"/>
    <xf numFmtId="0" fontId="898" fillId="0" borderId="0" xfId="0" applyFont="true"/>
    <xf numFmtId="0" fontId="899" fillId="0" borderId="0" xfId="0" applyFont="true"/>
    <xf numFmtId="0" fontId="900" fillId="0" borderId="0" xfId="0" applyFont="true"/>
    <xf numFmtId="0" fontId="901" fillId="0" borderId="0" xfId="0" applyFont="true"/>
    <xf numFmtId="0" fontId="902" fillId="0" borderId="0" xfId="0" applyFont="true"/>
    <xf numFmtId="0" fontId="903" fillId="0" borderId="0" xfId="0" applyFont="true"/>
    <xf numFmtId="0" fontId="904" fillId="0" borderId="0" xfId="0" applyFont="true"/>
    <xf numFmtId="0" fontId="905" fillId="0" borderId="0" xfId="0" applyFont="true"/>
    <xf numFmtId="0" fontId="906" fillId="0" borderId="0" xfId="0" applyFont="true"/>
    <xf numFmtId="0" fontId="907" fillId="0" borderId="0" xfId="0" applyFont="true"/>
    <xf numFmtId="0" fontId="908" fillId="0" borderId="0" xfId="0" applyFont="true"/>
    <xf numFmtId="0" fontId="909" fillId="0" borderId="0" xfId="0" applyFont="true"/>
    <xf numFmtId="0" fontId="910" fillId="0" borderId="0" xfId="0" applyFont="true"/>
    <xf numFmtId="0" fontId="911" fillId="0" borderId="0" xfId="0" applyFont="true"/>
    <xf numFmtId="0" fontId="912" fillId="0" borderId="0" xfId="0" applyFont="true"/>
    <xf numFmtId="0" fontId="913" fillId="0" borderId="0" xfId="0" applyFont="true"/>
    <xf numFmtId="0" fontId="914" fillId="0" borderId="0" xfId="0" applyFont="true"/>
    <xf numFmtId="0" fontId="915" fillId="0" borderId="0" xfId="0" applyFont="true"/>
    <xf numFmtId="0" fontId="916" fillId="0" borderId="0" xfId="0" applyFont="true"/>
    <xf numFmtId="0" fontId="917" fillId="0" borderId="0" xfId="0" applyFont="true"/>
    <xf numFmtId="0" fontId="918" fillId="0" borderId="0" xfId="0" applyFont="true"/>
    <xf numFmtId="0" fontId="919" fillId="0" borderId="0" xfId="0" applyFont="true"/>
    <xf numFmtId="0" fontId="920" fillId="0" borderId="0" xfId="0" applyFont="true"/>
    <xf numFmtId="0" fontId="921" fillId="0" borderId="0" xfId="0" applyFont="true"/>
    <xf numFmtId="0" fontId="922" fillId="0" borderId="0" xfId="0" applyFont="true"/>
    <xf numFmtId="0" fontId="923" fillId="0" borderId="0" xfId="0" applyFont="true"/>
    <xf numFmtId="0" fontId="924" fillId="0" borderId="0" xfId="0" applyFont="true"/>
    <xf numFmtId="0" fontId="925" fillId="0" borderId="0" xfId="0" applyFont="true"/>
    <xf numFmtId="0" fontId="926" fillId="0" borderId="0" xfId="0" applyFont="true"/>
    <xf numFmtId="0" fontId="927" fillId="0" borderId="0" xfId="0" applyFont="true"/>
    <xf numFmtId="0" fontId="928" fillId="0" borderId="0" xfId="0" applyFont="true"/>
    <xf numFmtId="0" fontId="929" fillId="0" borderId="0" xfId="0" applyFont="true"/>
    <xf numFmtId="0" fontId="930" fillId="0" borderId="0" xfId="0" applyFont="true"/>
    <xf numFmtId="0" fontId="931" fillId="0" borderId="0" xfId="0" applyFont="true"/>
    <xf numFmtId="0" fontId="932" fillId="0" borderId="0" xfId="0" applyFont="true"/>
    <xf numFmtId="0" fontId="933" fillId="0" borderId="0" xfId="0" applyFont="true"/>
    <xf numFmtId="0" fontId="934" fillId="0" borderId="0" xfId="0" applyFont="true"/>
    <xf numFmtId="0" fontId="935" fillId="0" borderId="0" xfId="0" applyFont="true"/>
    <xf numFmtId="0" fontId="936" fillId="0" borderId="0" xfId="0" applyFont="true"/>
    <xf numFmtId="0" fontId="937" fillId="0" borderId="0" xfId="0" applyFont="true"/>
    <xf numFmtId="0" fontId="938" fillId="0" borderId="0" xfId="0" applyFont="true"/>
    <xf numFmtId="0" fontId="939" fillId="0" borderId="0" xfId="0" applyFont="true"/>
    <xf numFmtId="0" fontId="940" fillId="0" borderId="0" xfId="0" applyFont="true"/>
    <xf numFmtId="0" fontId="941" fillId="0" borderId="0" xfId="0" applyFont="true"/>
    <xf numFmtId="0" fontId="942" fillId="0" borderId="0" xfId="0" applyFont="true"/>
    <xf numFmtId="0" fontId="943" fillId="0" borderId="0" xfId="0" applyFont="true"/>
    <xf numFmtId="0" fontId="944" fillId="0" borderId="0" xfId="0" applyFont="true"/>
    <xf numFmtId="0" fontId="945" fillId="0" borderId="0" xfId="0" applyFont="true"/>
    <xf numFmtId="0" fontId="946" fillId="0" borderId="0" xfId="0" applyFont="true"/>
    <xf numFmtId="0" fontId="947" fillId="0" borderId="0" xfId="0" applyFont="true"/>
    <xf numFmtId="0" fontId="948" fillId="0" borderId="0" xfId="0" applyFont="true"/>
    <xf numFmtId="0" fontId="949" fillId="0" borderId="0" xfId="0" applyFont="true"/>
    <xf numFmtId="0" fontId="950" fillId="0" borderId="0" xfId="0" applyFont="true"/>
    <xf numFmtId="0" fontId="951" fillId="0" borderId="0" xfId="0" applyFont="true"/>
    <xf numFmtId="0" fontId="952" fillId="0" borderId="0" xfId="0" applyFont="true"/>
    <xf numFmtId="0" fontId="953" fillId="0" borderId="0" xfId="0" applyFont="true"/>
    <xf numFmtId="0" fontId="954" fillId="0" borderId="0" xfId="0" applyFont="true"/>
    <xf numFmtId="0" fontId="955" fillId="0" borderId="0" xfId="0" applyFont="true"/>
    <xf numFmtId="0" fontId="956" fillId="0" borderId="0" xfId="0" applyFont="true"/>
    <xf numFmtId="0" fontId="957" fillId="0" borderId="0" xfId="0" applyFont="true"/>
    <xf numFmtId="0" fontId="958" fillId="0" borderId="0" xfId="0" applyFont="true"/>
    <xf numFmtId="0" fontId="959" fillId="0" borderId="0" xfId="0" applyFont="true"/>
    <xf numFmtId="0" fontId="960" fillId="0" borderId="0" xfId="0" applyFont="true"/>
    <xf numFmtId="0" fontId="961" fillId="0" borderId="0" xfId="0" applyFont="true"/>
    <xf numFmtId="0" fontId="962" fillId="0" borderId="0" xfId="0" applyFont="true"/>
    <xf numFmtId="0" fontId="963" fillId="0" borderId="0" xfId="0" applyFont="true"/>
    <xf numFmtId="0" fontId="964" fillId="0" borderId="0" xfId="0" applyFont="true"/>
    <xf numFmtId="0" fontId="965" fillId="0" borderId="0" xfId="0" applyFont="true"/>
    <xf numFmtId="0" fontId="966" fillId="0" borderId="0" xfId="0" applyFont="true"/>
    <xf numFmtId="0" fontId="967" fillId="0" borderId="0" xfId="0" applyFont="true"/>
    <xf numFmtId="0" fontId="968" fillId="0" borderId="0" xfId="0" applyFont="true"/>
    <xf numFmtId="0" fontId="969" fillId="0" borderId="0" xfId="0" applyFont="true"/>
    <xf numFmtId="0" fontId="970" fillId="0" borderId="0" xfId="0" applyFont="true"/>
    <xf numFmtId="0" fontId="971" fillId="0" borderId="0" xfId="0" applyFont="true"/>
    <xf numFmtId="0" fontId="972" fillId="0" borderId="0" xfId="0" applyFont="true"/>
    <xf numFmtId="0" fontId="973" fillId="0" borderId="0" xfId="0" applyFont="true"/>
    <xf numFmtId="0" fontId="974" fillId="0" borderId="0" xfId="0" applyFont="true"/>
    <xf numFmtId="0" fontId="975" fillId="0" borderId="0" xfId="0" applyFont="true"/>
    <xf numFmtId="0" fontId="976" fillId="0" borderId="0" xfId="0" applyFont="true"/>
    <xf numFmtId="0" fontId="977" fillId="0" borderId="0" xfId="0" applyFont="true"/>
    <xf numFmtId="0" fontId="978" fillId="0" borderId="0" xfId="0" applyFont="true"/>
    <xf numFmtId="0" fontId="979" fillId="0" borderId="0" xfId="0" applyFont="true"/>
    <xf numFmtId="0" fontId="980" fillId="0" borderId="0" xfId="0" applyFont="true"/>
    <xf numFmtId="0" fontId="981" fillId="0" borderId="0" xfId="0" applyFont="true"/>
    <xf numFmtId="0" fontId="982" fillId="0" borderId="0" xfId="0" applyFont="true"/>
    <xf numFmtId="0" fontId="983" fillId="0" borderId="0" xfId="0" applyFont="true"/>
    <xf numFmtId="0" fontId="984" fillId="0" borderId="0" xfId="0" applyFont="true"/>
    <xf numFmtId="0" fontId="985" fillId="0" borderId="0" xfId="0" applyFont="true"/>
    <xf numFmtId="0" fontId="986" fillId="0" borderId="0" xfId="0" applyFont="true"/>
    <xf numFmtId="0" fontId="987" fillId="0" borderId="0" xfId="0" applyFont="true"/>
    <xf numFmtId="0" fontId="988" fillId="0" borderId="0" xfId="0" applyFont="true"/>
    <xf numFmtId="0" fontId="989" fillId="0" borderId="0" xfId="0" applyFont="true"/>
    <xf numFmtId="0" fontId="990" fillId="0" borderId="0" xfId="0" applyFont="true"/>
    <xf numFmtId="0" fontId="991" fillId="0" borderId="0" xfId="0" applyFont="true"/>
    <xf numFmtId="0" fontId="992" fillId="0" borderId="0" xfId="0" applyFont="true"/>
    <xf numFmtId="0" fontId="993" fillId="0" borderId="0" xfId="0" applyFont="true"/>
    <xf numFmtId="0" fontId="994" fillId="0" borderId="0" xfId="0" applyFont="true"/>
    <xf numFmtId="0" fontId="995" fillId="0" borderId="0" xfId="0" applyFont="true"/>
    <xf numFmtId="0" fontId="996" fillId="0" borderId="0" xfId="0" applyFont="true"/>
    <xf numFmtId="0" fontId="997" fillId="0" borderId="0" xfId="0" applyFont="true"/>
    <xf numFmtId="0" fontId="998" fillId="0" borderId="0" xfId="0" applyFont="true"/>
    <xf numFmtId="0" fontId="999" fillId="0" borderId="0" xfId="0" applyFont="true"/>
    <xf numFmtId="0" fontId="1000" fillId="0" borderId="0" xfId="0" applyFont="true"/>
    <xf numFmtId="0" fontId="1001" fillId="0" borderId="0" xfId="0" applyFont="true"/>
    <xf numFmtId="0" fontId="1002" fillId="0" borderId="0" xfId="0" applyFont="true"/>
    <xf numFmtId="0" fontId="1003" fillId="0" borderId="0" xfId="0" applyFont="true"/>
    <xf numFmtId="0" fontId="1004" fillId="0" borderId="0" xfId="0" applyFont="true"/>
    <xf numFmtId="0" fontId="1005" fillId="0" borderId="0" xfId="0" applyFont="true"/>
    <xf numFmtId="0" fontId="1006" fillId="0" borderId="0" xfId="0" applyFont="true"/>
    <xf numFmtId="0" fontId="1007" fillId="0" borderId="0" xfId="0" applyFont="true"/>
    <xf numFmtId="0" fontId="1008" fillId="0" borderId="0" xfId="0" applyFont="true"/>
    <xf numFmtId="0" fontId="1009" fillId="0" borderId="0" xfId="0" applyFont="true"/>
    <xf numFmtId="0" fontId="1010" fillId="0" borderId="0" xfId="0" applyFont="true"/>
    <xf numFmtId="0" fontId="1011" fillId="0" borderId="0" xfId="0" applyFont="true"/>
    <xf numFmtId="0" fontId="1012" fillId="0" borderId="0" xfId="0" applyFont="true"/>
    <xf numFmtId="0" fontId="1013" fillId="0" borderId="0" xfId="0" applyFont="true"/>
    <xf numFmtId="0" fontId="1014" fillId="0" borderId="0" xfId="0" applyFont="true"/>
    <xf numFmtId="0" fontId="1015" fillId="0" borderId="0" xfId="0" applyFont="true"/>
    <xf numFmtId="0" fontId="1016" fillId="0" borderId="0" xfId="0" applyFont="true"/>
    <xf numFmtId="0" fontId="1017" fillId="0" borderId="0" xfId="0" applyFont="true"/>
    <xf numFmtId="0" fontId="1018" fillId="0" borderId="0" xfId="0" applyFont="true"/>
    <xf numFmtId="0" fontId="1019" fillId="0" borderId="0" xfId="0" applyFont="true"/>
    <xf numFmtId="0" fontId="1020" fillId="0" borderId="0" xfId="0" applyFont="true"/>
    <xf numFmtId="0" fontId="1021" fillId="0" borderId="0" xfId="0" applyFont="true"/>
    <xf numFmtId="0" fontId="1022" fillId="0" borderId="0" xfId="0" applyFont="true"/>
    <xf numFmtId="0" fontId="1023" fillId="0" borderId="0" xfId="0" applyFont="true"/>
    <xf numFmtId="0" fontId="1024" fillId="0" borderId="0" xfId="0" applyFont="true"/>
    <xf numFmtId="0" fontId="1025" fillId="0" borderId="0" xfId="0" applyFont="true"/>
    <xf numFmtId="0" fontId="1026" fillId="0" borderId="0" xfId="0" applyFont="true"/>
    <xf numFmtId="0" fontId="1027" fillId="0" borderId="0" xfId="0" applyFont="true"/>
    <xf numFmtId="0" fontId="1028" fillId="0" borderId="0" xfId="0" applyFont="true"/>
    <xf numFmtId="0" fontId="1029" fillId="0" borderId="0" xfId="0" applyFont="true"/>
    <xf numFmtId="0" fontId="1030" fillId="0" borderId="0" xfId="0" applyFont="true"/>
    <xf numFmtId="0" fontId="1031" fillId="0" borderId="0" xfId="0" applyFont="true"/>
    <xf numFmtId="0" fontId="1032" fillId="0" borderId="0" xfId="0" applyFont="true"/>
    <xf numFmtId="0" fontId="1033" fillId="0" borderId="0" xfId="0" applyFont="true"/>
    <xf numFmtId="0" fontId="1034" fillId="0" borderId="0" xfId="0" applyFont="true"/>
    <xf numFmtId="0" fontId="1035" fillId="0" borderId="0" xfId="0" applyFont="true"/>
    <xf numFmtId="0" fontId="1036" fillId="0" borderId="0" xfId="0" applyFont="true"/>
    <xf numFmtId="0" fontId="1037" fillId="0" borderId="0" xfId="0" applyFont="true"/>
    <xf numFmtId="0" fontId="1038" fillId="0" borderId="0" xfId="0" applyFont="true"/>
    <xf numFmtId="0" fontId="1039" fillId="0" borderId="0" xfId="0" applyFont="true"/>
    <xf numFmtId="0" fontId="1040" fillId="0" borderId="0" xfId="0" applyFont="true"/>
    <xf numFmtId="0" fontId="1041" fillId="0" borderId="0" xfId="0" applyFont="true"/>
    <xf numFmtId="0" fontId="1042" fillId="0" borderId="0" xfId="0" applyFont="true"/>
    <xf numFmtId="0" fontId="1043" fillId="0" borderId="0" xfId="0" applyFont="true"/>
    <xf numFmtId="0" fontId="1044" fillId="0" borderId="0" xfId="0" applyFont="true"/>
    <xf numFmtId="0" fontId="1045" fillId="0" borderId="0" xfId="0" applyFont="true"/>
    <xf numFmtId="0" fontId="1046" fillId="0" borderId="0" xfId="0" applyFont="true"/>
    <xf numFmtId="0" fontId="1047" fillId="0" borderId="0" xfId="0" applyFont="true"/>
    <xf numFmtId="0" fontId="1048" fillId="0" borderId="0" xfId="0" applyFont="true"/>
    <xf numFmtId="0" fontId="1049" fillId="0" borderId="0" xfId="0" applyFont="true"/>
    <xf numFmtId="0" fontId="1050" fillId="0" borderId="0" xfId="0" applyFont="true"/>
    <xf numFmtId="0" fontId="1051" fillId="0" borderId="0" xfId="0" applyFont="true"/>
    <xf numFmtId="0" fontId="1052" fillId="0" borderId="0" xfId="0" applyFont="true"/>
    <xf numFmtId="0" fontId="1053" fillId="0" borderId="0" xfId="0" applyFont="true"/>
    <xf numFmtId="0" fontId="1054" fillId="0" borderId="0" xfId="0" applyFont="true"/>
    <xf numFmtId="0" fontId="1055" fillId="0" borderId="0" xfId="0" applyFont="true"/>
    <xf numFmtId="0" fontId="1056" fillId="0" borderId="0" xfId="0" applyFont="true"/>
    <xf numFmtId="0" fontId="1057" fillId="0" borderId="0" xfId="0" applyFont="true"/>
    <xf numFmtId="0" fontId="1058" fillId="0" borderId="0" xfId="0" applyFont="true"/>
    <xf numFmtId="0" fontId="1059" fillId="0" borderId="0" xfId="0" applyFont="true"/>
    <xf numFmtId="0" fontId="1060" fillId="0" borderId="0" xfId="0" applyFont="true"/>
    <xf numFmtId="0" fontId="1061" fillId="0" borderId="0" xfId="0" applyFont="true"/>
    <xf numFmtId="0" fontId="1062" fillId="0" borderId="0" xfId="0" applyFont="true"/>
    <xf numFmtId="0" fontId="1063" fillId="0" borderId="0" xfId="0" applyFont="true"/>
    <xf numFmtId="0" fontId="1064" fillId="0" borderId="0" xfId="0" applyFont="true"/>
    <xf numFmtId="0" fontId="1065" fillId="0" borderId="0" xfId="0" applyFont="true"/>
    <xf numFmtId="0" fontId="1066" fillId="0" borderId="0" xfId="0" applyFont="true"/>
    <xf numFmtId="0" fontId="1067" fillId="0" borderId="0" xfId="0" applyFont="true"/>
    <xf numFmtId="0" fontId="1068" fillId="0" borderId="0" xfId="0" applyFont="true"/>
    <xf numFmtId="0" fontId="1069" fillId="0" borderId="0" xfId="0" applyFont="true"/>
    <xf numFmtId="0" fontId="1070" fillId="0" borderId="0" xfId="0" applyFont="true"/>
    <xf numFmtId="0" fontId="1071" fillId="0" borderId="0" xfId="0" applyFont="true"/>
    <xf numFmtId="0" fontId="1072" fillId="0" borderId="0" xfId="0" applyFont="true"/>
    <xf numFmtId="0" fontId="1073" fillId="0" borderId="0" xfId="0" applyFont="true"/>
    <xf numFmtId="0" fontId="1074" fillId="0" borderId="0" xfId="0" applyFont="true"/>
    <xf numFmtId="0" fontId="1075" fillId="0" borderId="0" xfId="0" applyFont="true"/>
    <xf numFmtId="0" fontId="1076" fillId="0" borderId="0" xfId="0" applyFont="true"/>
    <xf numFmtId="0" fontId="1077" fillId="0" borderId="0" xfId="0" applyFont="true"/>
    <xf numFmtId="0" fontId="1078" fillId="0" borderId="0" xfId="0" applyFont="true"/>
    <xf numFmtId="0" fontId="1079" fillId="0" borderId="0" xfId="0" applyFont="true"/>
    <xf numFmtId="0" fontId="1080" fillId="0" borderId="0" xfId="0" applyFont="true"/>
    <xf numFmtId="0" fontId="1081" fillId="0" borderId="0" xfId="0" applyFont="true"/>
    <xf numFmtId="0" fontId="1082" fillId="0" borderId="0" xfId="0" applyFont="true"/>
    <xf numFmtId="0" fontId="1083" fillId="0" borderId="0" xfId="0" applyFont="true"/>
    <xf numFmtId="0" fontId="1084" fillId="0" borderId="0" xfId="0" applyFont="true"/>
    <xf numFmtId="0" fontId="1085" fillId="0" borderId="0" xfId="0" applyFont="true"/>
    <xf numFmtId="0" fontId="1086" fillId="0" borderId="0" xfId="0" applyFont="true"/>
    <xf numFmtId="0" fontId="1087" fillId="0" borderId="0" xfId="0" applyFont="true"/>
    <xf numFmtId="0" fontId="1088" fillId="0" borderId="0" xfId="0" applyFont="true"/>
    <xf numFmtId="0" fontId="1089" fillId="0" borderId="0" xfId="0" applyFont="true"/>
    <xf numFmtId="0" fontId="1090" fillId="0" borderId="0" xfId="0" applyFont="true"/>
    <xf numFmtId="0" fontId="1091" fillId="0" borderId="0" xfId="0" applyFont="true"/>
    <xf numFmtId="0" fontId="1092" fillId="0" borderId="0" xfId="0" applyFont="true"/>
    <xf numFmtId="0" fontId="1093" fillId="0" borderId="0" xfId="0" applyFont="true"/>
    <xf numFmtId="0" fontId="1094" fillId="0" borderId="0" xfId="0" applyFont="true"/>
    <xf numFmtId="0" fontId="1095" fillId="0" borderId="0" xfId="0" applyFont="true"/>
    <xf numFmtId="0" fontId="1096" fillId="0" borderId="0" xfId="0" applyFont="true"/>
    <xf numFmtId="0" fontId="1097" fillId="0" borderId="0" xfId="0" applyFont="true"/>
    <xf numFmtId="0" fontId="1098" fillId="0" borderId="0" xfId="0" applyFont="true"/>
    <xf numFmtId="0" fontId="1099" fillId="0" borderId="0" xfId="0" applyFont="true"/>
    <xf numFmtId="0" fontId="1100" fillId="0" borderId="0" xfId="0" applyFont="true"/>
    <xf numFmtId="0" fontId="1101" fillId="0" borderId="0" xfId="0" applyFont="true"/>
    <xf numFmtId="0" fontId="1102" fillId="0" borderId="0" xfId="0" applyFont="true"/>
    <xf numFmtId="0" fontId="1103" fillId="0" borderId="0" xfId="0" applyFont="true"/>
    <xf numFmtId="0" fontId="1104" fillId="0" borderId="0" xfId="0" applyFont="true"/>
    <xf numFmtId="0" fontId="1105" fillId="0" borderId="0" xfId="0" applyFont="true"/>
    <xf numFmtId="0" fontId="1106" fillId="0" borderId="0" xfId="0" applyFont="true"/>
    <xf numFmtId="0" fontId="1107" fillId="0" borderId="0" xfId="0" applyFont="true"/>
    <xf numFmtId="0" fontId="1108" fillId="0" borderId="0" xfId="0" applyFont="true"/>
    <xf numFmtId="0" fontId="1109" fillId="0" borderId="0" xfId="0" applyFont="true"/>
    <xf numFmtId="0" fontId="1110" fillId="0" borderId="0" xfId="0" applyFont="true"/>
    <xf numFmtId="0" fontId="1111" fillId="0" borderId="0" xfId="0" applyFont="true"/>
    <xf numFmtId="0" fontId="1112" fillId="0" borderId="0" xfId="0" applyFont="true"/>
    <xf numFmtId="0" fontId="1113" fillId="0" borderId="0" xfId="0" applyFont="true"/>
    <xf numFmtId="0" fontId="1114" fillId="0" borderId="0" xfId="0" applyFont="true"/>
    <xf numFmtId="0" fontId="1115" fillId="0" borderId="0" xfId="0" applyFont="true"/>
    <xf numFmtId="0" fontId="1116" fillId="0" borderId="0" xfId="0" applyFont="true"/>
    <xf numFmtId="0" fontId="1117" fillId="0" borderId="0" xfId="0" applyFont="true"/>
    <xf numFmtId="0" fontId="1118" fillId="0" borderId="0" xfId="0" applyFont="true"/>
    <xf numFmtId="0" fontId="1119" fillId="0" borderId="0" xfId="0" applyFont="true"/>
    <xf numFmtId="0" fontId="1120" fillId="0" borderId="0" xfId="0" applyFont="true"/>
    <xf numFmtId="0" fontId="1121" fillId="0" borderId="0" xfId="0" applyFont="true"/>
    <xf numFmtId="0" fontId="1122" fillId="0" borderId="0" xfId="0" applyFont="true"/>
    <xf numFmtId="0" fontId="1123" fillId="0" borderId="0" xfId="0" applyFont="true"/>
    <xf numFmtId="0" fontId="1124" fillId="0" borderId="0" xfId="0" applyFont="true"/>
    <xf numFmtId="0" fontId="1125" fillId="0" borderId="0" xfId="0" applyFont="true"/>
    <xf numFmtId="0" fontId="1126" fillId="0" borderId="0" xfId="0" applyFont="true"/>
    <xf numFmtId="0" fontId="1127" fillId="0" borderId="0" xfId="0" applyFont="true"/>
    <xf numFmtId="0" fontId="1128" fillId="0" borderId="0" xfId="0" applyFont="true"/>
    <xf numFmtId="0" fontId="1129" fillId="0" borderId="0" xfId="0" applyFont="true"/>
    <xf numFmtId="0" fontId="1130" fillId="0" borderId="0" xfId="0" applyFont="true"/>
    <xf numFmtId="0" fontId="1131" fillId="0" borderId="0" xfId="0" applyFont="true"/>
    <xf numFmtId="0" fontId="1132" fillId="0" borderId="0" xfId="0" applyFont="true"/>
    <xf numFmtId="0" fontId="1133" fillId="0" borderId="0" xfId="0" applyFont="true"/>
    <xf numFmtId="0" fontId="1134" fillId="0" borderId="0" xfId="0" applyFont="true"/>
    <xf numFmtId="0" fontId="1135" fillId="0" borderId="0" xfId="0" applyFont="true"/>
    <xf numFmtId="0" fontId="1136" fillId="0" borderId="0" xfId="0" applyFont="true"/>
    <xf numFmtId="0" fontId="1137" fillId="0" borderId="0" xfId="0" applyFont="true"/>
    <xf numFmtId="0" fontId="1138" fillId="0" borderId="0" xfId="0" applyFont="true"/>
    <xf numFmtId="0" fontId="1139" fillId="0" borderId="0" xfId="0" applyFont="true"/>
    <xf numFmtId="0" fontId="1140" fillId="0" borderId="0" xfId="0" applyFont="true"/>
    <xf numFmtId="0" fontId="1141" fillId="0" borderId="0" xfId="0" applyFont="true"/>
    <xf numFmtId="0" fontId="1142" fillId="0" borderId="0" xfId="0" applyFont="true"/>
    <xf numFmtId="0" fontId="1143" fillId="0" borderId="0" xfId="0" applyFont="true"/>
    <xf numFmtId="0" fontId="1144" fillId="0" borderId="0" xfId="0" applyFont="true"/>
    <xf numFmtId="0" fontId="1145" fillId="0" borderId="0" xfId="0" applyFont="true"/>
    <xf numFmtId="0" fontId="1146" fillId="0" borderId="0" xfId="0" applyFont="true"/>
    <xf numFmtId="0" fontId="1147" fillId="0" borderId="0" xfId="0" applyFont="true"/>
    <xf numFmtId="0" fontId="1148" fillId="0" borderId="0" xfId="0" applyFont="true"/>
    <xf numFmtId="0" fontId="1149" fillId="0" borderId="0" xfId="0" applyFont="true"/>
    <xf numFmtId="0" fontId="1150" fillId="0" borderId="0" xfId="0" applyFont="true"/>
    <xf numFmtId="0" fontId="1151" fillId="0" borderId="0" xfId="0" applyFont="true"/>
    <xf numFmtId="0" fontId="1152" fillId="0" borderId="0" xfId="0" applyFont="true"/>
    <xf numFmtId="0" fontId="1153" fillId="0" borderId="0" xfId="0" applyFont="true"/>
    <xf numFmtId="0" fontId="1154" fillId="0" borderId="0" xfId="0" applyFont="true"/>
    <xf numFmtId="0" fontId="1155" fillId="0" borderId="0" xfId="0" applyFont="true"/>
    <xf numFmtId="0" fontId="1156" fillId="0" borderId="0" xfId="0" applyFont="true"/>
    <xf numFmtId="0" fontId="1157" fillId="0" borderId="0" xfId="0" applyFont="true"/>
    <xf numFmtId="0" fontId="1158" fillId="0" borderId="0" xfId="0" applyFont="true"/>
    <xf numFmtId="0" fontId="1159" fillId="0" borderId="0" xfId="0" applyFont="true"/>
    <xf numFmtId="0" fontId="1160" fillId="0" borderId="0" xfId="0" applyFont="true"/>
    <xf numFmtId="0" fontId="1161" fillId="0" borderId="0" xfId="0" applyFont="true"/>
    <xf numFmtId="0" fontId="1162" fillId="0" borderId="0" xfId="0" applyFont="true"/>
    <xf numFmtId="0" fontId="1163" fillId="0" borderId="0" xfId="0" applyFont="true"/>
    <xf numFmtId="0" fontId="1164" fillId="0" borderId="0" xfId="0" applyFont="true"/>
    <xf numFmtId="0" fontId="1165" fillId="0" borderId="0" xfId="0" applyFont="true"/>
    <xf numFmtId="0" fontId="1166" fillId="0" borderId="0" xfId="0" applyFont="true"/>
    <xf numFmtId="0" fontId="1167" fillId="0" borderId="0" xfId="0" applyFont="true"/>
    <xf numFmtId="0" fontId="1168" fillId="0" borderId="0" xfId="0" applyFont="true"/>
    <xf numFmtId="0" fontId="1169" fillId="0" borderId="0" xfId="0" applyFont="true"/>
    <xf numFmtId="0" fontId="1170" fillId="0" borderId="0" xfId="0" applyFont="true"/>
    <xf numFmtId="0" fontId="1171" fillId="0" borderId="0" xfId="0" applyFont="true"/>
    <xf numFmtId="0" fontId="1172" fillId="0" borderId="0" xfId="0" applyFont="true"/>
    <xf numFmtId="0" fontId="1173" fillId="0" borderId="0" xfId="0" applyFont="true"/>
    <xf numFmtId="0" fontId="1174" fillId="0" borderId="0" xfId="0" applyFont="true"/>
    <xf numFmtId="0" fontId="1175" fillId="0" borderId="0" xfId="0" applyFont="true"/>
    <xf numFmtId="0" fontId="1176" fillId="0" borderId="0" xfId="0" applyFont="true"/>
    <xf numFmtId="0" fontId="1177" fillId="0" borderId="0" xfId="0" applyFont="true"/>
    <xf numFmtId="0" fontId="1178" fillId="0" borderId="0" xfId="0" applyFont="true"/>
    <xf numFmtId="0" fontId="1179" fillId="0" borderId="0" xfId="0" applyFont="true"/>
    <xf numFmtId="0" fontId="1180" fillId="0" borderId="0" xfId="0" applyFont="true"/>
    <xf numFmtId="0" fontId="1181" fillId="0" borderId="0" xfId="0" applyFont="true"/>
    <xf numFmtId="0" fontId="1182" fillId="0" borderId="0" xfId="0" applyFont="true"/>
    <xf numFmtId="0" fontId="1183" fillId="0" borderId="0" xfId="0" applyFont="true"/>
    <xf numFmtId="0" fontId="1184" fillId="0" borderId="0" xfId="0" applyFont="true"/>
    <xf numFmtId="0" fontId="1185" fillId="0" borderId="0" xfId="0" applyFont="true"/>
    <xf numFmtId="0" fontId="1186" fillId="0" borderId="0" xfId="0" applyFont="true"/>
    <xf numFmtId="0" fontId="1187" fillId="0" borderId="0" xfId="0" applyFont="true"/>
    <xf numFmtId="0" fontId="1188" fillId="0" borderId="0" xfId="0" applyFont="true"/>
    <xf numFmtId="0" fontId="1189" fillId="0" borderId="0" xfId="0" applyFont="true"/>
    <xf numFmtId="0" fontId="1190" fillId="0" borderId="0" xfId="0" applyFont="true"/>
    <xf numFmtId="0" fontId="1191" fillId="0" borderId="0" xfId="0" applyFont="true"/>
    <xf numFmtId="0" fontId="1192" fillId="0" borderId="0" xfId="0" applyFont="true"/>
    <xf numFmtId="0" fontId="1193" fillId="0" borderId="0" xfId="0" applyFont="true"/>
    <xf numFmtId="0" fontId="1194" fillId="0" borderId="0" xfId="0" applyFont="true"/>
    <xf numFmtId="0" fontId="1195" fillId="0" borderId="0" xfId="0" applyFont="true"/>
    <xf numFmtId="0" fontId="1196" fillId="0" borderId="0" xfId="0" applyFont="true"/>
    <xf numFmtId="0" fontId="1197" fillId="0" borderId="0" xfId="0" applyFont="true"/>
    <xf numFmtId="0" fontId="1198" fillId="0" borderId="0" xfId="0" applyFont="true"/>
    <xf numFmtId="0" fontId="1199" fillId="0" borderId="0" xfId="0" applyFont="true"/>
    <xf numFmtId="0" fontId="1200" fillId="0" borderId="0" xfId="0" applyFont="true"/>
    <xf numFmtId="0" fontId="1201" fillId="0" borderId="0" xfId="0" applyFont="true"/>
    <xf numFmtId="0" fontId="1202" fillId="0" borderId="0" xfId="0" applyFont="true"/>
    <xf numFmtId="0" fontId="1203" fillId="0" borderId="0" xfId="0" applyFont="true"/>
    <xf numFmtId="0" fontId="1204" fillId="0" borderId="0" xfId="0" applyFont="true"/>
    <xf numFmtId="0" fontId="1205" fillId="0" borderId="0" xfId="0" applyFont="true"/>
    <xf numFmtId="0" fontId="1206" fillId="0" borderId="0" xfId="0" applyFont="true"/>
    <xf numFmtId="0" fontId="1207" fillId="0" borderId="0" xfId="0" applyFont="true"/>
    <xf numFmtId="0" fontId="1208" fillId="0" borderId="0" xfId="0" applyFont="true"/>
    <xf numFmtId="0" fontId="1209" fillId="0" borderId="0" xfId="0" applyFont="true"/>
    <xf numFmtId="0" fontId="1210" fillId="0" borderId="0" xfId="0" applyFont="true"/>
    <xf numFmtId="0" fontId="1211" fillId="0" borderId="0" xfId="0" applyFont="true"/>
    <xf numFmtId="0" fontId="1212" fillId="0" borderId="0" xfId="0" applyFont="true"/>
    <xf numFmtId="0" fontId="1213" fillId="0" borderId="0" xfId="0" applyFont="true"/>
    <xf numFmtId="0" fontId="1214" fillId="0" borderId="0" xfId="0" applyFont="true"/>
    <xf numFmtId="0" fontId="1215" fillId="0" borderId="0" xfId="0" applyFont="true"/>
    <xf numFmtId="0" fontId="1216" fillId="0" borderId="0" xfId="0" applyFont="true"/>
    <xf numFmtId="0" fontId="1217" fillId="0" borderId="0" xfId="0" applyFont="true"/>
    <xf numFmtId="0" fontId="1218" fillId="0" borderId="0" xfId="0" applyFont="true"/>
    <xf numFmtId="0" fontId="1219" fillId="0" borderId="0" xfId="0" applyFont="true"/>
    <xf numFmtId="0" fontId="1220" fillId="0" borderId="0" xfId="0" applyFont="true"/>
    <xf numFmtId="0" fontId="1221" fillId="0" borderId="0" xfId="0" applyFont="true"/>
    <xf numFmtId="0" fontId="1222" fillId="0" borderId="0" xfId="0" applyFont="true"/>
    <xf numFmtId="0" fontId="1223" fillId="0" borderId="0" xfId="0" applyFont="true"/>
    <xf numFmtId="0" fontId="1224" fillId="0" borderId="0" xfId="0" applyFont="true"/>
    <xf numFmtId="0" fontId="1225" fillId="0" borderId="0" xfId="0" applyFont="true"/>
    <xf numFmtId="0" fontId="1226" fillId="0" borderId="0" xfId="0" applyFont="true"/>
    <xf numFmtId="0" fontId="1227" fillId="0" borderId="0" xfId="0" applyFont="true"/>
    <xf numFmtId="0" fontId="1228" fillId="0" borderId="0" xfId="0" applyFont="true"/>
    <xf numFmtId="0" fontId="1229" fillId="0" borderId="0" xfId="0" applyFont="true"/>
    <xf numFmtId="0" fontId="1230" fillId="0" borderId="0" xfId="0" applyFont="true"/>
    <xf numFmtId="0" fontId="1231" fillId="0" borderId="0" xfId="0" applyFont="true"/>
    <xf numFmtId="0" fontId="1232" fillId="0" borderId="0" xfId="0" applyFont="true"/>
    <xf numFmtId="0" fontId="1233" fillId="0" borderId="0" xfId="0" applyFont="true"/>
    <xf numFmtId="0" fontId="1234" fillId="0" borderId="0" xfId="0" applyFont="true"/>
    <xf numFmtId="0" fontId="1235" fillId="0" borderId="0" xfId="0" applyFont="true"/>
    <xf numFmtId="0" fontId="1236" fillId="0" borderId="0" xfId="0" applyFont="true"/>
    <xf numFmtId="0" fontId="1237" fillId="0" borderId="0" xfId="0" applyFont="true"/>
    <xf numFmtId="0" fontId="1238" fillId="0" borderId="0" xfId="0" applyFont="true"/>
    <xf numFmtId="0" fontId="1239" fillId="0" borderId="0" xfId="0" applyFont="true"/>
    <xf numFmtId="0" fontId="1240" fillId="0" borderId="0" xfId="0" applyFont="true"/>
    <xf numFmtId="0" fontId="1241" fillId="0" borderId="0" xfId="0" applyFont="true"/>
    <xf numFmtId="0" fontId="1242" fillId="0" borderId="0" xfId="0" applyFont="true"/>
    <xf numFmtId="0" fontId="1243" fillId="0" borderId="0" xfId="0" applyFont="true"/>
    <xf numFmtId="0" fontId="1244" fillId="0" borderId="0" xfId="0" applyFont="true"/>
    <xf numFmtId="0" fontId="1245" fillId="0" borderId="0" xfId="0" applyFont="true"/>
    <xf numFmtId="0" fontId="1246" fillId="0" borderId="0" xfId="0" applyFont="true"/>
    <xf numFmtId="0" fontId="1247" fillId="0" borderId="0" xfId="0" applyFont="true"/>
    <xf numFmtId="0" fontId="1248" fillId="0" borderId="0" xfId="0" applyFont="true"/>
    <xf numFmtId="0" fontId="1249" fillId="0" borderId="0" xfId="0" applyFont="true"/>
    <xf numFmtId="0" fontId="1250" fillId="0" borderId="0" xfId="0" applyFont="true"/>
    <xf numFmtId="0" fontId="1251" fillId="0" borderId="0" xfId="0" applyFont="true"/>
    <xf numFmtId="0" fontId="1252" fillId="0" borderId="0" xfId="0" applyFont="true"/>
    <xf numFmtId="0" fontId="1253" fillId="0" borderId="0" xfId="0" applyFont="true"/>
    <xf numFmtId="0" fontId="1254" fillId="0" borderId="0" xfId="0" applyFont="true"/>
    <xf numFmtId="0" fontId="1255" fillId="0" borderId="0" xfId="0" applyFont="true"/>
    <xf numFmtId="0" fontId="1256" fillId="0" borderId="0" xfId="0" applyFont="true"/>
    <xf numFmtId="0" fontId="1257" fillId="0" borderId="0" xfId="0" applyFont="true"/>
    <xf numFmtId="0" fontId="1258" fillId="0" borderId="0" xfId="0" applyFont="true"/>
    <xf numFmtId="0" fontId="1259" fillId="0" borderId="0" xfId="0" applyFont="true"/>
    <xf numFmtId="0" fontId="1260" fillId="0" borderId="0" xfId="0" applyFont="true"/>
    <xf numFmtId="0" fontId="1261" fillId="0" borderId="0" xfId="0" applyFont="true"/>
    <xf numFmtId="0" fontId="1262" fillId="0" borderId="0" xfId="0" applyFont="true"/>
    <xf numFmtId="0" fontId="1263" fillId="0" borderId="0" xfId="0" applyFont="true"/>
    <xf numFmtId="0" fontId="1264" fillId="0" borderId="0" xfId="0" applyFont="true"/>
    <xf numFmtId="0" fontId="1265" fillId="0" borderId="0" xfId="0" applyFont="true"/>
    <xf numFmtId="0" fontId="1266" fillId="0" borderId="0" xfId="0" applyFont="true"/>
    <xf numFmtId="0" fontId="1267" fillId="0" borderId="0" xfId="0" applyFont="true"/>
    <xf numFmtId="0" fontId="1268" fillId="0" borderId="0" xfId="0" applyFont="true"/>
    <xf numFmtId="0" fontId="1269" fillId="0" borderId="0" xfId="0" applyFont="true"/>
    <xf numFmtId="0" fontId="1270" fillId="0" borderId="0" xfId="0" applyFont="true"/>
    <xf numFmtId="0" fontId="1271" fillId="0" borderId="0" xfId="0" applyFont="true"/>
    <xf numFmtId="0" fontId="1272" fillId="0" borderId="0" xfId="0" applyFont="true"/>
    <xf numFmtId="0" fontId="1273" fillId="0" borderId="0" xfId="0" applyFont="true"/>
    <xf numFmtId="0" fontId="1274" fillId="0" borderId="0" xfId="0" applyFont="true"/>
    <xf numFmtId="0" fontId="1275" fillId="0" borderId="0" xfId="0" applyFont="true"/>
    <xf numFmtId="0" fontId="1276" fillId="0" borderId="0" xfId="0" applyFont="true"/>
    <xf numFmtId="0" fontId="1277" fillId="0" borderId="0" xfId="0" applyFont="true"/>
    <xf numFmtId="0" fontId="1278" fillId="0" borderId="0" xfId="0" applyFont="true"/>
    <xf numFmtId="0" fontId="1279" fillId="0" borderId="0" xfId="0" applyFont="true"/>
    <xf numFmtId="0" fontId="1280" fillId="0" borderId="0" xfId="0" applyFont="true"/>
    <xf numFmtId="0" fontId="1281" fillId="0" borderId="0" xfId="0" applyFont="true"/>
    <xf numFmtId="0" fontId="1282" fillId="0" borderId="0" xfId="0" applyFont="true"/>
    <xf numFmtId="0" fontId="1283" fillId="0" borderId="0" xfId="0" applyFont="true"/>
    <xf numFmtId="0" fontId="1284" fillId="0" borderId="0" xfId="0" applyFont="true"/>
    <xf numFmtId="0" fontId="1285" fillId="0" borderId="0" xfId="0" applyFont="true"/>
    <xf numFmtId="0" fontId="1286" fillId="0" borderId="0" xfId="0" applyFont="true"/>
    <xf numFmtId="0" fontId="1287" fillId="0" borderId="0" xfId="0" applyFont="true"/>
    <xf numFmtId="0" fontId="1288" fillId="0" borderId="0" xfId="0" applyFont="true"/>
    <xf numFmtId="0" fontId="1289" fillId="0" borderId="0" xfId="0" applyFont="true"/>
    <xf numFmtId="0" fontId="1290" fillId="0" borderId="0" xfId="0" applyFont="true"/>
    <xf numFmtId="0" fontId="1291" fillId="0" borderId="0" xfId="0" applyFont="true"/>
    <xf numFmtId="0" fontId="1292" fillId="0" borderId="0" xfId="0" applyFont="true"/>
    <xf numFmtId="0" fontId="1293" fillId="0" borderId="0" xfId="0" applyFont="true"/>
    <xf numFmtId="0" fontId="1294" fillId="0" borderId="0" xfId="0" applyFont="true"/>
    <xf numFmtId="0" fontId="1295" fillId="0" borderId="0" xfId="0" applyFont="true"/>
    <xf numFmtId="0" fontId="1296" fillId="0" borderId="0" xfId="0" applyFont="true"/>
    <xf numFmtId="0" fontId="1297" fillId="0" borderId="0" xfId="0" applyFont="true"/>
    <xf numFmtId="0" fontId="1298" fillId="0" borderId="0" xfId="0" applyFont="true"/>
    <xf numFmtId="0" fontId="1299" fillId="0" borderId="0" xfId="0" applyFont="true"/>
    <xf numFmtId="0" fontId="1300" fillId="0" borderId="0" xfId="0" applyFont="true"/>
    <xf numFmtId="0" fontId="1301" fillId="0" borderId="0" xfId="0" applyFont="true"/>
    <xf numFmtId="0" fontId="1302" fillId="0" borderId="0" xfId="0" applyFont="true"/>
    <xf numFmtId="0" fontId="1303" fillId="0" borderId="0" xfId="0" applyFont="true"/>
    <xf numFmtId="0" fontId="1304" fillId="0" borderId="0" xfId="0" applyFont="true"/>
    <xf numFmtId="0" fontId="1305" fillId="0" borderId="0" xfId="0" applyFont="true"/>
    <xf numFmtId="0" fontId="1306" fillId="0" borderId="0" xfId="0" applyFont="true"/>
    <xf numFmtId="0" fontId="1307" fillId="0" borderId="0" xfId="0" applyFont="true"/>
    <xf numFmtId="0" fontId="1308" fillId="0" borderId="0" xfId="0" applyFont="true"/>
    <xf numFmtId="0" fontId="1309" fillId="0" borderId="0" xfId="0" applyFont="true"/>
    <xf numFmtId="0" fontId="1310" fillId="0" borderId="0" xfId="0" applyFont="true"/>
    <xf numFmtId="0" fontId="1311" fillId="0" borderId="0" xfId="0" applyFont="true"/>
    <xf numFmtId="0" fontId="1312" fillId="0" borderId="0" xfId="0" applyFont="true"/>
    <xf numFmtId="0" fontId="1313" fillId="0" borderId="0" xfId="0" applyFont="true"/>
    <xf numFmtId="0" fontId="1314" fillId="0" borderId="0" xfId="0" applyFont="true"/>
    <xf numFmtId="0" fontId="1315" fillId="0" borderId="0" xfId="0" applyFont="true"/>
    <xf numFmtId="0" fontId="1316" fillId="0" borderId="0" xfId="0" applyFont="true"/>
    <xf numFmtId="0" fontId="1317" fillId="0" borderId="0" xfId="0" applyFont="true"/>
    <xf numFmtId="0" fontId="1318" fillId="0" borderId="0" xfId="0" applyFont="true"/>
    <xf numFmtId="0" fontId="1319" fillId="0" borderId="0" xfId="0" applyFont="true"/>
    <xf numFmtId="0" fontId="1320" fillId="0" borderId="0" xfId="0" applyFont="true"/>
    <xf numFmtId="0" fontId="1321" fillId="0" borderId="0" xfId="0" applyFont="true"/>
    <xf numFmtId="0" fontId="1322" fillId="0" borderId="0" xfId="0" applyFont="true"/>
    <xf numFmtId="0" fontId="1323" fillId="0" borderId="0" xfId="0" applyFont="true"/>
    <xf numFmtId="0" fontId="1324" fillId="0" borderId="0" xfId="0" applyFont="true"/>
    <xf numFmtId="0" fontId="1325" fillId="0" borderId="0" xfId="0" applyFont="true"/>
    <xf numFmtId="0" fontId="1326" fillId="0" borderId="0" xfId="0" applyFont="true"/>
    <xf numFmtId="0" fontId="1327" fillId="0" borderId="0" xfId="0" applyFont="true"/>
    <xf numFmtId="0" fontId="1328" fillId="0" borderId="0" xfId="0" applyFont="true"/>
    <xf numFmtId="0" fontId="1329" fillId="0" borderId="0" xfId="0" applyFont="true"/>
    <xf numFmtId="0" fontId="1330" fillId="0" borderId="0" xfId="0" applyFont="true"/>
    <xf numFmtId="0" fontId="1331" fillId="0" borderId="0" xfId="0" applyFont="true"/>
    <xf numFmtId="0" fontId="1332" fillId="0" borderId="0" xfId="0" applyFont="true"/>
    <xf numFmtId="0" fontId="1333" fillId="0" borderId="0" xfId="0" applyFont="true"/>
    <xf numFmtId="0" fontId="1334" fillId="0" borderId="0" xfId="0" applyFont="true"/>
    <xf numFmtId="0" fontId="1335" fillId="0" borderId="0" xfId="0" applyFont="true"/>
    <xf numFmtId="0" fontId="1336" fillId="0" borderId="0" xfId="0" applyFont="true"/>
    <xf numFmtId="0" fontId="1337" fillId="0" borderId="0" xfId="0" applyFont="true"/>
    <xf numFmtId="0" fontId="1338" fillId="0" borderId="0" xfId="0" applyFont="true"/>
    <xf numFmtId="0" fontId="1339" fillId="0" borderId="0" xfId="0" applyFont="true"/>
    <xf numFmtId="0" fontId="1340" fillId="0" borderId="0" xfId="0" applyFont="true"/>
    <xf numFmtId="0" fontId="1341" fillId="0" borderId="0" xfId="0" applyFont="true"/>
    <xf numFmtId="0" fontId="1342" fillId="0" borderId="0" xfId="0" applyFont="true"/>
    <xf numFmtId="0" fontId="1343" fillId="0" borderId="0" xfId="0" applyFont="true"/>
    <xf numFmtId="0" fontId="1344" fillId="0" borderId="0" xfId="0" applyFont="true"/>
    <xf numFmtId="0" fontId="1345" fillId="0" borderId="0" xfId="0" applyFont="true"/>
    <xf numFmtId="0" fontId="1346" fillId="0" borderId="0" xfId="0" applyFont="true"/>
    <xf numFmtId="0" fontId="1347" fillId="0" borderId="0" xfId="0" applyFont="true"/>
    <xf numFmtId="0" fontId="1348" fillId="0" borderId="0" xfId="0" applyFont="true"/>
    <xf numFmtId="0" fontId="1349" fillId="0" borderId="0" xfId="0" applyFont="true"/>
    <xf numFmtId="0" fontId="1350" fillId="0" borderId="0" xfId="0" applyFont="true"/>
    <xf numFmtId="0" fontId="1351" fillId="0" borderId="0" xfId="0" applyFont="true"/>
    <xf numFmtId="0" fontId="1352" fillId="0" borderId="0" xfId="0" applyFont="true"/>
    <xf numFmtId="0" fontId="1353" fillId="0" borderId="0" xfId="0" applyFont="true"/>
    <xf numFmtId="0" fontId="1354" fillId="0" borderId="0" xfId="0" applyFont="true"/>
    <xf numFmtId="0" fontId="1355" fillId="0" borderId="0" xfId="0" applyFont="true"/>
    <xf numFmtId="0" fontId="1356" fillId="0" borderId="0" xfId="0" applyFont="true"/>
    <xf numFmtId="0" fontId="1357" fillId="0" borderId="0" xfId="0" applyFont="true"/>
    <xf numFmtId="0" fontId="1358" fillId="0" borderId="0" xfId="0" applyFont="true"/>
    <xf numFmtId="0" fontId="1359" fillId="0" borderId="0" xfId="0" applyFont="true"/>
    <xf numFmtId="0" fontId="1360" fillId="0" borderId="0" xfId="0" applyFont="true"/>
    <xf numFmtId="0" fontId="1361" fillId="0" borderId="0" xfId="0" applyFont="true"/>
    <xf numFmtId="0" fontId="1362" fillId="0" borderId="0" xfId="0" applyFont="true"/>
    <xf numFmtId="0" fontId="1363" fillId="0" borderId="0" xfId="0" applyFont="true"/>
    <xf numFmtId="0" fontId="1364" fillId="0" borderId="0" xfId="0" applyFont="true"/>
    <xf numFmtId="0" fontId="1365" fillId="0" borderId="0" xfId="0" applyFont="true"/>
    <xf numFmtId="0" fontId="1366" fillId="0" borderId="0" xfId="0" applyFont="true"/>
    <xf numFmtId="0" fontId="1367" fillId="0" borderId="0" xfId="0" applyFont="true"/>
    <xf numFmtId="0" fontId="1368" fillId="0" borderId="0" xfId="0" applyFont="true"/>
    <xf numFmtId="0" fontId="1369" fillId="0" borderId="0" xfId="0" applyFont="true"/>
    <xf numFmtId="0" fontId="1370" fillId="0" borderId="0" xfId="0" applyFont="true"/>
    <xf numFmtId="0" fontId="1371" fillId="0" borderId="0" xfId="0" applyFont="true"/>
    <xf numFmtId="0" fontId="1372" fillId="0" borderId="0" xfId="0" applyFont="true"/>
    <xf numFmtId="0" fontId="1373" fillId="0" borderId="0" xfId="0" applyFont="true"/>
    <xf numFmtId="0" fontId="1374" fillId="0" borderId="0" xfId="0" applyFont="true"/>
    <xf numFmtId="0" fontId="1375" fillId="0" borderId="0" xfId="0" applyFont="true"/>
    <xf numFmtId="0" fontId="1376" fillId="0" borderId="0" xfId="0" applyFont="true"/>
    <xf numFmtId="0" fontId="1377" fillId="0" borderId="0" xfId="0" applyFont="true"/>
    <xf numFmtId="0" fontId="1378" fillId="0" borderId="0" xfId="0" applyFont="true"/>
    <xf numFmtId="0" fontId="1379" fillId="0" borderId="0" xfId="0" applyFont="true"/>
    <xf numFmtId="0" fontId="1380" fillId="0" borderId="0" xfId="0" applyFont="true"/>
    <xf numFmtId="0" fontId="1381" fillId="0" borderId="0" xfId="0" applyFont="true"/>
    <xf numFmtId="0" fontId="1382" fillId="0" borderId="0" xfId="0" applyFont="true"/>
    <xf numFmtId="0" fontId="1383" fillId="0" borderId="0" xfId="0" applyFont="true"/>
    <xf numFmtId="0" fontId="1384" fillId="0" borderId="0" xfId="0" applyFont="true"/>
    <xf numFmtId="0" fontId="1385" fillId="0" borderId="0" xfId="0" applyFont="true"/>
    <xf numFmtId="0" fontId="1386" fillId="0" borderId="0" xfId="0" applyFont="true"/>
    <xf numFmtId="0" fontId="1387" fillId="0" borderId="0" xfId="0" applyFont="true"/>
    <xf numFmtId="0" fontId="1388" fillId="0" borderId="0" xfId="0" applyFont="true"/>
    <xf numFmtId="0" fontId="1389" fillId="0" borderId="0" xfId="0" applyFont="true"/>
    <xf numFmtId="0" fontId="1390" fillId="0" borderId="0" xfId="0" applyFont="true"/>
    <xf numFmtId="0" fontId="1391" fillId="0" borderId="0" xfId="0" applyFont="true"/>
    <xf numFmtId="0" fontId="1392" fillId="0" borderId="0" xfId="0" applyFont="true"/>
    <xf numFmtId="0" fontId="1393" fillId="0" borderId="0" xfId="0" applyFont="true"/>
    <xf numFmtId="0" fontId="1394" fillId="0" borderId="0" xfId="0" applyFont="true"/>
    <xf numFmtId="0" fontId="1395" fillId="0" borderId="0" xfId="0" applyFont="true"/>
    <xf numFmtId="0" fontId="1396" fillId="0" borderId="0" xfId="0" applyFont="true"/>
    <xf numFmtId="0" fontId="1397" fillId="0" borderId="0" xfId="0" applyFont="true"/>
    <xf numFmtId="0" fontId="1398" fillId="0" borderId="0" xfId="0" applyFont="true"/>
    <xf numFmtId="0" fontId="1399" fillId="0" borderId="0" xfId="0" applyFont="true"/>
    <xf numFmtId="0" fontId="1400" fillId="0" borderId="0" xfId="0" applyFont="true"/>
    <xf numFmtId="0" fontId="1401" fillId="0" borderId="0" xfId="0" applyFont="true"/>
    <xf numFmtId="0" fontId="1402" fillId="0" borderId="0" xfId="0" applyFont="true"/>
    <xf numFmtId="0" fontId="1403" fillId="0" borderId="0" xfId="0" applyFont="true"/>
    <xf numFmtId="0" fontId="1404" fillId="0" borderId="0" xfId="0" applyFont="true"/>
    <xf numFmtId="0" fontId="1405" fillId="0" borderId="0" xfId="0" applyFont="true"/>
    <xf numFmtId="0" fontId="1406" fillId="0" borderId="0" xfId="0" applyFont="true"/>
    <xf numFmtId="0" fontId="1407" fillId="0" borderId="0" xfId="0" applyFont="true"/>
    <xf numFmtId="0" fontId="1408" fillId="0" borderId="0" xfId="0" applyFont="true"/>
    <xf numFmtId="0" fontId="1409" fillId="0" borderId="0" xfId="0" applyFont="true"/>
    <xf numFmtId="0" fontId="1410" fillId="0" borderId="0" xfId="0" applyFont="true"/>
    <xf numFmtId="0" fontId="1411" fillId="0" borderId="0" xfId="0" applyFont="true"/>
    <xf numFmtId="0" fontId="1412" fillId="0" borderId="0" xfId="0" applyFont="true"/>
    <xf numFmtId="0" fontId="1413" fillId="0" borderId="0" xfId="0" applyFont="true"/>
    <xf numFmtId="0" fontId="1414" fillId="0" borderId="0" xfId="0" applyFont="true"/>
    <xf numFmtId="0" fontId="1415" fillId="0" borderId="0" xfId="0" applyFont="true"/>
    <xf numFmtId="0" fontId="1416" fillId="0" borderId="0" xfId="0" applyFont="true"/>
    <xf numFmtId="0" fontId="1417" fillId="0" borderId="0" xfId="0" applyFont="true"/>
    <xf numFmtId="0" fontId="1418" fillId="0" borderId="0" xfId="0" applyFont="true"/>
    <xf numFmtId="0" fontId="1419" fillId="0" borderId="0" xfId="0" applyFont="true"/>
    <xf numFmtId="0" fontId="1420" fillId="0" borderId="0" xfId="0" applyFont="true"/>
    <xf numFmtId="0" fontId="1421" fillId="0" borderId="0" xfId="0" applyFont="true"/>
    <xf numFmtId="0" fontId="1422" fillId="0" borderId="0" xfId="0" applyFont="true"/>
    <xf numFmtId="0" fontId="1423" fillId="0" borderId="0" xfId="0" applyFont="true"/>
    <xf numFmtId="0" fontId="1424" fillId="0" borderId="0" xfId="0" applyFont="true"/>
    <xf numFmtId="0" fontId="1425" fillId="0" borderId="0" xfId="0" applyFont="true"/>
    <xf numFmtId="0" fontId="1426" fillId="0" borderId="0" xfId="0" applyFont="true"/>
    <xf numFmtId="0" fontId="1427" fillId="0" borderId="0" xfId="0" applyFont="true"/>
    <xf numFmtId="0" fontId="1428" fillId="0" borderId="0" xfId="0" applyFont="true"/>
    <xf numFmtId="0" fontId="1429" fillId="0" borderId="0" xfId="0" applyFont="true"/>
    <xf numFmtId="0" fontId="1430" fillId="0" borderId="0" xfId="0" applyFont="true"/>
    <xf numFmtId="0" fontId="1431" fillId="0" borderId="0" xfId="0" applyFont="true"/>
    <xf numFmtId="0" fontId="1432" fillId="0" borderId="0" xfId="0" applyFont="true"/>
    <xf numFmtId="0" fontId="1433" fillId="0" borderId="0" xfId="0" applyFont="true"/>
    <xf numFmtId="0" fontId="1434" fillId="0" borderId="0" xfId="0" applyFont="true"/>
    <xf numFmtId="0" fontId="1435" fillId="0" borderId="0" xfId="0" applyFont="true"/>
    <xf numFmtId="0" fontId="1436" fillId="0" borderId="0" xfId="0" applyFont="true"/>
    <xf numFmtId="0" fontId="1437" fillId="0" borderId="0" xfId="0" applyFont="true"/>
    <xf numFmtId="0" fontId="1438" fillId="0" borderId="0" xfId="0" applyFont="true"/>
    <xf numFmtId="0" fontId="1439" fillId="0" borderId="0" xfId="0" applyFont="true"/>
    <xf numFmtId="0" fontId="1440" fillId="0" borderId="0" xfId="0" applyFont="true"/>
    <xf numFmtId="0" fontId="1441" fillId="0" borderId="0" xfId="0" applyFont="true"/>
    <xf numFmtId="0" fontId="1442" fillId="0" borderId="0" xfId="0" applyFont="true"/>
    <xf numFmtId="0" fontId="1443" fillId="0" borderId="0" xfId="0" applyFont="true"/>
    <xf numFmtId="0" fontId="1444" fillId="0" borderId="0" xfId="0" applyFont="true"/>
    <xf numFmtId="0" fontId="1445" fillId="0" borderId="0" xfId="0" applyFont="true"/>
    <xf numFmtId="0" fontId="1446" fillId="0" borderId="0" xfId="0" applyFont="true"/>
    <xf numFmtId="0" fontId="1447" fillId="0" borderId="0" xfId="0" applyFont="true"/>
    <xf numFmtId="0" fontId="1448" fillId="0" borderId="0" xfId="0" applyFont="true"/>
    <xf numFmtId="0" fontId="1449" fillId="0" borderId="0" xfId="0" applyFont="true"/>
    <xf numFmtId="0" fontId="1450" fillId="0" borderId="0" xfId="0" applyFont="true"/>
    <xf numFmtId="0" fontId="1451" fillId="0" borderId="0" xfId="0" applyFont="true"/>
    <xf numFmtId="0" fontId="1452" fillId="0" borderId="0" xfId="0" applyFont="true"/>
    <xf numFmtId="0" fontId="1453" fillId="0" borderId="0" xfId="0" applyFont="true"/>
    <xf numFmtId="0" fontId="1454" fillId="0" borderId="0" xfId="0" applyFont="true"/>
    <xf numFmtId="0" fontId="1455" fillId="0" borderId="0" xfId="0" applyFont="true"/>
    <xf numFmtId="0" fontId="1456" fillId="0" borderId="0" xfId="0" applyFont="true"/>
    <xf numFmtId="0" fontId="1457" fillId="0" borderId="0" xfId="0" applyFont="true"/>
    <xf numFmtId="0" fontId="1458" fillId="0" borderId="0" xfId="0" applyFont="true"/>
    <xf numFmtId="0" fontId="1459" fillId="0" borderId="0" xfId="0" applyFont="true"/>
    <xf numFmtId="0" fontId="1460" fillId="0" borderId="0" xfId="0" applyFont="true"/>
    <xf numFmtId="0" fontId="1461" fillId="0" borderId="0" xfId="0" applyFont="true"/>
    <xf numFmtId="0" fontId="1462" fillId="0" borderId="0" xfId="0" applyFont="true"/>
    <xf numFmtId="0" fontId="1463" fillId="0" borderId="0" xfId="0" applyFont="true"/>
    <xf numFmtId="0" fontId="1464" fillId="0" borderId="0" xfId="0" applyFont="true"/>
    <xf numFmtId="0" fontId="1465" fillId="0" borderId="0" xfId="0" applyFont="true"/>
    <xf numFmtId="0" fontId="1466" fillId="0" borderId="0" xfId="0" applyFont="true"/>
    <xf numFmtId="0" fontId="1467" fillId="0" borderId="0" xfId="0" applyFont="true"/>
    <xf numFmtId="0" fontId="1468" fillId="0" borderId="0" xfId="0" applyFont="true"/>
    <xf numFmtId="0" fontId="1469" fillId="0" borderId="0" xfId="0" applyFont="true"/>
    <xf numFmtId="0" fontId="1470" fillId="0" borderId="0" xfId="0" applyFont="true"/>
    <xf numFmtId="0" fontId="1471" fillId="0" borderId="0" xfId="0" applyFont="true"/>
    <xf numFmtId="0" fontId="1472" fillId="0" borderId="0" xfId="0" applyFont="true"/>
    <xf numFmtId="0" fontId="1473" fillId="0" borderId="0" xfId="0" applyFont="true"/>
    <xf numFmtId="0" fontId="1474" fillId="0" borderId="0" xfId="0" applyFont="true"/>
    <xf numFmtId="0" fontId="1475" fillId="0" borderId="0" xfId="0" applyFont="true"/>
    <xf numFmtId="0" fontId="1476" fillId="0" borderId="0" xfId="0" applyFont="true"/>
    <xf numFmtId="0" fontId="1477" fillId="0" borderId="0" xfId="0" applyFont="true"/>
    <xf numFmtId="0" fontId="1478" fillId="0" borderId="0" xfId="0" applyFont="true"/>
    <xf numFmtId="0" fontId="1479" fillId="0" borderId="0" xfId="0" applyFont="true"/>
    <xf numFmtId="0" fontId="1480" fillId="0" borderId="0" xfId="0" applyFont="true"/>
    <xf numFmtId="0" fontId="1481" fillId="0" borderId="0" xfId="0" applyFont="true"/>
    <xf numFmtId="0" fontId="1482" fillId="0" borderId="0" xfId="0" applyFont="true"/>
    <xf numFmtId="0" fontId="1483" fillId="0" borderId="0" xfId="0" applyFont="true"/>
    <xf numFmtId="0" fontId="1484" fillId="0" borderId="0" xfId="0" applyFont="true"/>
    <xf numFmtId="0" fontId="1485" fillId="0" borderId="0" xfId="0" applyFont="true"/>
    <xf numFmtId="0" fontId="1486" fillId="0" borderId="0" xfId="0" applyFont="true"/>
    <xf numFmtId="0" fontId="1487" fillId="0" borderId="0" xfId="0" applyFont="true"/>
    <xf numFmtId="0" fontId="1488" fillId="0" borderId="0" xfId="0" applyFont="true"/>
    <xf numFmtId="0" fontId="1489" fillId="0" borderId="0" xfId="0" applyFont="true"/>
    <xf numFmtId="0" fontId="1490" fillId="0" borderId="0" xfId="0" applyFont="true"/>
    <xf numFmtId="0" fontId="1491" fillId="0" borderId="0" xfId="0" applyFont="true"/>
    <xf numFmtId="0" fontId="1492" fillId="0" borderId="0" xfId="0" applyFont="true"/>
    <xf numFmtId="0" fontId="1493" fillId="0" borderId="0" xfId="0" applyFont="true"/>
    <xf numFmtId="0" fontId="1494" fillId="0" borderId="0" xfId="0" applyFont="true"/>
    <xf numFmtId="0" fontId="1495" fillId="0" borderId="0" xfId="0" applyFont="true"/>
    <xf numFmtId="0" fontId="1496" fillId="0" borderId="0" xfId="0" applyFont="true"/>
    <xf numFmtId="0" fontId="1497" fillId="0" borderId="0" xfId="0" applyFont="true"/>
    <xf numFmtId="0" fontId="1498" fillId="0" borderId="0" xfId="0" applyFont="true"/>
    <xf numFmtId="0" fontId="1499" fillId="0" borderId="0" xfId="0" applyFont="true"/>
    <xf numFmtId="0" fontId="1500" fillId="0" borderId="0" xfId="0" applyFont="true"/>
    <xf numFmtId="0" fontId="1501" fillId="0" borderId="0" xfId="0" applyFont="true"/>
    <xf numFmtId="0" fontId="1502" fillId="0" borderId="0" xfId="0" applyFont="true"/>
    <xf numFmtId="0" fontId="1503" fillId="0" borderId="0" xfId="0" applyFont="true"/>
    <xf numFmtId="0" fontId="1504" fillId="0" borderId="0" xfId="0" applyFont="true"/>
    <xf numFmtId="0" fontId="1505" fillId="0" borderId="0" xfId="0" applyFont="true"/>
    <xf numFmtId="0" fontId="1506" fillId="0" borderId="0" xfId="0" applyFont="true"/>
    <xf numFmtId="0" fontId="1507" fillId="0" borderId="0" xfId="0" applyFont="true"/>
    <xf numFmtId="0" fontId="1508" fillId="0" borderId="0" xfId="0" applyFont="true"/>
    <xf numFmtId="0" fontId="1509" fillId="0" borderId="0" xfId="0" applyFont="true"/>
    <xf numFmtId="0" fontId="1510" fillId="0" borderId="0" xfId="0" applyFont="true"/>
    <xf numFmtId="0" fontId="1511" fillId="0" borderId="0" xfId="0" applyFont="true"/>
    <xf numFmtId="0" fontId="1512" fillId="0" borderId="0" xfId="0" applyFont="true"/>
    <xf numFmtId="0" fontId="1513" fillId="0" borderId="0" xfId="0" applyFont="true"/>
    <xf numFmtId="0" fontId="1514" fillId="0" borderId="0" xfId="0" applyFont="true"/>
    <xf numFmtId="0" fontId="1515" fillId="0" borderId="0" xfId="0" applyFont="true"/>
    <xf numFmtId="0" fontId="1516" fillId="0" borderId="0" xfId="0" applyFont="true"/>
    <xf numFmtId="0" fontId="1517" fillId="0" borderId="0" xfId="0" applyFont="true"/>
    <xf numFmtId="0" fontId="1518" fillId="0" borderId="0" xfId="0" applyFont="true"/>
    <xf numFmtId="0" fontId="1519" fillId="0" borderId="0" xfId="0" applyFont="true"/>
    <xf numFmtId="0" fontId="1520" fillId="0" borderId="0" xfId="0" applyFont="true"/>
    <xf numFmtId="0" fontId="1521" fillId="0" borderId="0" xfId="0" applyFont="true"/>
    <xf numFmtId="0" fontId="1522" fillId="0" borderId="0" xfId="0" applyFont="true"/>
    <xf numFmtId="0" fontId="1523" fillId="0" borderId="0" xfId="0" applyFont="true"/>
    <xf numFmtId="0" fontId="1524" fillId="0" borderId="0" xfId="0" applyFont="true"/>
    <xf numFmtId="0" fontId="1525" fillId="0" borderId="0" xfId="0" applyFont="true"/>
    <xf numFmtId="0" fontId="1526" fillId="0" borderId="0" xfId="0" applyFont="true"/>
    <xf numFmtId="0" fontId="1527" fillId="0" borderId="0" xfId="0" applyFont="true"/>
    <xf numFmtId="0" fontId="1528" fillId="0" borderId="0" xfId="0" applyFont="true"/>
    <xf numFmtId="0" fontId="1529" fillId="0" borderId="0" xfId="0" applyFont="true"/>
    <xf numFmtId="0" fontId="1530" fillId="0" borderId="0" xfId="0" applyFont="true"/>
    <xf numFmtId="0" fontId="1531" fillId="0" borderId="0" xfId="0" applyFont="true"/>
    <xf numFmtId="0" fontId="1532" fillId="0" borderId="0" xfId="0" applyFont="true"/>
    <xf numFmtId="0" fontId="1533" fillId="0" borderId="0" xfId="0" applyFont="true"/>
    <xf numFmtId="0" fontId="1534" fillId="0" borderId="0" xfId="0" applyFont="true"/>
    <xf numFmtId="0" fontId="1535" fillId="0" borderId="0" xfId="0" applyFont="true"/>
    <xf numFmtId="0" fontId="1536" fillId="0" borderId="0" xfId="0" applyFont="true"/>
    <xf numFmtId="0" fontId="1537" fillId="0" borderId="0" xfId="0" applyFont="true"/>
    <xf numFmtId="0" fontId="1538" fillId="0" borderId="0" xfId="0" applyFont="true"/>
    <xf numFmtId="0" fontId="1539" fillId="0" borderId="0" xfId="0" applyFont="true"/>
    <xf numFmtId="0" fontId="1540" fillId="0" borderId="0" xfId="0" applyFont="true"/>
    <xf numFmtId="0" fontId="1541" fillId="0" borderId="0" xfId="0" applyFont="true"/>
    <xf numFmtId="0" fontId="1542" fillId="0" borderId="0" xfId="0" applyFont="true"/>
    <xf numFmtId="0" fontId="1543" fillId="0" borderId="0" xfId="0" applyFont="true"/>
    <xf numFmtId="0" fontId="1544" fillId="0" borderId="0" xfId="0" applyFont="true"/>
    <xf numFmtId="0" fontId="1545" fillId="0" borderId="0" xfId="0" applyFont="true"/>
    <xf numFmtId="0" fontId="1546" fillId="0" borderId="0" xfId="0" applyFont="true"/>
    <xf numFmtId="0" fontId="1547" fillId="0" borderId="0" xfId="0" applyFont="true"/>
    <xf numFmtId="0" fontId="1548" fillId="0" borderId="0" xfId="0" applyFont="true"/>
    <xf numFmtId="0" fontId="1549" fillId="0" borderId="0" xfId="0" applyFont="true"/>
    <xf numFmtId="0" fontId="1550" fillId="0" borderId="0" xfId="0" applyFont="true"/>
    <xf numFmtId="0" fontId="1551" fillId="0" borderId="0" xfId="0" applyFont="true"/>
    <xf numFmtId="0" fontId="1552" fillId="0" borderId="0" xfId="0" applyFont="true"/>
    <xf numFmtId="0" fontId="1553" fillId="0" borderId="0" xfId="0" applyFont="true"/>
    <xf numFmtId="0" fontId="1554" fillId="0" borderId="0" xfId="0" applyFont="true"/>
    <xf numFmtId="0" fontId="1555" fillId="0" borderId="0" xfId="0" applyFont="true"/>
    <xf numFmtId="0" fontId="1556" fillId="0" borderId="0" xfId="0" applyFont="true"/>
    <xf numFmtId="0" fontId="1557" fillId="0" borderId="0" xfId="0" applyFont="true"/>
    <xf numFmtId="0" fontId="1558" fillId="0" borderId="0" xfId="0" applyFont="true"/>
    <xf numFmtId="0" fontId="1559" fillId="0" borderId="0" xfId="0" applyFont="true"/>
    <xf numFmtId="0" fontId="1560" fillId="0" borderId="0" xfId="0" applyFont="true"/>
    <xf numFmtId="0" fontId="1561" fillId="0" borderId="0" xfId="0" applyFont="true"/>
    <xf numFmtId="0" fontId="1562" fillId="0" borderId="0" xfId="0" applyFont="true"/>
    <xf numFmtId="0" fontId="1563" fillId="0" borderId="0" xfId="0" applyFont="true"/>
    <xf numFmtId="0" fontId="1564" fillId="0" borderId="0" xfId="0" applyFont="true"/>
    <xf numFmtId="0" fontId="1565" fillId="0" borderId="0" xfId="0" applyFont="true"/>
    <xf numFmtId="0" fontId="1566" fillId="0" borderId="0" xfId="0" applyFont="true"/>
    <xf numFmtId="0" fontId="1567" fillId="0" borderId="0" xfId="0" applyFont="true"/>
    <xf numFmtId="0" fontId="1568" fillId="0" borderId="0" xfId="0" applyFont="true"/>
    <xf numFmtId="0" fontId="1569" fillId="0" borderId="0" xfId="0" applyFont="true"/>
    <xf numFmtId="0" fontId="1570" fillId="0" borderId="0" xfId="0" applyFont="true"/>
    <xf numFmtId="0" fontId="1571" fillId="0" borderId="0" xfId="0" applyFont="true"/>
    <xf numFmtId="0" fontId="1572" fillId="0" borderId="0" xfId="0" applyFont="true"/>
    <xf numFmtId="0" fontId="1573" fillId="0" borderId="0" xfId="0" applyFont="true"/>
    <xf numFmtId="0" fontId="1574" fillId="0" borderId="0" xfId="0" applyFont="true"/>
    <xf numFmtId="0" fontId="1575" fillId="0" borderId="0" xfId="0" applyFont="true"/>
    <xf numFmtId="0" fontId="1576" fillId="0" borderId="0" xfId="0" applyFont="true"/>
    <xf numFmtId="0" fontId="1577" fillId="0" borderId="0" xfId="0" applyFont="true"/>
    <xf numFmtId="0" fontId="1578" fillId="0" borderId="0" xfId="0" applyFont="true"/>
    <xf numFmtId="0" fontId="1579" fillId="0" borderId="0" xfId="0" applyFont="true"/>
    <xf numFmtId="0" fontId="1580" fillId="0" borderId="0" xfId="0" applyFont="true"/>
    <xf numFmtId="0" fontId="1581" fillId="0" borderId="0" xfId="0" applyFont="true"/>
    <xf numFmtId="0" fontId="1582" fillId="0" borderId="0" xfId="0" applyFont="true"/>
    <xf numFmtId="0" fontId="1583" fillId="0" borderId="0" xfId="0" applyFont="true"/>
    <xf numFmtId="0" fontId="1584" fillId="0" borderId="0" xfId="0" applyFont="true"/>
    <xf numFmtId="0" fontId="1585" fillId="0" borderId="0" xfId="0" applyFont="true"/>
    <xf numFmtId="0" fontId="1586" fillId="0" borderId="0" xfId="0" applyFont="true"/>
    <xf numFmtId="0" fontId="1587" fillId="0" borderId="0" xfId="0" applyFont="true"/>
    <xf numFmtId="0" fontId="1588" fillId="0" borderId="0" xfId="0" applyFont="true"/>
    <xf numFmtId="0" fontId="1589" fillId="0" borderId="0" xfId="0" applyFont="true"/>
    <xf numFmtId="0" fontId="1590" fillId="0" borderId="0" xfId="0" applyFont="true"/>
    <xf numFmtId="0" fontId="1591" fillId="0" borderId="0" xfId="0" applyFont="true"/>
    <xf numFmtId="0" fontId="1592" fillId="0" borderId="0" xfId="0" applyFont="true"/>
    <xf numFmtId="0" fontId="1593" fillId="0" borderId="0" xfId="0" applyFont="true"/>
    <xf numFmtId="0" fontId="1594" fillId="0" borderId="0" xfId="0" applyFont="true"/>
    <xf numFmtId="0" fontId="1595" fillId="0" borderId="0" xfId="0" applyFont="true"/>
    <xf numFmtId="0" fontId="1596" fillId="0" borderId="0" xfId="0" applyFont="true"/>
    <xf numFmtId="0" fontId="1597" fillId="0" borderId="0" xfId="0" applyFont="true"/>
    <xf numFmtId="0" fontId="1598" fillId="0" borderId="0" xfId="0" applyFont="true"/>
    <xf numFmtId="0" fontId="1599" fillId="0" borderId="0" xfId="0" applyFont="true"/>
    <xf numFmtId="0" fontId="1600" fillId="0" borderId="0" xfId="0" applyFont="true"/>
    <xf numFmtId="0" fontId="1601" fillId="0" borderId="0" xfId="0" applyFont="true"/>
    <xf numFmtId="0" fontId="1602" fillId="0" borderId="0" xfId="0" applyFont="true"/>
    <xf numFmtId="0" fontId="1603" fillId="0" borderId="0" xfId="0" applyFont="true"/>
    <xf numFmtId="0" fontId="1604" fillId="0" borderId="0" xfId="0" applyFont="true"/>
    <xf numFmtId="0" fontId="1605" fillId="0" borderId="0" xfId="0" applyFont="true"/>
    <xf numFmtId="0" fontId="1606" fillId="0" borderId="0" xfId="0" applyFont="true"/>
    <xf numFmtId="0" fontId="1607" fillId="0" borderId="0" xfId="0" applyFont="true"/>
    <xf numFmtId="0" fontId="1608" fillId="0" borderId="0" xfId="0" applyFont="true"/>
    <xf numFmtId="0" fontId="1609" fillId="0" borderId="0" xfId="0" applyFont="true"/>
    <xf numFmtId="0" fontId="1610" fillId="0" borderId="0" xfId="0" applyFont="true"/>
    <xf numFmtId="0" fontId="1611" fillId="0" borderId="0" xfId="0" applyFont="true"/>
    <xf numFmtId="0" fontId="1612" fillId="0" borderId="0" xfId="0" applyFont="true"/>
    <xf numFmtId="0" fontId="1613" fillId="0" borderId="0" xfId="0" applyFont="true"/>
    <xf numFmtId="0" fontId="1614" fillId="0" borderId="0" xfId="0" applyFont="true"/>
    <xf numFmtId="0" fontId="1615" fillId="0" borderId="0" xfId="0" applyFont="true"/>
    <xf numFmtId="0" fontId="1616" fillId="0" borderId="0" xfId="0" applyFont="true"/>
    <xf numFmtId="0" fontId="1617" fillId="0" borderId="0" xfId="0" applyFont="true"/>
    <xf numFmtId="0" fontId="1618" fillId="0" borderId="0" xfId="0" applyFont="true"/>
    <xf numFmtId="0" fontId="1619" fillId="0" borderId="0" xfId="0" applyFont="true"/>
    <xf numFmtId="0" fontId="1620" fillId="0" borderId="0" xfId="0" applyFont="true"/>
    <xf numFmtId="0" fontId="1621" fillId="0" borderId="0" xfId="0" applyFont="true"/>
    <xf numFmtId="0" fontId="1622" fillId="0" borderId="0" xfId="0" applyFont="true"/>
    <xf numFmtId="0" fontId="1623" fillId="0" borderId="0" xfId="0" applyFont="true"/>
    <xf numFmtId="0" fontId="1624" fillId="0" borderId="0" xfId="0" applyFont="true"/>
    <xf numFmtId="0" fontId="1625" fillId="0" borderId="0" xfId="0" applyFont="true"/>
    <xf numFmtId="0" fontId="1626" fillId="0" borderId="0" xfId="0" applyFont="true"/>
    <xf numFmtId="0" fontId="1627" fillId="0" borderId="0" xfId="0" applyFont="true"/>
    <xf numFmtId="0" fontId="1628" fillId="0" borderId="0" xfId="0" applyFont="true"/>
    <xf numFmtId="0" fontId="1629" fillId="0" borderId="0" xfId="0" applyFont="true"/>
    <xf numFmtId="0" fontId="1630" fillId="0" borderId="0" xfId="0" applyFont="true"/>
    <xf numFmtId="0" fontId="1631" fillId="0" borderId="0" xfId="0" applyFont="true"/>
    <xf numFmtId="0" fontId="1632" fillId="0" borderId="0" xfId="0" applyFont="true"/>
    <xf numFmtId="0" fontId="1633" fillId="0" borderId="0" xfId="0" applyFont="true"/>
    <xf numFmtId="0" fontId="1634" fillId="0" borderId="0" xfId="0" applyFont="true"/>
    <xf numFmtId="0" fontId="1635" fillId="0" borderId="0" xfId="0" applyFont="true"/>
    <xf numFmtId="0" fontId="1636" fillId="0" borderId="0" xfId="0" applyFont="true"/>
    <xf numFmtId="0" fontId="1637" fillId="0" borderId="0" xfId="0" applyFont="true"/>
    <xf numFmtId="0" fontId="1638" fillId="0" borderId="0" xfId="0" applyFont="true"/>
    <xf numFmtId="0" fontId="1639" fillId="0" borderId="0" xfId="0" applyFont="true"/>
    <xf numFmtId="0" fontId="1640" fillId="0" borderId="0" xfId="0" applyFont="true"/>
    <xf numFmtId="0" fontId="1641" fillId="0" borderId="0" xfId="0" applyFont="true"/>
    <xf numFmtId="0" fontId="1642" fillId="0" borderId="0" xfId="0" applyFont="true"/>
    <xf numFmtId="0" fontId="1643" fillId="0" borderId="0" xfId="0" applyFont="true"/>
    <xf numFmtId="0" fontId="1644" fillId="0" borderId="0" xfId="0" applyFont="true"/>
    <xf numFmtId="0" fontId="1645" fillId="0" borderId="0" xfId="0" applyFont="true"/>
    <xf numFmtId="0" fontId="1646" fillId="0" borderId="0" xfId="0" applyFont="true"/>
    <xf numFmtId="0" fontId="1647" fillId="0" borderId="0" xfId="0" applyFont="true"/>
    <xf numFmtId="0" fontId="1648" fillId="0" borderId="0" xfId="0" applyFont="true"/>
    <xf numFmtId="0" fontId="1649" fillId="0" borderId="0" xfId="0" applyFont="true"/>
    <xf numFmtId="0" fontId="1650" fillId="0" borderId="0" xfId="0" applyFont="true"/>
    <xf numFmtId="0" fontId="1651" fillId="0" borderId="0" xfId="0" applyFont="true"/>
    <xf numFmtId="0" fontId="1652" fillId="0" borderId="0" xfId="0" applyFont="true"/>
    <xf numFmtId="0" fontId="1653" fillId="0" borderId="0" xfId="0" applyFont="true"/>
    <xf numFmtId="0" fontId="1654" fillId="0" borderId="0" xfId="0" applyFont="true"/>
    <xf numFmtId="0" fontId="1655" fillId="0" borderId="0" xfId="0" applyFont="true"/>
    <xf numFmtId="0" fontId="1656" fillId="0" borderId="0" xfId="0" applyFont="true"/>
    <xf numFmtId="0" fontId="1657" fillId="0" borderId="0" xfId="0" applyFont="true"/>
    <xf numFmtId="0" fontId="1658" fillId="0" borderId="0" xfId="0" applyFont="true"/>
    <xf numFmtId="0" fontId="1659" fillId="0" borderId="0" xfId="0" applyFont="true"/>
    <xf numFmtId="0" fontId="1660" fillId="0" borderId="0" xfId="0" applyFont="true"/>
    <xf numFmtId="0" fontId="1661" fillId="0" borderId="0" xfId="0" applyFont="true"/>
    <xf numFmtId="0" fontId="1662" fillId="0" borderId="0" xfId="0" applyFont="true"/>
    <xf numFmtId="0" fontId="1663" fillId="0" borderId="0" xfId="0" applyFont="true"/>
    <xf numFmtId="0" fontId="1664" fillId="0" borderId="0" xfId="0" applyFont="true"/>
    <xf numFmtId="0" fontId="1665" fillId="0" borderId="0" xfId="0" applyFont="true"/>
    <xf numFmtId="0" fontId="1666" fillId="0" borderId="0" xfId="0" applyFont="true"/>
    <xf numFmtId="0" fontId="1667" fillId="0" borderId="0" xfId="0" applyFont="true"/>
    <xf numFmtId="0" fontId="1668" fillId="0" borderId="0" xfId="0" applyFont="true"/>
    <xf numFmtId="0" fontId="1669" fillId="0" borderId="0" xfId="0" applyFont="true"/>
    <xf numFmtId="0" fontId="1670" fillId="0" borderId="0" xfId="0" applyFont="true"/>
    <xf numFmtId="0" fontId="1671" fillId="0" borderId="0" xfId="0" applyFont="true"/>
    <xf numFmtId="0" fontId="1672" fillId="0" borderId="0" xfId="0" applyFont="true"/>
    <xf numFmtId="0" fontId="1673" fillId="0" borderId="0" xfId="0" applyFont="true"/>
    <xf numFmtId="0" fontId="1674" fillId="0" borderId="0" xfId="0" applyFont="true"/>
    <xf numFmtId="0" fontId="1675" fillId="0" borderId="0" xfId="0" applyFont="true"/>
    <xf numFmtId="0" fontId="1676" fillId="0" borderId="0" xfId="0" applyFont="true"/>
    <xf numFmtId="0" fontId="1677" fillId="0" borderId="0" xfId="0" applyFont="true"/>
    <xf numFmtId="0" fontId="1678" fillId="0" borderId="0" xfId="0" applyFont="true"/>
    <xf numFmtId="0" fontId="1679" fillId="0" borderId="0" xfId="0" applyFont="true"/>
    <xf numFmtId="0" fontId="1680" fillId="0" borderId="0" xfId="0" applyFont="true"/>
    <xf numFmtId="0" fontId="1681" fillId="0" borderId="0" xfId="0" applyFont="true"/>
    <xf numFmtId="0" fontId="1682" fillId="0" borderId="0" xfId="0" applyFont="true"/>
    <xf numFmtId="0" fontId="1683" fillId="0" borderId="0" xfId="0" applyFont="true"/>
    <xf numFmtId="0" fontId="1684" fillId="0" borderId="0" xfId="0" applyFont="true"/>
    <xf numFmtId="0" fontId="1685" fillId="0" borderId="0" xfId="0" applyFont="true"/>
    <xf numFmtId="0" fontId="1686" fillId="0" borderId="0" xfId="0" applyFont="true"/>
    <xf numFmtId="0" fontId="1687" fillId="0" borderId="0" xfId="0" applyFont="true"/>
    <xf numFmtId="0" fontId="1688" fillId="0" borderId="0" xfId="0" applyFont="true"/>
    <xf numFmtId="0" fontId="1689" fillId="0" borderId="0" xfId="0" applyFont="true"/>
    <xf numFmtId="0" fontId="1690" fillId="0" borderId="0" xfId="0" applyFont="true"/>
    <xf numFmtId="0" fontId="1691" fillId="0" borderId="0" xfId="0" applyFont="true"/>
    <xf numFmtId="0" fontId="1692" fillId="0" borderId="0" xfId="0" applyFont="true"/>
    <xf numFmtId="0" fontId="1693" fillId="0" borderId="0" xfId="0" applyFont="true"/>
    <xf numFmtId="0" fontId="1694" fillId="0" borderId="0" xfId="0" applyFont="true"/>
    <xf numFmtId="0" fontId="1695" fillId="0" borderId="0" xfId="0" applyFont="true"/>
    <xf numFmtId="0" fontId="1696" fillId="0" borderId="0" xfId="0" applyFont="true"/>
    <xf numFmtId="0" fontId="1697" fillId="0" borderId="0" xfId="0" applyFont="true"/>
    <xf numFmtId="0" fontId="1698" fillId="0" borderId="0" xfId="0" applyFont="true"/>
    <xf numFmtId="0" fontId="1699" fillId="0" borderId="0" xfId="0" applyFont="true"/>
    <xf numFmtId="0" fontId="1700" fillId="0" borderId="0" xfId="0" applyFont="true"/>
    <xf numFmtId="0" fontId="1701" fillId="0" borderId="0" xfId="0" applyFont="true"/>
    <xf numFmtId="0" fontId="1702" fillId="0" borderId="0" xfId="0" applyFont="true"/>
    <xf numFmtId="0" fontId="1703" fillId="0" borderId="0" xfId="0" applyFont="true"/>
    <xf numFmtId="0" fontId="1704" fillId="0" borderId="0" xfId="0" applyFont="true"/>
    <xf numFmtId="0" fontId="1705" fillId="0" borderId="0" xfId="0" applyFont="true"/>
    <xf numFmtId="0" fontId="1706" fillId="0" borderId="0" xfId="0" applyFont="true"/>
    <xf numFmtId="0" fontId="1707" fillId="0" borderId="0" xfId="0" applyFont="true"/>
    <xf numFmtId="0" fontId="1708" fillId="0" borderId="0" xfId="0" applyFont="true"/>
    <xf numFmtId="0" fontId="1709" fillId="0" borderId="0" xfId="0" applyFont="true"/>
    <xf numFmtId="0" fontId="1710" fillId="0" borderId="0" xfId="0" applyFont="true"/>
    <xf numFmtId="0" fontId="1711" fillId="0" borderId="0" xfId="0" applyFont="true"/>
    <xf numFmtId="0" fontId="1712" fillId="0" borderId="0" xfId="0" applyFont="true"/>
    <xf numFmtId="0" fontId="1713" fillId="0" borderId="0" xfId="0" applyFont="true"/>
    <xf numFmtId="0" fontId="1714" fillId="0" borderId="0" xfId="0" applyFont="true"/>
    <xf numFmtId="0" fontId="1715" fillId="0" borderId="0" xfId="0" applyFont="true"/>
    <xf numFmtId="0" fontId="1716" fillId="0" borderId="0" xfId="0" applyFont="true"/>
    <xf numFmtId="0" fontId="1717" fillId="0" borderId="0" xfId="0" applyFont="true"/>
    <xf numFmtId="0" fontId="1718" fillId="0" borderId="0" xfId="0" applyFont="true"/>
    <xf numFmtId="0" fontId="1719" fillId="0" borderId="0" xfId="0" applyFont="true"/>
    <xf numFmtId="0" fontId="1720" fillId="0" borderId="0" xfId="0" applyFont="true"/>
    <xf numFmtId="0" fontId="1721" fillId="0" borderId="0" xfId="0" applyFont="true"/>
    <xf numFmtId="0" fontId="1722" fillId="0" borderId="0" xfId="0" applyFont="true"/>
    <xf numFmtId="0" fontId="1723" fillId="0" borderId="0" xfId="0" applyFont="true"/>
    <xf numFmtId="0" fontId="1724" fillId="0" borderId="0" xfId="0" applyFont="true"/>
    <xf numFmtId="0" fontId="1725" fillId="0" borderId="0" xfId="0" applyFont="true"/>
    <xf numFmtId="0" fontId="1726" fillId="0" borderId="0" xfId="0" applyFont="true"/>
    <xf numFmtId="0" fontId="1727" fillId="0" borderId="0" xfId="0" applyFont="true"/>
    <xf numFmtId="0" fontId="1728" fillId="0" borderId="0" xfId="0" applyFont="true"/>
    <xf numFmtId="0" fontId="1729" fillId="0" borderId="0" xfId="0" applyFont="true"/>
    <xf numFmtId="0" fontId="1730" fillId="0" borderId="0" xfId="0" applyFont="true"/>
    <xf numFmtId="0" fontId="1731" fillId="0" borderId="0" xfId="0" applyFont="true"/>
    <xf numFmtId="0" fontId="1732" fillId="0" borderId="0" xfId="0" applyFont="true"/>
    <xf numFmtId="0" fontId="1733" fillId="0" borderId="0" xfId="0" applyFont="true"/>
    <xf numFmtId="0" fontId="1734" fillId="0" borderId="0" xfId="0" applyFont="true"/>
    <xf numFmtId="0" fontId="1735" fillId="0" borderId="0" xfId="0" applyFont="true"/>
    <xf numFmtId="0" fontId="1736" fillId="0" borderId="0" xfId="0" applyFont="true"/>
    <xf numFmtId="0" fontId="1737" fillId="0" borderId="0" xfId="0" applyFont="true"/>
    <xf numFmtId="0" fontId="1738" fillId="0" borderId="0" xfId="0" applyFont="true"/>
    <xf numFmtId="0" fontId="1739" fillId="0" borderId="0" xfId="0" applyFont="true"/>
    <xf numFmtId="0" fontId="1740" fillId="0" borderId="0" xfId="0" applyFont="true"/>
    <xf numFmtId="0" fontId="1741" fillId="0" borderId="0" xfId="0" applyFont="true"/>
    <xf numFmtId="0" fontId="1742" fillId="0" borderId="0" xfId="0" applyFont="true"/>
    <xf numFmtId="0" fontId="1743" fillId="0" borderId="0" xfId="0" applyFont="true"/>
    <xf numFmtId="0" fontId="1744" fillId="0" borderId="0" xfId="0" applyFont="true"/>
    <xf numFmtId="0" fontId="1745" fillId="0" borderId="0" xfId="0" applyFont="true"/>
    <xf numFmtId="0" fontId="1746" fillId="0" borderId="0" xfId="0" applyFont="true"/>
    <xf numFmtId="0" fontId="1747" fillId="0" borderId="0" xfId="0" applyFont="true"/>
    <xf numFmtId="0" fontId="1748" fillId="0" borderId="0" xfId="0" applyFont="true"/>
    <xf numFmtId="0" fontId="1749" fillId="0" borderId="0" xfId="0" applyFont="true"/>
    <xf numFmtId="0" fontId="1750" fillId="0" borderId="0" xfId="0" applyFont="true"/>
    <xf numFmtId="0" fontId="1751" fillId="0" borderId="0" xfId="0" applyFont="true"/>
    <xf numFmtId="0" fontId="1752" fillId="0" borderId="0" xfId="0" applyFont="true"/>
    <xf numFmtId="0" fontId="1753" fillId="0" borderId="0" xfId="0" applyFont="true"/>
    <xf numFmtId="0" fontId="1754" fillId="0" borderId="0" xfId="0" applyFont="true"/>
    <xf numFmtId="0" fontId="1755" fillId="0" borderId="0" xfId="0" applyFont="true"/>
    <xf numFmtId="0" fontId="1756" fillId="0" borderId="0" xfId="0" applyFont="true"/>
    <xf numFmtId="0" fontId="1757" fillId="0" borderId="0" xfId="0" applyFont="true"/>
    <xf numFmtId="0" fontId="1758" fillId="0" borderId="0" xfId="0" applyFont="true"/>
    <xf numFmtId="0" fontId="1759" fillId="0" borderId="0" xfId="0" applyFont="true"/>
    <xf numFmtId="0" fontId="1760" fillId="0" borderId="0" xfId="0" applyFont="true"/>
    <xf numFmtId="0" fontId="1761" fillId="0" borderId="0" xfId="0" applyFont="true"/>
    <xf numFmtId="0" fontId="1762" fillId="0" borderId="0" xfId="0" applyFont="true"/>
    <xf numFmtId="0" fontId="1763" fillId="0" borderId="0" xfId="0" applyFont="true"/>
    <xf numFmtId="0" fontId="1764" fillId="0" borderId="0" xfId="0" applyFont="true"/>
    <xf numFmtId="0" fontId="1765" fillId="0" borderId="0" xfId="0" applyFont="true"/>
    <xf numFmtId="0" fontId="1766" fillId="0" borderId="0" xfId="0" applyFont="true"/>
    <xf numFmtId="0" fontId="1767" fillId="0" borderId="0" xfId="0" applyFont="true"/>
    <xf numFmtId="0" fontId="1768" fillId="0" borderId="0" xfId="0" applyFont="true"/>
    <xf numFmtId="0" fontId="1769" fillId="0" borderId="0" xfId="0" applyFont="true"/>
    <xf numFmtId="0" fontId="1770" fillId="0" borderId="0" xfId="0" applyFont="true"/>
    <xf numFmtId="0" fontId="1771" fillId="0" borderId="0" xfId="0" applyFont="true"/>
    <xf numFmtId="0" fontId="1772" fillId="0" borderId="0" xfId="0" applyFont="true"/>
    <xf numFmtId="0" fontId="1773" fillId="0" borderId="0" xfId="0" applyFont="true"/>
    <xf numFmtId="0" fontId="1774" fillId="0" borderId="0" xfId="0" applyFont="true"/>
    <xf numFmtId="0" fontId="1775" fillId="0" borderId="0" xfId="0" applyFont="true"/>
    <xf numFmtId="0" fontId="1776" fillId="0" borderId="0" xfId="0" applyFont="true"/>
    <xf numFmtId="0" fontId="1777" fillId="0" borderId="0" xfId="0" applyFont="true"/>
    <xf numFmtId="0" fontId="1778" fillId="0" borderId="0" xfId="0" applyFont="true"/>
    <xf numFmtId="0" fontId="1779" fillId="0" borderId="0" xfId="0" applyFont="true"/>
    <xf numFmtId="0" fontId="1780" fillId="0" borderId="0" xfId="0" applyFont="true"/>
    <xf numFmtId="0" fontId="1781" fillId="0" borderId="0" xfId="0" applyFont="true"/>
    <xf numFmtId="0" fontId="1782" fillId="0" borderId="0" xfId="0" applyFont="true"/>
    <xf numFmtId="0" fontId="1783" fillId="0" borderId="0" xfId="0" applyFont="true"/>
    <xf numFmtId="0" fontId="1784" fillId="0" borderId="0" xfId="0" applyFont="true"/>
    <xf numFmtId="0" fontId="1785" fillId="0" borderId="0" xfId="0" applyFont="true"/>
    <xf numFmtId="0" fontId="1786" fillId="0" borderId="0" xfId="0" applyFont="true"/>
    <xf numFmtId="0" fontId="1787" fillId="0" borderId="0" xfId="0" applyFont="true"/>
    <xf numFmtId="0" fontId="1788" fillId="0" borderId="0" xfId="0" applyFont="true"/>
    <xf numFmtId="0" fontId="1789" fillId="0" borderId="0" xfId="0" applyFont="true"/>
    <xf numFmtId="0" fontId="1790" fillId="0" borderId="0" xfId="0" applyFont="true"/>
    <xf numFmtId="0" fontId="1791" fillId="0" borderId="0" xfId="0" applyFont="true"/>
    <xf numFmtId="0" fontId="1792" fillId="0" borderId="0" xfId="0" applyFont="true"/>
    <xf numFmtId="0" fontId="1793" fillId="0" borderId="0" xfId="0" applyFont="true"/>
    <xf numFmtId="0" fontId="1794" fillId="0" borderId="0" xfId="0" applyFont="true"/>
    <xf numFmtId="0" fontId="1795" fillId="0" borderId="0" xfId="0" applyFont="true"/>
    <xf numFmtId="0" fontId="1796" fillId="0" borderId="0" xfId="0" applyFont="true"/>
    <xf numFmtId="0" fontId="1797" fillId="0" borderId="0" xfId="0" applyFont="true"/>
    <xf numFmtId="0" fontId="1798" fillId="0" borderId="0" xfId="0" applyFont="true"/>
    <xf numFmtId="0" fontId="1799" fillId="0" borderId="0" xfId="0" applyFont="true"/>
    <xf numFmtId="0" fontId="1800" fillId="0" borderId="0" xfId="0" applyFont="true"/>
    <xf numFmtId="0" fontId="1801" fillId="0" borderId="0" xfId="0" applyFont="true"/>
    <xf numFmtId="0" fontId="1802" fillId="0" borderId="0" xfId="0" applyFont="true"/>
    <xf numFmtId="0" fontId="1803" fillId="0" borderId="0" xfId="0" applyFont="true"/>
    <xf numFmtId="0" fontId="1804" fillId="0" borderId="0" xfId="0" applyFont="true"/>
    <xf numFmtId="0" fontId="1805" fillId="0" borderId="0" xfId="0" applyFont="true"/>
    <xf numFmtId="0" fontId="1806" fillId="0" borderId="0" xfId="0" applyFont="true"/>
    <xf numFmtId="0" fontId="1807" fillId="0" borderId="0" xfId="0" applyFont="true"/>
    <xf numFmtId="0" fontId="1808" fillId="0" borderId="0" xfId="0" applyFont="true"/>
    <xf numFmtId="0" fontId="1809" fillId="0" borderId="0" xfId="0" applyFont="true"/>
    <xf numFmtId="0" fontId="1810" fillId="0" borderId="0" xfId="0" applyFont="true"/>
    <xf numFmtId="0" fontId="1811" fillId="0" borderId="0" xfId="0" applyFont="true"/>
    <xf numFmtId="0" fontId="1812" fillId="0" borderId="0" xfId="0" applyFont="true"/>
    <xf numFmtId="0" fontId="1813" fillId="0" borderId="0" xfId="0" applyFont="true"/>
    <xf numFmtId="0" fontId="1814" fillId="0" borderId="0" xfId="0" applyFont="true"/>
    <xf numFmtId="0" fontId="1815" fillId="0" borderId="0" xfId="0" applyFont="true"/>
    <xf numFmtId="0" fontId="1816" fillId="0" borderId="0" xfId="0" applyFont="true"/>
    <xf numFmtId="0" fontId="1817" fillId="0" borderId="0" xfId="0" applyFont="true"/>
    <xf numFmtId="0" fontId="1818" fillId="0" borderId="0" xfId="0" applyFont="true"/>
    <xf numFmtId="0" fontId="1819" fillId="0" borderId="0" xfId="0" applyFont="true"/>
    <xf numFmtId="0" fontId="1820" fillId="0" borderId="0" xfId="0" applyFont="true"/>
    <xf numFmtId="0" fontId="1821" fillId="0" borderId="0" xfId="0" applyFont="true"/>
    <xf numFmtId="0" fontId="1822" fillId="0" borderId="0" xfId="0" applyFont="true"/>
    <xf numFmtId="0" fontId="1823" fillId="0" borderId="0" xfId="0" applyFont="true"/>
    <xf numFmtId="0" fontId="1824" fillId="0" borderId="0" xfId="0" applyFont="true"/>
    <xf numFmtId="0" fontId="1825" fillId="0" borderId="0" xfId="0" applyFont="true"/>
    <xf numFmtId="0" fontId="1826" fillId="0" borderId="0" xfId="0" applyFont="true"/>
    <xf numFmtId="0" fontId="1827" fillId="0" borderId="0" xfId="0" applyFont="true"/>
    <xf numFmtId="0" fontId="1828" fillId="0" borderId="0" xfId="0" applyFont="true"/>
    <xf numFmtId="0" fontId="1829" fillId="0" borderId="0" xfId="0" applyFont="true"/>
    <xf numFmtId="0" fontId="1830" fillId="0" borderId="0" xfId="0" applyFont="true"/>
    <xf numFmtId="0" fontId="1831" fillId="0" borderId="0" xfId="0" applyFont="true"/>
    <xf numFmtId="0" fontId="1832" fillId="0" borderId="0" xfId="0" applyFont="true"/>
    <xf numFmtId="0" fontId="1833" fillId="0" borderId="0" xfId="0" applyFont="true"/>
    <xf numFmtId="0" fontId="1834" fillId="0" borderId="0" xfId="0" applyFont="true"/>
    <xf numFmtId="0" fontId="1835" fillId="0" borderId="0" xfId="0" applyFont="true"/>
    <xf numFmtId="0" fontId="1836" fillId="0" borderId="0" xfId="0" applyFont="true"/>
    <xf numFmtId="0" fontId="1837" fillId="0" borderId="0" xfId="0" applyFont="true"/>
    <xf numFmtId="0" fontId="1838" fillId="0" borderId="0" xfId="0" applyFont="true"/>
    <xf numFmtId="0" fontId="1839" fillId="0" borderId="0" xfId="0" applyFont="true"/>
    <xf numFmtId="0" fontId="1840" fillId="0" borderId="0" xfId="0" applyFont="true"/>
    <xf numFmtId="0" fontId="1841" fillId="0" borderId="0" xfId="0" applyFont="true"/>
    <xf numFmtId="0" fontId="1842" fillId="0" borderId="0" xfId="0" applyFont="true"/>
    <xf numFmtId="0" fontId="1843" fillId="0" borderId="0" xfId="0" applyFont="true"/>
    <xf numFmtId="0" fontId="1844" fillId="0" borderId="0" xfId="0" applyFont="true"/>
    <xf numFmtId="0" fontId="1845" fillId="0" borderId="0" xfId="0" applyFont="true"/>
    <xf numFmtId="0" fontId="1846" fillId="0" borderId="0" xfId="0" applyFont="true"/>
    <xf numFmtId="0" fontId="1847" fillId="0" borderId="0" xfId="0" applyFont="true"/>
    <xf numFmtId="0" fontId="1848" fillId="0" borderId="0" xfId="0" applyFont="true"/>
    <xf numFmtId="0" fontId="1849" fillId="0" borderId="0" xfId="0" applyFont="true"/>
    <xf numFmtId="0" fontId="1850" fillId="0" borderId="0" xfId="0" applyFont="true"/>
    <xf numFmtId="0" fontId="1851" fillId="0" borderId="0" xfId="0" applyFont="true"/>
    <xf numFmtId="0" fontId="1852" fillId="0" borderId="0" xfId="0" applyFont="true"/>
    <xf numFmtId="0" fontId="1853" fillId="0" borderId="0" xfId="0" applyFont="true"/>
    <xf numFmtId="0" fontId="1854" fillId="0" borderId="0" xfId="0" applyFont="true"/>
    <xf numFmtId="0" fontId="1855" fillId="0" borderId="0" xfId="0" applyFont="true"/>
    <xf numFmtId="0" fontId="1856" fillId="0" borderId="0" xfId="0" applyFont="true"/>
    <xf numFmtId="0" fontId="1857" fillId="0" borderId="0" xfId="0" applyFont="true"/>
    <xf numFmtId="0" fontId="1858" fillId="0" borderId="0" xfId="0" applyFont="true"/>
    <xf numFmtId="0" fontId="1859" fillId="0" borderId="0" xfId="0" applyFont="true"/>
    <xf numFmtId="0" fontId="1860" fillId="0" borderId="0" xfId="0" applyFont="true"/>
    <xf numFmtId="0" fontId="1861" fillId="0" borderId="0" xfId="0" applyFont="true"/>
    <xf numFmtId="0" fontId="1862" fillId="0" borderId="0" xfId="0" applyFont="true"/>
    <xf numFmtId="0" fontId="1863" fillId="0" borderId="0" xfId="0" applyFont="true"/>
    <xf numFmtId="0" fontId="1864" fillId="0" borderId="0" xfId="0" applyFont="true"/>
    <xf numFmtId="0" fontId="1865" fillId="0" borderId="0" xfId="0" applyFont="true"/>
    <xf numFmtId="0" fontId="1866" fillId="0" borderId="0" xfId="0" applyFont="true"/>
    <xf numFmtId="0" fontId="1867" fillId="0" borderId="0" xfId="0" applyFont="true"/>
    <xf numFmtId="0" fontId="1868" fillId="0" borderId="0" xfId="0" applyFont="true"/>
    <xf numFmtId="0" fontId="1869" fillId="0" borderId="0" xfId="0" applyFont="true"/>
    <xf numFmtId="0" fontId="1870" fillId="0" borderId="0" xfId="0" applyFont="true"/>
    <xf numFmtId="0" fontId="1871" fillId="0" borderId="0" xfId="0" applyFont="true"/>
    <xf numFmtId="0" fontId="1872" fillId="0" borderId="0" xfId="0" applyFont="true"/>
    <xf numFmtId="0" fontId="1873" fillId="0" borderId="0" xfId="0" applyFont="true"/>
    <xf numFmtId="0" fontId="1874" fillId="0" borderId="0" xfId="0" applyFont="true"/>
    <xf numFmtId="0" fontId="1875" fillId="0" borderId="0" xfId="0" applyFont="true"/>
    <xf numFmtId="0" fontId="1876" fillId="0" borderId="0" xfId="0" applyFont="true"/>
    <xf numFmtId="0" fontId="1877" fillId="0" borderId="0" xfId="0" applyFont="true"/>
    <xf numFmtId="0" fontId="1878" fillId="0" borderId="0" xfId="0" applyFont="true"/>
    <xf numFmtId="0" fontId="1879" fillId="0" borderId="0" xfId="0" applyFont="true"/>
    <xf numFmtId="0" fontId="1880" fillId="0" borderId="0" xfId="0" applyFont="true"/>
    <xf numFmtId="0" fontId="1881" fillId="0" borderId="0" xfId="0" applyFont="true"/>
    <xf numFmtId="0" fontId="1882" fillId="0" borderId="0" xfId="0" applyFont="true"/>
    <xf numFmtId="0" fontId="1883" fillId="0" borderId="0" xfId="0" applyFont="true"/>
    <xf numFmtId="0" fontId="1884" fillId="0" borderId="0" xfId="0" applyFont="true"/>
    <xf numFmtId="0" fontId="1885" fillId="0" borderId="0" xfId="0" applyFont="true"/>
    <xf numFmtId="0" fontId="1886" fillId="0" borderId="0" xfId="0" applyFont="true"/>
    <xf numFmtId="0" fontId="1887" fillId="0" borderId="0" xfId="0" applyFont="true"/>
    <xf numFmtId="0" fontId="1888" fillId="0" borderId="0" xfId="0" applyFont="true"/>
    <xf numFmtId="0" fontId="1889" fillId="0" borderId="0" xfId="0" applyFont="true"/>
    <xf numFmtId="0" fontId="1890" fillId="0" borderId="0" xfId="0" applyFont="true"/>
    <xf numFmtId="0" fontId="1891" fillId="0" borderId="0" xfId="0" applyFont="true"/>
    <xf numFmtId="0" fontId="1892" fillId="0" borderId="0" xfId="0" applyFont="true"/>
    <xf numFmtId="0" fontId="1893" fillId="0" borderId="0" xfId="0" applyFont="true"/>
    <xf numFmtId="0" fontId="1894" fillId="0" borderId="0" xfId="0" applyFont="true"/>
    <xf numFmtId="0" fontId="1895" fillId="0" borderId="0" xfId="0" applyFont="true"/>
    <xf numFmtId="0" fontId="1896" fillId="0" borderId="0" xfId="0" applyFont="true"/>
    <xf numFmtId="0" fontId="1897" fillId="0" borderId="0" xfId="0" applyFont="true"/>
    <xf numFmtId="0" fontId="1898" fillId="0" borderId="0" xfId="0" applyFont="true"/>
    <xf numFmtId="0" fontId="1899" fillId="0" borderId="0" xfId="0" applyFont="true"/>
    <xf numFmtId="0" fontId="1900" fillId="0" borderId="0" xfId="0" applyFont="true"/>
    <xf numFmtId="0" fontId="1901" fillId="0" borderId="0" xfId="0" applyFont="true"/>
    <xf numFmtId="0" fontId="1902" fillId="0" borderId="0" xfId="0" applyFont="true"/>
    <xf numFmtId="0" fontId="1903" fillId="0" borderId="0" xfId="0" applyFont="true"/>
    <xf numFmtId="0" fontId="1904" fillId="0" borderId="0" xfId="0" applyFont="true"/>
    <xf numFmtId="0" fontId="1905" fillId="0" borderId="0" xfId="0" applyFont="true"/>
    <xf numFmtId="0" fontId="1906" fillId="0" borderId="0" xfId="0" applyFont="true"/>
    <xf numFmtId="0" fontId="1907" fillId="0" borderId="0" xfId="0" applyFont="true"/>
    <xf numFmtId="0" fontId="1908" fillId="0" borderId="0" xfId="0" applyFont="true"/>
    <xf numFmtId="0" fontId="1909" fillId="0" borderId="0" xfId="0" applyFont="true"/>
    <xf numFmtId="0" fontId="1910" fillId="0" borderId="0" xfId="0" applyFont="true"/>
    <xf numFmtId="0" fontId="1911" fillId="0" borderId="0" xfId="0" applyFont="true"/>
    <xf numFmtId="0" fontId="1912" fillId="0" borderId="0" xfId="0" applyFont="true"/>
    <xf numFmtId="0" fontId="1913" fillId="0" borderId="0" xfId="0" applyFont="true"/>
    <xf numFmtId="0" fontId="1914" fillId="0" borderId="0" xfId="0" applyFont="true"/>
    <xf numFmtId="0" fontId="1915" fillId="0" borderId="0" xfId="0" applyFont="true"/>
    <xf numFmtId="0" fontId="1916" fillId="0" borderId="0" xfId="0" applyFont="true"/>
    <xf numFmtId="0" fontId="1917" fillId="0" borderId="0" xfId="0" applyFont="true"/>
    <xf numFmtId="0" fontId="1918" fillId="0" borderId="0" xfId="0" applyFont="true"/>
    <xf numFmtId="0" fontId="1919" fillId="0" borderId="0" xfId="0" applyFont="true"/>
    <xf numFmtId="0" fontId="1920" fillId="0" borderId="0" xfId="0" applyFont="true"/>
    <xf numFmtId="0" fontId="1921" fillId="0" borderId="0" xfId="0" applyFont="true"/>
    <xf numFmtId="0" fontId="1922" fillId="0" borderId="0" xfId="0" applyFont="true"/>
    <xf numFmtId="0" fontId="1923" fillId="0" borderId="0" xfId="0" applyFont="true"/>
    <xf numFmtId="0" fontId="1924" fillId="0" borderId="0" xfId="0" applyFont="true"/>
    <xf numFmtId="0" fontId="1925" fillId="0" borderId="0" xfId="0" applyFont="true"/>
    <xf numFmtId="0" fontId="1926" fillId="0" borderId="0" xfId="0" applyFont="true"/>
    <xf numFmtId="0" fontId="1927" fillId="0" borderId="0" xfId="0" applyFont="true"/>
    <xf numFmtId="0" fontId="1928" fillId="0" borderId="0" xfId="0" applyFont="true"/>
    <xf numFmtId="0" fontId="1929" fillId="0" borderId="0" xfId="0" applyFont="true"/>
    <xf numFmtId="0" fontId="1930" fillId="0" borderId="0" xfId="0" applyFont="true"/>
    <xf numFmtId="0" fontId="1931" fillId="0" borderId="0" xfId="0" applyFont="true"/>
    <xf numFmtId="0" fontId="1932" fillId="0" borderId="0" xfId="0" applyFont="true"/>
    <xf numFmtId="0" fontId="1933" fillId="0" borderId="0" xfId="0" applyFont="true"/>
    <xf numFmtId="0" fontId="1934" fillId="0" borderId="0" xfId="0" applyFont="true"/>
    <xf numFmtId="0" fontId="1935" fillId="0" borderId="0" xfId="0" applyFont="true"/>
    <xf numFmtId="0" fontId="1936" fillId="0" borderId="0" xfId="0" applyFont="true"/>
    <xf numFmtId="0" fontId="1937" fillId="0" borderId="0" xfId="0" applyFont="true"/>
    <xf numFmtId="0" fontId="1938" fillId="0" borderId="0" xfId="0" applyFont="true"/>
    <xf numFmtId="0" fontId="1939" fillId="0" borderId="0" xfId="0" applyFont="true"/>
    <xf numFmtId="0" fontId="1940" fillId="0" borderId="0" xfId="0" applyFont="true"/>
    <xf numFmtId="0" fontId="1941" fillId="0" borderId="0" xfId="0" applyFont="true"/>
    <xf numFmtId="0" fontId="1942" fillId="0" borderId="0" xfId="0" applyFont="true"/>
    <xf numFmtId="0" fontId="1943" fillId="0" borderId="0" xfId="0" applyFont="true"/>
    <xf numFmtId="0" fontId="1944" fillId="0" borderId="0" xfId="0" applyFont="true"/>
    <xf numFmtId="0" fontId="1945" fillId="0" borderId="0" xfId="0" applyFont="true"/>
    <xf numFmtId="0" fontId="1946" fillId="0" borderId="0" xfId="0" applyFont="true"/>
    <xf numFmtId="0" fontId="1947" fillId="0" borderId="0" xfId="0" applyFont="true"/>
    <xf numFmtId="0" fontId="1948" fillId="0" borderId="0" xfId="0" applyFont="true"/>
    <xf numFmtId="0" fontId="1949" fillId="0" borderId="0" xfId="0" applyFont="true"/>
    <xf numFmtId="0" fontId="1950" fillId="0" borderId="0" xfId="0" applyFont="true"/>
    <xf numFmtId="0" fontId="1951" fillId="0" borderId="0" xfId="0" applyFont="true"/>
    <xf numFmtId="0" fontId="1952" fillId="0" borderId="0" xfId="0" applyFont="true"/>
    <xf numFmtId="0" fontId="1953" fillId="0" borderId="0" xfId="0" applyFont="true"/>
    <xf numFmtId="0" fontId="1954" fillId="0" borderId="0" xfId="0" applyFont="true"/>
    <xf numFmtId="0" fontId="1955" fillId="0" borderId="0" xfId="0" applyFont="true"/>
    <xf numFmtId="0" fontId="1956" fillId="0" borderId="0" xfId="0" applyFont="true"/>
    <xf numFmtId="0" fontId="1957" fillId="0" borderId="0" xfId="0" applyFont="true"/>
    <xf numFmtId="0" fontId="1958" fillId="0" borderId="0" xfId="0" applyFont="true"/>
    <xf numFmtId="0" fontId="1959" fillId="0" borderId="0" xfId="0" applyFont="true"/>
    <xf numFmtId="0" fontId="1960" fillId="0" borderId="0" xfId="0" applyFont="true"/>
    <xf numFmtId="0" fontId="1961" fillId="0" borderId="0" xfId="0" applyFont="true"/>
    <xf numFmtId="0" fontId="1962" fillId="0" borderId="0" xfId="0" applyFont="true"/>
    <xf numFmtId="0" fontId="1963" fillId="0" borderId="0" xfId="0" applyFont="true"/>
    <xf numFmtId="0" fontId="1964" fillId="0" borderId="0" xfId="0" applyFont="true"/>
    <xf numFmtId="0" fontId="1965" fillId="0" borderId="0" xfId="0" applyFont="true"/>
    <xf numFmtId="0" fontId="1966" fillId="0" borderId="0" xfId="0" applyFont="true"/>
    <xf numFmtId="0" fontId="1967" fillId="0" borderId="0" xfId="0" applyFont="true"/>
    <xf numFmtId="0" fontId="1968" fillId="0" borderId="0" xfId="0" applyFont="true"/>
    <xf numFmtId="0" fontId="1969" fillId="0" borderId="0" xfId="0" applyFont="true"/>
    <xf numFmtId="0" fontId="1970" fillId="0" borderId="0" xfId="0" applyFont="true"/>
    <xf numFmtId="0" fontId="1971" fillId="0" borderId="0" xfId="0" applyFont="true"/>
    <xf numFmtId="0" fontId="1972" fillId="0" borderId="0" xfId="0" applyFont="true"/>
    <xf numFmtId="0" fontId="1973" fillId="0" borderId="0" xfId="0" applyFont="true"/>
    <xf numFmtId="0" fontId="1974" fillId="0" borderId="0" xfId="0" applyFont="true"/>
    <xf numFmtId="0" fontId="1975" fillId="0" borderId="0" xfId="0" applyFont="true"/>
    <xf numFmtId="0" fontId="1976" fillId="0" borderId="0" xfId="0" applyFont="true"/>
    <xf numFmtId="0" fontId="1977" fillId="0" borderId="0" xfId="0" applyFont="true"/>
    <xf numFmtId="0" fontId="1978" fillId="0" borderId="0" xfId="0" applyFont="true"/>
    <xf numFmtId="0" fontId="1979" fillId="0" borderId="0" xfId="0" applyFont="true"/>
    <xf numFmtId="0" fontId="1980" fillId="0" borderId="0" xfId="0" applyFont="true"/>
    <xf numFmtId="0" fontId="1981" fillId="0" borderId="0" xfId="0" applyFont="true"/>
    <xf numFmtId="0" fontId="1982" fillId="0" borderId="0" xfId="0" applyFont="true"/>
    <xf numFmtId="0" fontId="1983" fillId="0" borderId="0" xfId="0" applyFont="true"/>
    <xf numFmtId="0" fontId="1984" fillId="0" borderId="0" xfId="0" applyFont="true"/>
    <xf numFmtId="0" fontId="1985" fillId="0" borderId="0" xfId="0" applyFont="true"/>
    <xf numFmtId="0" fontId="1986" fillId="0" borderId="0" xfId="0" applyFont="true"/>
    <xf numFmtId="0" fontId="1987" fillId="0" borderId="0" xfId="0" applyFont="true"/>
    <xf numFmtId="0" fontId="1988" fillId="0" borderId="0" xfId="0" applyFont="true"/>
    <xf numFmtId="0" fontId="1989" fillId="0" borderId="0" xfId="0" applyFont="true"/>
    <xf numFmtId="0" fontId="1990" fillId="0" borderId="0" xfId="0" applyFont="true"/>
    <xf numFmtId="0" fontId="1991" fillId="0" borderId="0" xfId="0" applyFont="true"/>
    <xf numFmtId="0" fontId="199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1109%2FACCESS.2026.3663497" TargetMode="External" Type="http://schemas.openxmlformats.org/officeDocument/2006/relationships/hyperlink"/><Relationship Id="rId10" Target="https%3A%2F%2Fwww.webofscience.com%2Fwos%2Fwoscc%2Ffull-record%2FWOS%3A001079947200001" TargetMode="External" Type="http://schemas.openxmlformats.org/officeDocument/2006/relationships/hyperlink"/><Relationship Id="rId100" Target="https%3A%2F%2Fwww.webofscience.com%2Fwos%2Fwoscc%2Ffull-record%2FWOS%3A001298513600001" TargetMode="External" Type="http://schemas.openxmlformats.org/officeDocument/2006/relationships/hyperlink"/><Relationship Id="rId1000" Target="http%3A%2F%2Fdx.doi.org%2F10.1016%2Fj.ijpharm.2026.127177" TargetMode="External" Type="http://schemas.openxmlformats.org/officeDocument/2006/relationships/hyperlink"/><Relationship Id="rId1001" Target="https%3A%2F%2Fwww.webofscience.com%2Fwos%2Fwoscc%2Ffull-record%2FWOS%3A001826563800001" TargetMode="External" Type="http://schemas.openxmlformats.org/officeDocument/2006/relationships/hyperlink"/><Relationship Id="rId1002" Target="http%3A%2F%2Fdx.doi.org%2F10.1089%2Faipo.2024.0017" TargetMode="External" Type="http://schemas.openxmlformats.org/officeDocument/2006/relationships/hyperlink"/><Relationship Id="rId1003" Target="https%3A%2F%2Fwww.webofscience.com%2Fwos%2Fwoscc%2Ffull-record%2FWOS%3A001763258900002" TargetMode="External" Type="http://schemas.openxmlformats.org/officeDocument/2006/relationships/hyperlink"/><Relationship Id="rId1004" Target="http%3A%2F%2Fdx.doi.org%2F10.1186%2Fs12982-025-00879-x" TargetMode="External" Type="http://schemas.openxmlformats.org/officeDocument/2006/relationships/hyperlink"/><Relationship Id="rId1005" Target="https%3A%2F%2Fwww.webofscience.com%2Fwos%2Fwoscc%2Ffull-record%2FWOS%3A001554601800005" TargetMode="External" Type="http://schemas.openxmlformats.org/officeDocument/2006/relationships/hyperlink"/><Relationship Id="rId1006" Target="http%3A%2F%2Fdx.doi.org%2F10.1109%2FACCESS.2026.3692694" TargetMode="External" Type="http://schemas.openxmlformats.org/officeDocument/2006/relationships/hyperlink"/><Relationship Id="rId1007" Target="https%3A%2F%2Fwww.webofscience.com%2Fwos%2Fwoscc%2Ffull-record%2FWOS%3A001771058600026" TargetMode="External" Type="http://schemas.openxmlformats.org/officeDocument/2006/relationships/hyperlink"/><Relationship Id="rId1008" Target="http%3A%2F%2Fdx.doi.org%2F10.1038%2Fs41598-026-46243-0" TargetMode="External" Type="http://schemas.openxmlformats.org/officeDocument/2006/relationships/hyperlink"/><Relationship Id="rId1009" Target="https%3A%2F%2Fwww.webofscience.com%2Fwos%2Fwoscc%2Ffull-record%2FWOS%3A001771100400008" TargetMode="External" Type="http://schemas.openxmlformats.org/officeDocument/2006/relationships/hyperlink"/><Relationship Id="rId101" Target="http%3A%2F%2Fdx.doi.org%2F10.1038%2Fs41598-026-37199-2" TargetMode="External" Type="http://schemas.openxmlformats.org/officeDocument/2006/relationships/hyperlink"/><Relationship Id="rId1010" Target="http%3A%2F%2Fdx.doi.org%2F10.1093%2Fjamia%2Focad118" TargetMode="External" Type="http://schemas.openxmlformats.org/officeDocument/2006/relationships/hyperlink"/><Relationship Id="rId1011" Target="https%3A%2F%2Fwww.webofscience.com%2Fwos%2Fwoscc%2Ffull-record%2FWOS%3A001044689600001" TargetMode="External" Type="http://schemas.openxmlformats.org/officeDocument/2006/relationships/hyperlink"/><Relationship Id="rId1012" Target="http%3A%2F%2Fdx.doi.org%2F10.1007%2Fs42452-025-08108-5" TargetMode="External" Type="http://schemas.openxmlformats.org/officeDocument/2006/relationships/hyperlink"/><Relationship Id="rId1013" Target="https%3A%2F%2Fwww.webofscience.com%2Fwos%2Fwoscc%2Ffull-record%2FWOS%3A001651004000001" TargetMode="External" Type="http://schemas.openxmlformats.org/officeDocument/2006/relationships/hyperlink"/><Relationship Id="rId1014" Target="http%3A%2F%2Fdx.doi.org%2F10.1007%2Fs11571-025-10269-3" TargetMode="External" Type="http://schemas.openxmlformats.org/officeDocument/2006/relationships/hyperlink"/><Relationship Id="rId1015" Target="https%3A%2F%2Fwww.webofscience.com%2Fwos%2Fwoscc%2Ffull-record%2FWOS%3A001502781100001" TargetMode="External" Type="http://schemas.openxmlformats.org/officeDocument/2006/relationships/hyperlink"/><Relationship Id="rId1016" Target="http%3A%2F%2Fdx.doi.org%2F10.3103%2FS1060992X25602817" TargetMode="External" Type="http://schemas.openxmlformats.org/officeDocument/2006/relationships/hyperlink"/><Relationship Id="rId1017" Target="https%3A%2F%2Fwww.webofscience.com%2Fwos%2Fwoscc%2Ffull-record%2FWOS%3A001805739600010" TargetMode="External" Type="http://schemas.openxmlformats.org/officeDocument/2006/relationships/hyperlink"/><Relationship Id="rId1018" Target="http%3A%2F%2Fdx.doi.org%2F10.3389%2Ffonc.2026.1787210" TargetMode="External" Type="http://schemas.openxmlformats.org/officeDocument/2006/relationships/hyperlink"/><Relationship Id="rId1019" Target="https%3A%2F%2Fwww.webofscience.com%2Fwos%2Fwoscc%2Ffull-record%2FWOS%3A001748953800001" TargetMode="External" Type="http://schemas.openxmlformats.org/officeDocument/2006/relationships/hyperlink"/><Relationship Id="rId102" Target="https%3A%2F%2Fwww.webofscience.com%2Fwos%2Fwoscc%2Ffull-record%2FWOS%3A001696313500001" TargetMode="External" Type="http://schemas.openxmlformats.org/officeDocument/2006/relationships/hyperlink"/><Relationship Id="rId1020" Target="http%3A%2F%2Fdx.doi.org%2F10.1016%2Fj.hrtlng.2025.07.012" TargetMode="External" Type="http://schemas.openxmlformats.org/officeDocument/2006/relationships/hyperlink"/><Relationship Id="rId1021" Target="https%3A%2F%2Fwww.webofscience.com%2Fwos%2Fwoscc%2Ffull-record%2FWOS%3A001541373500002" TargetMode="External" Type="http://schemas.openxmlformats.org/officeDocument/2006/relationships/hyperlink"/><Relationship Id="rId1022" Target="http%3A%2F%2Fdx.doi.org%2F10.21037%2Fqims-23-1600" TargetMode="External" Type="http://schemas.openxmlformats.org/officeDocument/2006/relationships/hyperlink"/><Relationship Id="rId1023" Target="https%3A%2F%2Fwww.webofscience.com%2Fwos%2Fwoscc%2Ffull-record%2FWOS%3A001250132200021" TargetMode="External" Type="http://schemas.openxmlformats.org/officeDocument/2006/relationships/hyperlink"/><Relationship Id="rId1024" Target="http%3A%2F%2Fdx.doi.org%2F10.1080%2F08839514.2026.2626117" TargetMode="External" Type="http://schemas.openxmlformats.org/officeDocument/2006/relationships/hyperlink"/><Relationship Id="rId1025" Target="https%3A%2F%2Fwww.webofscience.com%2Fwos%2Fwoscc%2Ffull-record%2FWOS%3A001687446400001" TargetMode="External" Type="http://schemas.openxmlformats.org/officeDocument/2006/relationships/hyperlink"/><Relationship Id="rId1026" Target="http%3A%2F%2Fdx.doi.org%2F10.3389%2Ffdgth.2022.931439" TargetMode="External" Type="http://schemas.openxmlformats.org/officeDocument/2006/relationships/hyperlink"/><Relationship Id="rId1027" Target="https%3A%2F%2Fwww.webofscience.com%2Fwos%2Fwoscc%2Ffull-record%2FWOS%3A001034020100001" TargetMode="External" Type="http://schemas.openxmlformats.org/officeDocument/2006/relationships/hyperlink"/><Relationship Id="rId1028" Target="http%3A%2F%2Fdx.doi.org%2F10.56415%2Fcsjm.v33.14" TargetMode="External" Type="http://schemas.openxmlformats.org/officeDocument/2006/relationships/hyperlink"/><Relationship Id="rId1029" Target="https%3A%2F%2Fwww.webofscience.com%2Fwos%2Fwoscc%2Ffull-record%2FWOS%3A001660673600001" TargetMode="External" Type="http://schemas.openxmlformats.org/officeDocument/2006/relationships/hyperlink"/><Relationship Id="rId103" Target="http%3A%2F%2Fdx.doi.org%2F10.3390%2Fcomputers14100419" TargetMode="External" Type="http://schemas.openxmlformats.org/officeDocument/2006/relationships/hyperlink"/><Relationship Id="rId1030" Target="http%3A%2F%2Fdx.doi.org%2F10.3390%2Fs22197268" TargetMode="External" Type="http://schemas.openxmlformats.org/officeDocument/2006/relationships/hyperlink"/><Relationship Id="rId1031" Target="https%3A%2F%2Fwww.webofscience.com%2Fwos%2Fwoscc%2Ffull-record%2FWOS%3A000867242700001" TargetMode="External" Type="http://schemas.openxmlformats.org/officeDocument/2006/relationships/hyperlink"/><Relationship Id="rId1032" Target="http%3A%2F%2Fdx.doi.org%2F10.1038%2Fs41598-025-25901-9" TargetMode="External" Type="http://schemas.openxmlformats.org/officeDocument/2006/relationships/hyperlink"/><Relationship Id="rId1033" Target="https%3A%2F%2Fwww.webofscience.com%2Fwos%2Fwoscc%2Ffull-record%2FWOS%3A001625424900004" TargetMode="External" Type="http://schemas.openxmlformats.org/officeDocument/2006/relationships/hyperlink"/><Relationship Id="rId1034" Target="http%3A%2F%2Fdx.doi.org%2F10.1007%2Fs11011-023-01171-0" TargetMode="External" Type="http://schemas.openxmlformats.org/officeDocument/2006/relationships/hyperlink"/><Relationship Id="rId1035" Target="https%3A%2F%2Fwww.webofscience.com%2Fwos%2Fwoscc%2Ffull-record%2FWOS%3A000936532100001" TargetMode="External" Type="http://schemas.openxmlformats.org/officeDocument/2006/relationships/hyperlink"/><Relationship Id="rId1036" Target="http%3A%2F%2Fdx.doi.org%2F10.1097%2FMD.0000000000046015" TargetMode="External" Type="http://schemas.openxmlformats.org/officeDocument/2006/relationships/hyperlink"/><Relationship Id="rId1037" Target="https%3A%2F%2Fwww.webofscience.com%2Fwos%2Fwoscc%2Ffull-record%2FWOS%3A001616253000020" TargetMode="External" Type="http://schemas.openxmlformats.org/officeDocument/2006/relationships/hyperlink"/><Relationship Id="rId1038" Target="http%3A%2F%2Fdx.doi.org%2F10.1093%2Fbib%2Fbbaf623" TargetMode="External" Type="http://schemas.openxmlformats.org/officeDocument/2006/relationships/hyperlink"/><Relationship Id="rId1039" Target="https%3A%2F%2Fwww.webofscience.com%2Fwos%2Fwoscc%2Ffull-record%2FWOS%3A001627604300001" TargetMode="External" Type="http://schemas.openxmlformats.org/officeDocument/2006/relationships/hyperlink"/><Relationship Id="rId104" Target="https%3A%2F%2Fwww.webofscience.com%2Fwos%2Fwoscc%2Ffull-record%2FWOS%3A001602377500001" TargetMode="External" Type="http://schemas.openxmlformats.org/officeDocument/2006/relationships/hyperlink"/><Relationship Id="rId1040" Target="http%3A%2F%2Fdx.doi.org%2F10.1038%2Fs41746-024-01292-5" TargetMode="External" Type="http://schemas.openxmlformats.org/officeDocument/2006/relationships/hyperlink"/><Relationship Id="rId1041" Target="https%3A%2F%2Fwww.webofscience.com%2Fwos%2Fwoscc%2Ffull-record%2FWOS%3A001336299800001" TargetMode="External" Type="http://schemas.openxmlformats.org/officeDocument/2006/relationships/hyperlink"/><Relationship Id="rId1042" Target="http%3A%2F%2Fdx.doi.org%2F10.2196%2F97859" TargetMode="External" Type="http://schemas.openxmlformats.org/officeDocument/2006/relationships/hyperlink"/><Relationship Id="rId1043" Target="https%3A%2F%2Fwww.webofscience.com%2Fwos%2Fwoscc%2Ffull-record%2FWOS%3A001793446800002" TargetMode="External" Type="http://schemas.openxmlformats.org/officeDocument/2006/relationships/hyperlink"/><Relationship Id="rId1044" Target="http%3A%2F%2Fdx.doi.org%2F10.3390%2Ftechnologies11050134" TargetMode="External" Type="http://schemas.openxmlformats.org/officeDocument/2006/relationships/hyperlink"/><Relationship Id="rId1045" Target="https%3A%2F%2Fwww.webofscience.com%2Fwos%2Fwoscc%2Ffull-record%2FWOS%3A001089993000001" TargetMode="External" Type="http://schemas.openxmlformats.org/officeDocument/2006/relationships/hyperlink"/><Relationship Id="rId1046" Target="http%3A%2F%2Fdx.doi.org%2F10.1038%2Fs41746-026-02689-0" TargetMode="External" Type="http://schemas.openxmlformats.org/officeDocument/2006/relationships/hyperlink"/><Relationship Id="rId1047" Target="https%3A%2F%2Fwww.webofscience.com%2Fwos%2Fwoscc%2Ffull-record%2FWOS%3A001820512000001" TargetMode="External" Type="http://schemas.openxmlformats.org/officeDocument/2006/relationships/hyperlink"/><Relationship Id="rId1048" Target="http%3A%2F%2Fdx.doi.org%2F10.1177%2F15553434261470484" TargetMode="External" Type="http://schemas.openxmlformats.org/officeDocument/2006/relationships/hyperlink"/><Relationship Id="rId1049" Target="https%3A%2F%2Fwww.webofscience.com%2Fwos%2Fwoscc%2Ffull-record%2FWOS%3A001838332700001" TargetMode="External" Type="http://schemas.openxmlformats.org/officeDocument/2006/relationships/hyperlink"/><Relationship Id="rId105" Target="http%3A%2F%2Fdx.doi.org%2F10.1186%2Fs12876-026-04890-7" TargetMode="External" Type="http://schemas.openxmlformats.org/officeDocument/2006/relationships/hyperlink"/><Relationship Id="rId1050" Target="https%3A%2F%2Fwww.webofscience.com%2Fwos%2Fwoscc%2Ffull-record%2FWOS%3A001615972900007" TargetMode="External" Type="http://schemas.openxmlformats.org/officeDocument/2006/relationships/hyperlink"/><Relationship Id="rId1051" Target="http%3A%2F%2Fdx.doi.org%2F10.1016%2Fj.cmpb.2026.109474" TargetMode="External" Type="http://schemas.openxmlformats.org/officeDocument/2006/relationships/hyperlink"/><Relationship Id="rId1052" Target="https%3A%2F%2Fwww.webofscience.com%2Fwos%2Fwoscc%2Ffull-record%2FWOS%3A001805580500001" TargetMode="External" Type="http://schemas.openxmlformats.org/officeDocument/2006/relationships/hyperlink"/><Relationship Id="rId1053" Target="http%3A%2F%2Fdx.doi.org%2F10.3390%2Fjimaging10120332" TargetMode="External" Type="http://schemas.openxmlformats.org/officeDocument/2006/relationships/hyperlink"/><Relationship Id="rId1054" Target="https%3A%2F%2Fwww.webofscience.com%2Fwos%2Fwoscc%2Ffull-record%2FWOS%3A001386827900001" TargetMode="External" Type="http://schemas.openxmlformats.org/officeDocument/2006/relationships/hyperlink"/><Relationship Id="rId1055" Target="http%3A%2F%2Fdx.doi.org%2F10.1016%2Fj.array.2025.100637" TargetMode="External" Type="http://schemas.openxmlformats.org/officeDocument/2006/relationships/hyperlink"/><Relationship Id="rId1056" Target="https%3A%2F%2Fwww.webofscience.com%2Fwos%2Fwoscc%2Ffull-record%2FWOS%3A001640673100001" TargetMode="External" Type="http://schemas.openxmlformats.org/officeDocument/2006/relationships/hyperlink"/><Relationship Id="rId1057" Target="http%3A%2F%2Fdx.doi.org%2F10.1186%2Fs40537-024-00920-x" TargetMode="External" Type="http://schemas.openxmlformats.org/officeDocument/2006/relationships/hyperlink"/><Relationship Id="rId1058" Target="https%3A%2F%2Fwww.webofscience.com%2Fwos%2Fwoscc%2Ffull-record%2FWOS%3A001206689900001" TargetMode="External" Type="http://schemas.openxmlformats.org/officeDocument/2006/relationships/hyperlink"/><Relationship Id="rId1059" Target="http%3A%2F%2Fdx.doi.org%2F10.1109%2FJBHI.2024.3355329" TargetMode="External" Type="http://schemas.openxmlformats.org/officeDocument/2006/relationships/hyperlink"/><Relationship Id="rId106" Target="https%3A%2F%2Fwww.webofscience.com%2Fwos%2Fwoscc%2Ffull-record%2FWOS%3A001772124600001" TargetMode="External" Type="http://schemas.openxmlformats.org/officeDocument/2006/relationships/hyperlink"/><Relationship Id="rId1060" Target="https%3A%2F%2Fwww.webofscience.com%2Fwos%2Fwoscc%2Ffull-record%2FWOS%3A001258112900001" TargetMode="External" Type="http://schemas.openxmlformats.org/officeDocument/2006/relationships/hyperlink"/><Relationship Id="rId1061" Target="http%3A%2F%2Fdx.doi.org%2F10.7196%2FSAJBL.2026.v19i1.3527" TargetMode="External" Type="http://schemas.openxmlformats.org/officeDocument/2006/relationships/hyperlink"/><Relationship Id="rId1062" Target="https%3A%2F%2Fwww.webofscience.com%2Fwos%2Fwoscc%2Ffull-record%2FWOS%3A001825891800005" TargetMode="External" Type="http://schemas.openxmlformats.org/officeDocument/2006/relationships/hyperlink"/><Relationship Id="rId1063" Target="http%3A%2F%2Fdx.doi.org%2F10.47974%2FJIOS-2011" TargetMode="External" Type="http://schemas.openxmlformats.org/officeDocument/2006/relationships/hyperlink"/><Relationship Id="rId1064" Target="https%3A%2F%2Fwww.webofscience.com%2Fwos%2Fwoscc%2Ffull-record%2FWOS%3A001596223900004" TargetMode="External" Type="http://schemas.openxmlformats.org/officeDocument/2006/relationships/hyperlink"/><Relationship Id="rId1065" Target="http%3A%2F%2Fdx.doi.org%2F10.1109%2FOJCOMS.2022.3215676" TargetMode="External" Type="http://schemas.openxmlformats.org/officeDocument/2006/relationships/hyperlink"/><Relationship Id="rId1066" Target="https%3A%2F%2Fwww.webofscience.com%2Fwos%2Fwoscc%2Ffull-record%2FWOS%3A000886914800005" TargetMode="External" Type="http://schemas.openxmlformats.org/officeDocument/2006/relationships/hyperlink"/><Relationship Id="rId1067" Target="http%3A%2F%2Fdx.doi.org%2F10.1007%2Fs11255-026-05342-7" TargetMode="External" Type="http://schemas.openxmlformats.org/officeDocument/2006/relationships/hyperlink"/><Relationship Id="rId1068" Target="https%3A%2F%2Fwww.webofscience.com%2Fwos%2Fwoscc%2Ffull-record%2FWOS%3A001851778600001" TargetMode="External" Type="http://schemas.openxmlformats.org/officeDocument/2006/relationships/hyperlink"/><Relationship Id="rId1069" Target="http%3A%2F%2Fdx.doi.org%2F10.1109%2FACCESS.2025.3609459" TargetMode="External" Type="http://schemas.openxmlformats.org/officeDocument/2006/relationships/hyperlink"/><Relationship Id="rId107" Target="http%3A%2F%2Fdx.doi.org%2F10.3390%2Fph18111659" TargetMode="External" Type="http://schemas.openxmlformats.org/officeDocument/2006/relationships/hyperlink"/><Relationship Id="rId1070" Target="https%3A%2F%2Fwww.webofscience.com%2Fwos%2Fwoscc%2Ffull-record%2FWOS%3A001575778800010" TargetMode="External" Type="http://schemas.openxmlformats.org/officeDocument/2006/relationships/hyperlink"/><Relationship Id="rId1071" Target="http%3A%2F%2Fdx.doi.org%2F10.3389%2Ffrai.2026.1853361" TargetMode="External" Type="http://schemas.openxmlformats.org/officeDocument/2006/relationships/hyperlink"/><Relationship Id="rId1072" Target="https%3A%2F%2Fwww.webofscience.com%2Fwos%2Fwoscc%2Ffull-record%2FWOS%3A001813863500001" TargetMode="External" Type="http://schemas.openxmlformats.org/officeDocument/2006/relationships/hyperlink"/><Relationship Id="rId1073" Target="http%3A%2F%2Fdx.doi.org%2F10.1007%2Fs42452-026-08618-w" TargetMode="External" Type="http://schemas.openxmlformats.org/officeDocument/2006/relationships/hyperlink"/><Relationship Id="rId1074" Target="https%3A%2F%2Fwww.webofscience.com%2Fwos%2Fwoscc%2Ffull-record%2FWOS%3A001787049800001" TargetMode="External" Type="http://schemas.openxmlformats.org/officeDocument/2006/relationships/hyperlink"/><Relationship Id="rId1075" Target="http%3A%2F%2Fdx.doi.org%2F10.1016%2Fj.engappai.2024.109681" TargetMode="External" Type="http://schemas.openxmlformats.org/officeDocument/2006/relationships/hyperlink"/><Relationship Id="rId1076" Target="https%3A%2F%2Fwww.webofscience.com%2Fwos%2Fwoscc%2Ffull-record%2FWOS%3A001377055700001" TargetMode="External" Type="http://schemas.openxmlformats.org/officeDocument/2006/relationships/hyperlink"/><Relationship Id="rId1077" Target="http%3A%2F%2Fdx.doi.org%2F10.1049%2Fipr2.13211" TargetMode="External" Type="http://schemas.openxmlformats.org/officeDocument/2006/relationships/hyperlink"/><Relationship Id="rId1078" Target="https%3A%2F%2Fwww.webofscience.com%2Fwos%2Fwoscc%2Ffull-record%2FWOS%3A001293373900001" TargetMode="External" Type="http://schemas.openxmlformats.org/officeDocument/2006/relationships/hyperlink"/><Relationship Id="rId1079" Target="http%3A%2F%2Fdx.doi.org%2F10.1016%2Fj.ijmedinf.2026.106464" TargetMode="External" Type="http://schemas.openxmlformats.org/officeDocument/2006/relationships/hyperlink"/><Relationship Id="rId108" Target="https%3A%2F%2Fwww.webofscience.com%2Fwos%2Fwoscc%2Ffull-record%2FWOS%3A001625620000001" TargetMode="External" Type="http://schemas.openxmlformats.org/officeDocument/2006/relationships/hyperlink"/><Relationship Id="rId1080" Target="https%3A%2F%2Fwww.webofscience.com%2Fwos%2Fwoscc%2Ffull-record%2FWOS%3A001765270100001" TargetMode="External" Type="http://schemas.openxmlformats.org/officeDocument/2006/relationships/hyperlink"/><Relationship Id="rId1081" Target="http%3A%2F%2Fdx.doi.org%2F10.1016%2Fj.jad.2025.120169" TargetMode="External" Type="http://schemas.openxmlformats.org/officeDocument/2006/relationships/hyperlink"/><Relationship Id="rId1082" Target="https%3A%2F%2Fwww.webofscience.com%2Fwos%2Fwoscc%2Ffull-record%2FWOS%3A001566746500007" TargetMode="External" Type="http://schemas.openxmlformats.org/officeDocument/2006/relationships/hyperlink"/><Relationship Id="rId1083" Target="http%3A%2F%2Fdx.doi.org%2F10.3389%2Ffimmu.2024.1364954" TargetMode="External" Type="http://schemas.openxmlformats.org/officeDocument/2006/relationships/hyperlink"/><Relationship Id="rId1084" Target="https%3A%2F%2Fwww.webofscience.com%2Fwos%2Fwoscc%2Ffull-record%2FWOS%3A001187171300001" TargetMode="External" Type="http://schemas.openxmlformats.org/officeDocument/2006/relationships/hyperlink"/><Relationship Id="rId1085" Target="http%3A%2F%2Fdx.doi.org%2F10.1142%2FS0218001425570125" TargetMode="External" Type="http://schemas.openxmlformats.org/officeDocument/2006/relationships/hyperlink"/><Relationship Id="rId1086" Target="https%3A%2F%2Fwww.webofscience.com%2Fwos%2Fwoscc%2Ffull-record%2FWOS%3A001532881900001" TargetMode="External" Type="http://schemas.openxmlformats.org/officeDocument/2006/relationships/hyperlink"/><Relationship Id="rId1087" Target="http%3A%2F%2Fdx.doi.org%2F10.1038%2Fs41598-026-48015-2" TargetMode="External" Type="http://schemas.openxmlformats.org/officeDocument/2006/relationships/hyperlink"/><Relationship Id="rId1088" Target="https%3A%2F%2Fwww.webofscience.com%2Fwos%2Fwoscc%2Ffull-record%2FWOS%3A001792240000001" TargetMode="External" Type="http://schemas.openxmlformats.org/officeDocument/2006/relationships/hyperlink"/><Relationship Id="rId1089" Target="http%3A%2F%2Fdx.doi.org%2F10.25259%2FJKSUS_1183_2025" TargetMode="External" Type="http://schemas.openxmlformats.org/officeDocument/2006/relationships/hyperlink"/><Relationship Id="rId109" Target="http%3A%2F%2Fdx.doi.org%2F10.1371%2Fjournal.pone.0341168" TargetMode="External" Type="http://schemas.openxmlformats.org/officeDocument/2006/relationships/hyperlink"/><Relationship Id="rId1090" Target="https%3A%2F%2Fwww.webofscience.com%2Fwos%2Fwoscc%2Ffull-record%2FWOS%3A001707122200011" TargetMode="External" Type="http://schemas.openxmlformats.org/officeDocument/2006/relationships/hyperlink"/><Relationship Id="rId1091" Target="http%3A%2F%2Fdx.doi.org%2F10.1016%2Fj.bspc.2025.109272" TargetMode="External" Type="http://schemas.openxmlformats.org/officeDocument/2006/relationships/hyperlink"/><Relationship Id="rId1092" Target="https%3A%2F%2Fwww.webofscience.com%2Fwos%2Fwoscc%2Ffull-record%2FWOS%3A001640814700001" TargetMode="External" Type="http://schemas.openxmlformats.org/officeDocument/2006/relationships/hyperlink"/><Relationship Id="rId1093" Target="http%3A%2F%2Fdx.doi.org%2F10.1016%2Fj.media.2023.102861" TargetMode="External" Type="http://schemas.openxmlformats.org/officeDocument/2006/relationships/hyperlink"/><Relationship Id="rId1094" Target="https%3A%2F%2Fwww.webofscience.com%2Fwos%2Fwoscc%2Ffull-record%2FWOS%3A001027558900001" TargetMode="External" Type="http://schemas.openxmlformats.org/officeDocument/2006/relationships/hyperlink"/><Relationship Id="rId1095" Target="http%3A%2F%2Fdx.doi.org%2F10.1007%2Fs00345-025-05904-x" TargetMode="External" Type="http://schemas.openxmlformats.org/officeDocument/2006/relationships/hyperlink"/><Relationship Id="rId1096" Target="https%3A%2F%2Fwww.webofscience.com%2Fwos%2Fwoscc%2Ffull-record%2FWOS%3A001562284000004" TargetMode="External" Type="http://schemas.openxmlformats.org/officeDocument/2006/relationships/hyperlink"/><Relationship Id="rId1097" Target="http%3A%2F%2Fdx.doi.org%2F10.1186%2Fs12911-024-02767-x" TargetMode="External" Type="http://schemas.openxmlformats.org/officeDocument/2006/relationships/hyperlink"/><Relationship Id="rId1098" Target="https%3A%2F%2Fwww.webofscience.com%2Fwos%2Fwoscc%2Ffull-record%2FWOS%3A001381008600001" TargetMode="External" Type="http://schemas.openxmlformats.org/officeDocument/2006/relationships/hyperlink"/><Relationship Id="rId1099" Target="http%3A%2F%2Fdx.doi.org%2F10.1038%2Fs41598-025-97297-5" TargetMode="External" Type="http://schemas.openxmlformats.org/officeDocument/2006/relationships/hyperlink"/><Relationship Id="rId11" Target="http%3A%2F%2Fdx.doi.org%2F10.3390%2Fdiagnostics15030316" TargetMode="External" Type="http://schemas.openxmlformats.org/officeDocument/2006/relationships/hyperlink"/><Relationship Id="rId110" Target="https%3A%2F%2Fwww.webofscience.com%2Fwos%2Fwoscc%2Ffull-record%2FWOS%3A001681097100019" TargetMode="External" Type="http://schemas.openxmlformats.org/officeDocument/2006/relationships/hyperlink"/><Relationship Id="rId1100" Target="https%3A%2F%2Fwww.webofscience.com%2Fwos%2Fwoscc%2Ffull-record%2FWOS%3A001466904300006" TargetMode="External" Type="http://schemas.openxmlformats.org/officeDocument/2006/relationships/hyperlink"/><Relationship Id="rId1101" Target="http%3A%2F%2Fdx.doi.org%2F10.3390%2Fhealthcare14121724" TargetMode="External" Type="http://schemas.openxmlformats.org/officeDocument/2006/relationships/hyperlink"/><Relationship Id="rId1102" Target="https%3A%2F%2Fwww.webofscience.com%2Fwos%2Fwoscc%2Ffull-record%2FWOS%3A001802399800001" TargetMode="External" Type="http://schemas.openxmlformats.org/officeDocument/2006/relationships/hyperlink"/><Relationship Id="rId1103" Target="http%3A%2F%2Fdx.doi.org%2F10.1080%2F0144929X.2026.2666286" TargetMode="External" Type="http://schemas.openxmlformats.org/officeDocument/2006/relationships/hyperlink"/><Relationship Id="rId1104" Target="https%3A%2F%2Fwww.webofscience.com%2Fwos%2Fwoscc%2Ffull-record%2FWOS%3A001764378400001" TargetMode="External" Type="http://schemas.openxmlformats.org/officeDocument/2006/relationships/hyperlink"/><Relationship Id="rId1105" Target="http%3A%2F%2Fdx.doi.org%2F10.1080%2F23299460.2023.2300161" TargetMode="External" Type="http://schemas.openxmlformats.org/officeDocument/2006/relationships/hyperlink"/><Relationship Id="rId1106" Target="https%3A%2F%2Fwww.webofscience.com%2Fwos%2Fwoscc%2Ffull-record%2FWOS%3A001151324100001" TargetMode="External" Type="http://schemas.openxmlformats.org/officeDocument/2006/relationships/hyperlink"/><Relationship Id="rId1107" Target="http%3A%2F%2Fdx.doi.org%2F10.1108%2FVJIKMS-01-2026-0010" TargetMode="External" Type="http://schemas.openxmlformats.org/officeDocument/2006/relationships/hyperlink"/><Relationship Id="rId1108" Target="https%3A%2F%2Fwww.webofscience.com%2Fwos%2Fwoscc%2Ffull-record%2FWOS%3A001829174000001" TargetMode="External" Type="http://schemas.openxmlformats.org/officeDocument/2006/relationships/hyperlink"/><Relationship Id="rId1109" Target="http%3A%2F%2Fdx.doi.org%2F10.3390%2Fmath14030503" TargetMode="External" Type="http://schemas.openxmlformats.org/officeDocument/2006/relationships/hyperlink"/><Relationship Id="rId111" Target="http%3A%2F%2Fdx.doi.org%2F10.1002%2Fcpt.3758" TargetMode="External" Type="http://schemas.openxmlformats.org/officeDocument/2006/relationships/hyperlink"/><Relationship Id="rId1110" Target="https%3A%2F%2Fwww.webofscience.com%2Fwos%2Fwoscc%2Ffull-record%2FWOS%3A001687910300001" TargetMode="External" Type="http://schemas.openxmlformats.org/officeDocument/2006/relationships/hyperlink"/><Relationship Id="rId1111" Target="http%3A%2F%2Fdx.doi.org%2F10.1109%2FACCESS.2022.3175816" TargetMode="External" Type="http://schemas.openxmlformats.org/officeDocument/2006/relationships/hyperlink"/><Relationship Id="rId1112" Target="https%3A%2F%2Fwww.webofscience.com%2Fwos%2Fwoscc%2Ffull-record%2FWOS%3A000800768900001" TargetMode="External" Type="http://schemas.openxmlformats.org/officeDocument/2006/relationships/hyperlink"/><Relationship Id="rId1113" Target="http%3A%2F%2Fdx.doi.org%2F10.1038%2Fs41598-025-20462-3" TargetMode="External" Type="http://schemas.openxmlformats.org/officeDocument/2006/relationships/hyperlink"/><Relationship Id="rId1114" Target="https%3A%2F%2Fwww.webofscience.com%2Fwos%2Fwoscc%2Ffull-record%2FWOS%3A001707928600001" TargetMode="External" Type="http://schemas.openxmlformats.org/officeDocument/2006/relationships/hyperlink"/><Relationship Id="rId1115" Target="http%3A%2F%2Fdx.doi.org%2F10.3390%2Fapp15158449" TargetMode="External" Type="http://schemas.openxmlformats.org/officeDocument/2006/relationships/hyperlink"/><Relationship Id="rId1116" Target="https%3A%2F%2Fwww.webofscience.com%2Fwos%2Fwoscc%2Ffull-record%2FWOS%3A001549005200001" TargetMode="External" Type="http://schemas.openxmlformats.org/officeDocument/2006/relationships/hyperlink"/><Relationship Id="rId1117" Target="http%3A%2F%2Fdx.doi.org%2F10.3389%2Ffbioe.2026.1859844" TargetMode="External" Type="http://schemas.openxmlformats.org/officeDocument/2006/relationships/hyperlink"/><Relationship Id="rId1118" Target="https%3A%2F%2Fwww.webofscience.com%2Fwos%2Fwoscc%2Ffull-record%2FWOS%3A001817249100001" TargetMode="External" Type="http://schemas.openxmlformats.org/officeDocument/2006/relationships/hyperlink"/><Relationship Id="rId1119" Target="http%3A%2F%2Fdx.doi.org%2F10.3390%2Fdiagnostics16091254" TargetMode="External" Type="http://schemas.openxmlformats.org/officeDocument/2006/relationships/hyperlink"/><Relationship Id="rId112" Target="https%3A%2F%2Fwww.webofscience.com%2Fwos%2Fwoscc%2Ffull-record%2FWOS%3A001533873300001" TargetMode="External" Type="http://schemas.openxmlformats.org/officeDocument/2006/relationships/hyperlink"/><Relationship Id="rId1120" Target="https%3A%2F%2Fwww.webofscience.com%2Fwos%2Fwoscc%2Ffull-record%2FWOS%3A001764072400001" TargetMode="External" Type="http://schemas.openxmlformats.org/officeDocument/2006/relationships/hyperlink"/><Relationship Id="rId1121" Target="http%3A%2F%2Fdx.doi.org%2F10.3390%2Fai7060183" TargetMode="External" Type="http://schemas.openxmlformats.org/officeDocument/2006/relationships/hyperlink"/><Relationship Id="rId1122" Target="https%3A%2F%2Fwww.webofscience.com%2Fwos%2Fwoscc%2Ffull-record%2FWOS%3A001801697400001" TargetMode="External" Type="http://schemas.openxmlformats.org/officeDocument/2006/relationships/hyperlink"/><Relationship Id="rId1123" Target="http%3A%2F%2Fdx.doi.org%2F10.1001%2Fjama.2024.21451" TargetMode="External" Type="http://schemas.openxmlformats.org/officeDocument/2006/relationships/hyperlink"/><Relationship Id="rId1124" Target="https%3A%2F%2Fwww.webofscience.com%2Fwos%2Fwoscc%2Ffull-record%2FWOS%3A001338321500001" TargetMode="External" Type="http://schemas.openxmlformats.org/officeDocument/2006/relationships/hyperlink"/><Relationship Id="rId1125" Target="http%3A%2F%2Fdx.doi.org%2F10.1109%2FJAS.2025.125498" TargetMode="External" Type="http://schemas.openxmlformats.org/officeDocument/2006/relationships/hyperlink"/><Relationship Id="rId1126" Target="https%3A%2F%2Fwww.webofscience.com%2Fwos%2Fwoscc%2Ffull-record%2FWOS%3A001490407500018" TargetMode="External" Type="http://schemas.openxmlformats.org/officeDocument/2006/relationships/hyperlink"/><Relationship Id="rId1127" Target="http%3A%2F%2Fdx.doi.org%2F10.1136%2Fjme-2025-110913" TargetMode="External" Type="http://schemas.openxmlformats.org/officeDocument/2006/relationships/hyperlink"/><Relationship Id="rId1128" Target="https%3A%2F%2Fwww.webofscience.com%2Fwos%2Fwoscc%2Ffull-record%2FWOS%3A001567480200001" TargetMode="External" Type="http://schemas.openxmlformats.org/officeDocument/2006/relationships/hyperlink"/><Relationship Id="rId1129" Target="http%3A%2F%2Fdx.doi.org%2F10.1038%2Fs41598-025-03358-0" TargetMode="External" Type="http://schemas.openxmlformats.org/officeDocument/2006/relationships/hyperlink"/><Relationship Id="rId113" Target="http%3A%2F%2Fdx.doi.org%2F10.1016%2Fj.ijmedinf.2025.105943" TargetMode="External" Type="http://schemas.openxmlformats.org/officeDocument/2006/relationships/hyperlink"/><Relationship Id="rId1130" Target="https%3A%2F%2Fwww.webofscience.com%2Fwos%2Fwoscc%2Ffull-record%2FWOS%3A001500912700030" TargetMode="External" Type="http://schemas.openxmlformats.org/officeDocument/2006/relationships/hyperlink"/><Relationship Id="rId1131" Target="http%3A%2F%2Fdx.doi.org%2F10.1097%2FMD.0000000000036909" TargetMode="External" Type="http://schemas.openxmlformats.org/officeDocument/2006/relationships/hyperlink"/><Relationship Id="rId1132" Target="https%3A%2F%2Fwww.webofscience.com%2Fwos%2Fwoscc%2Ffull-record%2FWOS%3A001174637500011" TargetMode="External" Type="http://schemas.openxmlformats.org/officeDocument/2006/relationships/hyperlink"/><Relationship Id="rId1133" Target="http%3A%2F%2Fdx.doi.org%2F10.1109%2FACCESS.2026.3692365" TargetMode="External" Type="http://schemas.openxmlformats.org/officeDocument/2006/relationships/hyperlink"/><Relationship Id="rId1134" Target="https%3A%2F%2Fwww.webofscience.com%2Fwos%2Fwoscc%2Ffull-record%2FWOS%3A001771058600007" TargetMode="External" Type="http://schemas.openxmlformats.org/officeDocument/2006/relationships/hyperlink"/><Relationship Id="rId1135" Target="http%3A%2F%2Fdx.doi.org%2F10.1109%2FACCESS.2026.3652631" TargetMode="External" Type="http://schemas.openxmlformats.org/officeDocument/2006/relationships/hyperlink"/><Relationship Id="rId1136" Target="https%3A%2F%2Fwww.webofscience.com%2Fwos%2Fwoscc%2Ffull-record%2FWOS%3A001663381000029" TargetMode="External" Type="http://schemas.openxmlformats.org/officeDocument/2006/relationships/hyperlink"/><Relationship Id="rId1137" Target="http%3A%2F%2Fdx.doi.org%2F10.3390%2Fcancers18071067" TargetMode="External" Type="http://schemas.openxmlformats.org/officeDocument/2006/relationships/hyperlink"/><Relationship Id="rId1138" Target="https%3A%2F%2Fwww.webofscience.com%2Fwos%2Fwoscc%2Ffull-record%2FWOS%3A001738565300001" TargetMode="External" Type="http://schemas.openxmlformats.org/officeDocument/2006/relationships/hyperlink"/><Relationship Id="rId1139" Target="http%3A%2F%2Fdx.doi.org%2F10.1109%2FTIM.2022.3198443" TargetMode="External" Type="http://schemas.openxmlformats.org/officeDocument/2006/relationships/hyperlink"/><Relationship Id="rId114" Target="https%3A%2F%2Fwww.webofscience.com%2Fwos%2Fwoscc%2Ffull-record%2FWOS%3A001488109100001" TargetMode="External" Type="http://schemas.openxmlformats.org/officeDocument/2006/relationships/hyperlink"/><Relationship Id="rId1140" Target="https%3A%2F%2Fwww.webofscience.com%2Fwos%2Fwoscc%2Ffull-record%2FWOS%3A000848255000004" TargetMode="External" Type="http://schemas.openxmlformats.org/officeDocument/2006/relationships/hyperlink"/><Relationship Id="rId1141" Target="http%3A%2F%2Fdx.doi.org%2F10.3390%2Fs26030863" TargetMode="External" Type="http://schemas.openxmlformats.org/officeDocument/2006/relationships/hyperlink"/><Relationship Id="rId1142" Target="https%3A%2F%2Fwww.webofscience.com%2Fwos%2Fwoscc%2Ffull-record%2FWOS%3A001688065900001" TargetMode="External" Type="http://schemas.openxmlformats.org/officeDocument/2006/relationships/hyperlink"/><Relationship Id="rId1143" Target="http%3A%2F%2Fdx.doi.org%2F10.1097%2FHC9.0000000000000983" TargetMode="External" Type="http://schemas.openxmlformats.org/officeDocument/2006/relationships/hyperlink"/><Relationship Id="rId1144" Target="https%3A%2F%2Fwww.webofscience.com%2Fwos%2Fwoscc%2Ffull-record%2FWOS%3A001797545100001" TargetMode="External" Type="http://schemas.openxmlformats.org/officeDocument/2006/relationships/hyperlink"/><Relationship Id="rId1145" Target="http%3A%2F%2Fdx.doi.org%2F10.1016%2Fj.compeleceng.2026.111318" TargetMode="External" Type="http://schemas.openxmlformats.org/officeDocument/2006/relationships/hyperlink"/><Relationship Id="rId1146" Target="https%3A%2F%2Fwww.webofscience.com%2Fwos%2Fwoscc%2Ffull-record%2FWOS%3A001799743100001" TargetMode="External" Type="http://schemas.openxmlformats.org/officeDocument/2006/relationships/hyperlink"/><Relationship Id="rId1147" Target="http%3A%2F%2Fdx.doi.org%2F10.3390%2Flife15020211" TargetMode="External" Type="http://schemas.openxmlformats.org/officeDocument/2006/relationships/hyperlink"/><Relationship Id="rId1148" Target="https%3A%2F%2Fwww.webofscience.com%2Fwos%2Fwoscc%2Ffull-record%2FWOS%3A001431012600001" TargetMode="External" Type="http://schemas.openxmlformats.org/officeDocument/2006/relationships/hyperlink"/><Relationship Id="rId1149" Target="http%3A%2F%2Fdx.doi.org%2F10.1186%2Fs12875-025-03044-0" TargetMode="External" Type="http://schemas.openxmlformats.org/officeDocument/2006/relationships/hyperlink"/><Relationship Id="rId115" Target="http%3A%2F%2Fdx.doi.org%2F10.3390%2Fdiagnostics15091177" TargetMode="External" Type="http://schemas.openxmlformats.org/officeDocument/2006/relationships/hyperlink"/><Relationship Id="rId1150" Target="https%3A%2F%2Fwww.webofscience.com%2Fwos%2Fwoscc%2Ffull-record%2FWOS%3A001618145100003" TargetMode="External" Type="http://schemas.openxmlformats.org/officeDocument/2006/relationships/hyperlink"/><Relationship Id="rId1151" Target="http%3A%2F%2Fdx.doi.org%2F10.3390%2Fjimaging10070167" TargetMode="External" Type="http://schemas.openxmlformats.org/officeDocument/2006/relationships/hyperlink"/><Relationship Id="rId1152" Target="https%3A%2F%2Fwww.webofscience.com%2Fwos%2Fwoscc%2Ffull-record%2FWOS%3A001277715800001" TargetMode="External" Type="http://schemas.openxmlformats.org/officeDocument/2006/relationships/hyperlink"/><Relationship Id="rId1153" Target="http%3A%2F%2Fdx.doi.org%2F10.37765%2Fajmc.2024.89555" TargetMode="External" Type="http://schemas.openxmlformats.org/officeDocument/2006/relationships/hyperlink"/><Relationship Id="rId1154" Target="https%3A%2F%2Fwww.webofscience.com%2Fwos%2Fwoscc%2Ffull-record%2FWOS%3A001324545400001" TargetMode="External" Type="http://schemas.openxmlformats.org/officeDocument/2006/relationships/hyperlink"/><Relationship Id="rId1155" Target="http%3A%2F%2Fdx.doi.org%2F10.1080%2F19396368.2025.2560839" TargetMode="External" Type="http://schemas.openxmlformats.org/officeDocument/2006/relationships/hyperlink"/><Relationship Id="rId1156" Target="https%3A%2F%2Fwww.webofscience.com%2Fwos%2Fwoscc%2Ffull-record%2FWOS%3A001574994200001" TargetMode="External" Type="http://schemas.openxmlformats.org/officeDocument/2006/relationships/hyperlink"/><Relationship Id="rId1157" Target="http%3A%2F%2Fdx.doi.org%2F10.3390%2Fbioengineering13030360" TargetMode="External" Type="http://schemas.openxmlformats.org/officeDocument/2006/relationships/hyperlink"/><Relationship Id="rId1158" Target="https%3A%2F%2Fwww.webofscience.com%2Fwos%2Fwoscc%2Ffull-record%2FWOS%3A001727074500001" TargetMode="External" Type="http://schemas.openxmlformats.org/officeDocument/2006/relationships/hyperlink"/><Relationship Id="rId1159" Target="http%3A%2F%2Fdx.doi.org%2F10.1080%2F20905998.2026.2694227" TargetMode="External" Type="http://schemas.openxmlformats.org/officeDocument/2006/relationships/hyperlink"/><Relationship Id="rId116" Target="https%3A%2F%2Fwww.webofscience.com%2Fwos%2Fwoscc%2Ffull-record%2FWOS%3A001486340600001" TargetMode="External" Type="http://schemas.openxmlformats.org/officeDocument/2006/relationships/hyperlink"/><Relationship Id="rId1160" Target="https%3A%2F%2Fwww.webofscience.com%2Fwos%2Fwoscc%2Ffull-record%2FWOS%3A001801610500001" TargetMode="External" Type="http://schemas.openxmlformats.org/officeDocument/2006/relationships/hyperlink"/><Relationship Id="rId1161" Target="http%3A%2F%2Fdx.doi.org%2F10.1007%2Fs00146-025-02603-4" TargetMode="External" Type="http://schemas.openxmlformats.org/officeDocument/2006/relationships/hyperlink"/><Relationship Id="rId1162" Target="https%3A%2F%2Fwww.webofscience.com%2Fwos%2Fwoscc%2Ffull-record%2FWOS%3A001573812400001" TargetMode="External" Type="http://schemas.openxmlformats.org/officeDocument/2006/relationships/hyperlink"/><Relationship Id="rId1163" Target="http%3A%2F%2Fdx.doi.org%2F10.1017%2FS0892679426100343" TargetMode="External" Type="http://schemas.openxmlformats.org/officeDocument/2006/relationships/hyperlink"/><Relationship Id="rId1164" Target="https%3A%2F%2Fwww.webofscience.com%2Fwos%2Fwoscc%2Ffull-record%2FWOS%3A001699106300009" TargetMode="External" Type="http://schemas.openxmlformats.org/officeDocument/2006/relationships/hyperlink"/><Relationship Id="rId1165" Target="http%3A%2F%2Fdx.doi.org%2F10.1007%2Fs00330-026-12666-6" TargetMode="External" Type="http://schemas.openxmlformats.org/officeDocument/2006/relationships/hyperlink"/><Relationship Id="rId1166" Target="https%3A%2F%2Fwww.webofscience.com%2Fwos%2Fwoscc%2Ffull-record%2FWOS%3A001779977400001" TargetMode="External" Type="http://schemas.openxmlformats.org/officeDocument/2006/relationships/hyperlink"/><Relationship Id="rId1167" Target="http%3A%2F%2Fdx.doi.org%2F10.3390%2Finfo17050442" TargetMode="External" Type="http://schemas.openxmlformats.org/officeDocument/2006/relationships/hyperlink"/><Relationship Id="rId1168" Target="https%3A%2F%2Fwww.webofscience.com%2Fwos%2Fwoscc%2Ffull-record%2FWOS%3A001774708000001" TargetMode="External" Type="http://schemas.openxmlformats.org/officeDocument/2006/relationships/hyperlink"/><Relationship Id="rId1169" Target="http%3A%2F%2Fdx.doi.org%2F10.1177%2F19322968241253568" TargetMode="External" Type="http://schemas.openxmlformats.org/officeDocument/2006/relationships/hyperlink"/><Relationship Id="rId117" Target="http%3A%2F%2Fdx.doi.org%2F10.1093%2Fjlb%2Flsag003" TargetMode="External" Type="http://schemas.openxmlformats.org/officeDocument/2006/relationships/hyperlink"/><Relationship Id="rId1170" Target="https%3A%2F%2Fwww.webofscience.com%2Fwos%2Fwoscc%2Ffull-record%2FWOS%3A001228135600001" TargetMode="External" Type="http://schemas.openxmlformats.org/officeDocument/2006/relationships/hyperlink"/><Relationship Id="rId1171" Target="http%3A%2F%2Fdx.doi.org%2F10.1016%2Fj.ijmedinf.2025.106005" TargetMode="External" Type="http://schemas.openxmlformats.org/officeDocument/2006/relationships/hyperlink"/><Relationship Id="rId1172" Target="https%3A%2F%2Fwww.webofscience.com%2Fwos%2Fwoscc%2Ffull-record%2FWOS%3A001508626400001" TargetMode="External" Type="http://schemas.openxmlformats.org/officeDocument/2006/relationships/hyperlink"/><Relationship Id="rId1173" Target="http%3A%2F%2Fdx.doi.org%2F10.3390%2Fhealthcare14060701" TargetMode="External" Type="http://schemas.openxmlformats.org/officeDocument/2006/relationships/hyperlink"/><Relationship Id="rId1174" Target="https%3A%2F%2Fwww.webofscience.com%2Fwos%2Fwoscc%2Ffull-record%2FWOS%3A001725481600001" TargetMode="External" Type="http://schemas.openxmlformats.org/officeDocument/2006/relationships/hyperlink"/><Relationship Id="rId1175" Target="http%3A%2F%2Fdx.doi.org%2F10.1371%2Fjournal.pone.0308015" TargetMode="External" Type="http://schemas.openxmlformats.org/officeDocument/2006/relationships/hyperlink"/><Relationship Id="rId1176" Target="https%3A%2F%2Fwww.webofscience.com%2Fwos%2Fwoscc%2Ffull-record%2FWOS%3A001371910800012" TargetMode="External" Type="http://schemas.openxmlformats.org/officeDocument/2006/relationships/hyperlink"/><Relationship Id="rId1177" Target="http%3A%2F%2Fdx.doi.org%2F10.3390%2Fdiabetology7050099" TargetMode="External" Type="http://schemas.openxmlformats.org/officeDocument/2006/relationships/hyperlink"/><Relationship Id="rId1178" Target="https%3A%2F%2Fwww.webofscience.com%2Fwos%2Fwoscc%2Ffull-record%2FWOS%3A001777259900001" TargetMode="External" Type="http://schemas.openxmlformats.org/officeDocument/2006/relationships/hyperlink"/><Relationship Id="rId1179" Target="http%3A%2F%2Fdx.doi.org%2F10.1049%2Fcit2.12385" TargetMode="External" Type="http://schemas.openxmlformats.org/officeDocument/2006/relationships/hyperlink"/><Relationship Id="rId118" Target="https%3A%2F%2Fwww.webofscience.com%2Fwos%2Fwoscc%2Ffull-record%2FWOS%3A001788051100001" TargetMode="External" Type="http://schemas.openxmlformats.org/officeDocument/2006/relationships/hyperlink"/><Relationship Id="rId1180" Target="https%3A%2F%2Fwww.webofscience.com%2Fwos%2Fwoscc%2Ffull-record%2FWOS%3A001330834500001" TargetMode="External" Type="http://schemas.openxmlformats.org/officeDocument/2006/relationships/hyperlink"/><Relationship Id="rId1181" Target="http%3A%2F%2Fdx.doi.org%2F10.1038%2Fs41415-024-7788-7" TargetMode="External" Type="http://schemas.openxmlformats.org/officeDocument/2006/relationships/hyperlink"/><Relationship Id="rId1182" Target="https%3A%2F%2Fwww.webofscience.com%2Fwos%2Fwoscc%2Ffull-record%2FWOS%3A001403163700031" TargetMode="External" Type="http://schemas.openxmlformats.org/officeDocument/2006/relationships/hyperlink"/><Relationship Id="rId1183" Target="http%3A%2F%2Fdx.doi.org%2F10.1016%2Fj.ijmedinf.2025.106125" TargetMode="External" Type="http://schemas.openxmlformats.org/officeDocument/2006/relationships/hyperlink"/><Relationship Id="rId1184" Target="https%3A%2F%2Fwww.webofscience.com%2Fwos%2Fwoscc%2Ffull-record%2FWOS%3A001593323500001" TargetMode="External" Type="http://schemas.openxmlformats.org/officeDocument/2006/relationships/hyperlink"/><Relationship Id="rId1185" Target="http%3A%2F%2Fdx.doi.org%2F10.2196%2F68196" TargetMode="External" Type="http://schemas.openxmlformats.org/officeDocument/2006/relationships/hyperlink"/><Relationship Id="rId1186" Target="https%3A%2F%2Fwww.webofscience.com%2Fwos%2Fwoscc%2Ffull-record%2FWOS%3A001699397000001" TargetMode="External" Type="http://schemas.openxmlformats.org/officeDocument/2006/relationships/hyperlink"/><Relationship Id="rId1187" Target="http%3A%2F%2Fdx.doi.org%2F10.1109%2FACCESS.2025.3631544" TargetMode="External" Type="http://schemas.openxmlformats.org/officeDocument/2006/relationships/hyperlink"/><Relationship Id="rId1188" Target="https%3A%2F%2Fwww.webofscience.com%2Fwos%2Fwoscc%2Ffull-record%2FWOS%3A001631894000029" TargetMode="External" Type="http://schemas.openxmlformats.org/officeDocument/2006/relationships/hyperlink"/><Relationship Id="rId1189" Target="http%3A%2F%2Fdx.doi.org%2F10.1007%2Fs10044-026-01633-y" TargetMode="External" Type="http://schemas.openxmlformats.org/officeDocument/2006/relationships/hyperlink"/><Relationship Id="rId119" Target="http%3A%2F%2Fdx.doi.org%2F10.4415%2FANN_26_01_11" TargetMode="External" Type="http://schemas.openxmlformats.org/officeDocument/2006/relationships/hyperlink"/><Relationship Id="rId1190" Target="https%3A%2F%2Fwww.webofscience.com%2Fwos%2Fwoscc%2Ffull-record%2FWOS%3A001693238800005" TargetMode="External" Type="http://schemas.openxmlformats.org/officeDocument/2006/relationships/hyperlink"/><Relationship Id="rId1191" Target="http%3A%2F%2Fdx.doi.org%2F10.1016%2Fj.bspc.2025.108210" TargetMode="External" Type="http://schemas.openxmlformats.org/officeDocument/2006/relationships/hyperlink"/><Relationship Id="rId1192" Target="https%3A%2F%2Fwww.webofscience.com%2Fwos%2Fwoscc%2Ffull-record%2FWOS%3A001513617800005" TargetMode="External" Type="http://schemas.openxmlformats.org/officeDocument/2006/relationships/hyperlink"/><Relationship Id="rId1193" Target="http%3A%2F%2Fdx.doi.org%2F10.1016%2Fj.media.2025.103856" TargetMode="External" Type="http://schemas.openxmlformats.org/officeDocument/2006/relationships/hyperlink"/><Relationship Id="rId1194" Target="https%3A%2F%2Fwww.webofscience.com%2Fwos%2Fwoscc%2Ffull-record%2FWOS%3A001619272900002" TargetMode="External" Type="http://schemas.openxmlformats.org/officeDocument/2006/relationships/hyperlink"/><Relationship Id="rId1195" Target="http%3A%2F%2Fdx.doi.org%2F10.3390%2Fcomputers15060361" TargetMode="External" Type="http://schemas.openxmlformats.org/officeDocument/2006/relationships/hyperlink"/><Relationship Id="rId1196" Target="https%3A%2F%2Fwww.webofscience.com%2Fwos%2Fwoscc%2Ffull-record%2FWOS%3A001802023700001" TargetMode="External" Type="http://schemas.openxmlformats.org/officeDocument/2006/relationships/hyperlink"/><Relationship Id="rId1197" Target="http%3A%2F%2Fdx.doi.org%2F10.1109%2FJIOT.2022.3203249" TargetMode="External" Type="http://schemas.openxmlformats.org/officeDocument/2006/relationships/hyperlink"/><Relationship Id="rId1198" Target="https%3A%2F%2Fwww.webofscience.com%2Fwos%2Fwoscc%2Ffull-record%2FWOS%3A000966879600001" TargetMode="External" Type="http://schemas.openxmlformats.org/officeDocument/2006/relationships/hyperlink"/><Relationship Id="rId1199" Target="http%3A%2F%2Fdx.doi.org%2F10.1177%2F20552076261429671" TargetMode="External" Type="http://schemas.openxmlformats.org/officeDocument/2006/relationships/hyperlink"/><Relationship Id="rId12" Target="https%3A%2F%2Fwww.webofscience.com%2Fwos%2Fwoscc%2Ffull-record%2FWOS%3A001419507400001" TargetMode="External" Type="http://schemas.openxmlformats.org/officeDocument/2006/relationships/hyperlink"/><Relationship Id="rId120" Target="https%3A%2F%2Fwww.webofscience.com%2Fwos%2Fwoscc%2Ffull-record%2FWOS%3A001730891500011" TargetMode="External" Type="http://schemas.openxmlformats.org/officeDocument/2006/relationships/hyperlink"/><Relationship Id="rId1200" Target="https%3A%2F%2Fwww.webofscience.com%2Fwos%2Fwoscc%2Ffull-record%2FWOS%3A001704427100001" TargetMode="External" Type="http://schemas.openxmlformats.org/officeDocument/2006/relationships/hyperlink"/><Relationship Id="rId1201" Target="http%3A%2F%2Fdx.doi.org%2F10.1007%2Fs00203-026-05005-2" TargetMode="External" Type="http://schemas.openxmlformats.org/officeDocument/2006/relationships/hyperlink"/><Relationship Id="rId1202" Target="https%3A%2F%2Fwww.webofscience.com%2Fwos%2Fwoscc%2Ffull-record%2FWOS%3A001799940700005" TargetMode="External" Type="http://schemas.openxmlformats.org/officeDocument/2006/relationships/hyperlink"/><Relationship Id="rId1203" Target="http%3A%2F%2Fdx.doi.org%2F10.1007%2Fs13369-026-11350-7" TargetMode="External" Type="http://schemas.openxmlformats.org/officeDocument/2006/relationships/hyperlink"/><Relationship Id="rId1204" Target="https%3A%2F%2Fwww.webofscience.com%2Fwos%2Fwoscc%2Ffull-record%2FWOS%3A001762590400001" TargetMode="External" Type="http://schemas.openxmlformats.org/officeDocument/2006/relationships/hyperlink"/><Relationship Id="rId1205" Target="http%3A%2F%2Fdx.doi.org%2F10.1038%2Fs41598-024-70165-4" TargetMode="External" Type="http://schemas.openxmlformats.org/officeDocument/2006/relationships/hyperlink"/><Relationship Id="rId1206" Target="https%3A%2F%2Fwww.webofscience.com%2Fwos%2Fwoscc%2Ffull-record%2FWOS%3A001334500800020" TargetMode="External" Type="http://schemas.openxmlformats.org/officeDocument/2006/relationships/hyperlink"/><Relationship Id="rId1207" Target="http%3A%2F%2Fdx.doi.org%2F10.1186%2Fs12874-024-02231-4" TargetMode="External" Type="http://schemas.openxmlformats.org/officeDocument/2006/relationships/hyperlink"/><Relationship Id="rId1208" Target="https%3A%2F%2Fwww.webofscience.com%2Fwos%2Fwoscc%2Ffull-record%2FWOS%3A001227040500001" TargetMode="External" Type="http://schemas.openxmlformats.org/officeDocument/2006/relationships/hyperlink"/><Relationship Id="rId1209" Target="http%3A%2F%2Fdx.doi.org%2F10.2478%2Facss-2025-0002" TargetMode="External" Type="http://schemas.openxmlformats.org/officeDocument/2006/relationships/hyperlink"/><Relationship Id="rId121" Target="http%3A%2F%2Fdx.doi.org%2F10.1007%2Fs10207-024-00813-3" TargetMode="External" Type="http://schemas.openxmlformats.org/officeDocument/2006/relationships/hyperlink"/><Relationship Id="rId1210" Target="https%3A%2F%2Fwww.webofscience.com%2Fwos%2Fwoscc%2Ffull-record%2FWOS%3A001400893000001" TargetMode="External" Type="http://schemas.openxmlformats.org/officeDocument/2006/relationships/hyperlink"/><Relationship Id="rId1211" Target="http%3A%2F%2Fdx.doi.org%2F10.1136%2Fbmjopen-2025-101921" TargetMode="External" Type="http://schemas.openxmlformats.org/officeDocument/2006/relationships/hyperlink"/><Relationship Id="rId1212" Target="https%3A%2F%2Fwww.webofscience.com%2Fwos%2Fwoscc%2Ffull-record%2FWOS%3A001609397100001" TargetMode="External" Type="http://schemas.openxmlformats.org/officeDocument/2006/relationships/hyperlink"/><Relationship Id="rId1213" Target="http%3A%2F%2Fdx.doi.org%2F10.3389%2Ffrai.2025.1627078" TargetMode="External" Type="http://schemas.openxmlformats.org/officeDocument/2006/relationships/hyperlink"/><Relationship Id="rId1214" Target="https%3A%2F%2Fwww.webofscience.com%2Fwos%2Fwoscc%2Ffull-record%2FWOS%3A001578227800001" TargetMode="External" Type="http://schemas.openxmlformats.org/officeDocument/2006/relationships/hyperlink"/><Relationship Id="rId1215" Target="http%3A%2F%2Fdx.doi.org%2F10.1007%2Fs42452-025-07071-5" TargetMode="External" Type="http://schemas.openxmlformats.org/officeDocument/2006/relationships/hyperlink"/><Relationship Id="rId1216" Target="https%3A%2F%2Fwww.webofscience.com%2Fwos%2Fwoscc%2Ffull-record%2FWOS%3A001487375600003" TargetMode="External" Type="http://schemas.openxmlformats.org/officeDocument/2006/relationships/hyperlink"/><Relationship Id="rId1217" Target="http%3A%2F%2Fdx.doi.org%2F10.1109%2FACCESS.2026.3688620" TargetMode="External" Type="http://schemas.openxmlformats.org/officeDocument/2006/relationships/hyperlink"/><Relationship Id="rId1218" Target="https%3A%2F%2Fwww.webofscience.com%2Fwos%2Fwoscc%2Ffull-record%2FWOS%3A001758066600010" TargetMode="External" Type="http://schemas.openxmlformats.org/officeDocument/2006/relationships/hyperlink"/><Relationship Id="rId1219" Target="http%3A%2F%2Fdx.doi.org%2F10.3390%2Fforecast7040078" TargetMode="External" Type="http://schemas.openxmlformats.org/officeDocument/2006/relationships/hyperlink"/><Relationship Id="rId122" Target="https%3A%2F%2Fwww.webofscience.com%2Fwos%2Fwoscc%2Ffull-record%2FWOS%3A001196357600001" TargetMode="External" Type="http://schemas.openxmlformats.org/officeDocument/2006/relationships/hyperlink"/><Relationship Id="rId1220" Target="https%3A%2F%2Fwww.webofscience.com%2Fwos%2Fwoscc%2Ffull-record%2FWOS%3A001647241000001" TargetMode="External" Type="http://schemas.openxmlformats.org/officeDocument/2006/relationships/hyperlink"/><Relationship Id="rId1221" Target="http%3A%2F%2Fdx.doi.org%2F10.1016%2Fj.ijmedinf.2026.106476" TargetMode="External" Type="http://schemas.openxmlformats.org/officeDocument/2006/relationships/hyperlink"/><Relationship Id="rId1222" Target="https%3A%2F%2Fwww.webofscience.com%2Fwos%2Fwoscc%2Ffull-record%2FWOS%3A001768905600001" TargetMode="External" Type="http://schemas.openxmlformats.org/officeDocument/2006/relationships/hyperlink"/><Relationship Id="rId1223" Target="http%3A%2F%2Fdx.doi.org%2F10.1016%2Fj.mex.2025.103744" TargetMode="External" Type="http://schemas.openxmlformats.org/officeDocument/2006/relationships/hyperlink"/><Relationship Id="rId1224" Target="https%3A%2F%2Fwww.webofscience.com%2Fwos%2Fwoscc%2Ffull-record%2FWOS%3A001634474000002" TargetMode="External" Type="http://schemas.openxmlformats.org/officeDocument/2006/relationships/hyperlink"/><Relationship Id="rId1225" Target="http%3A%2F%2Fdx.doi.org%2F10.3390%2Fdiagnostics12092132" TargetMode="External" Type="http://schemas.openxmlformats.org/officeDocument/2006/relationships/hyperlink"/><Relationship Id="rId1226" Target="https%3A%2F%2Fwww.webofscience.com%2Fwos%2Fwoscc%2Ffull-record%2FWOS%3A000856328000001" TargetMode="External" Type="http://schemas.openxmlformats.org/officeDocument/2006/relationships/hyperlink"/><Relationship Id="rId1227" Target="http%3A%2F%2Fdx.doi.org%2F10.1007%2Fs11548-026-03694-0" TargetMode="External" Type="http://schemas.openxmlformats.org/officeDocument/2006/relationships/hyperlink"/><Relationship Id="rId1228" Target="https%3A%2F%2Fwww.webofscience.com%2Fwos%2Fwoscc%2Ffull-record%2FWOS%3A001767376800001" TargetMode="External" Type="http://schemas.openxmlformats.org/officeDocument/2006/relationships/hyperlink"/><Relationship Id="rId1229" Target="http%3A%2F%2Fdx.doi.org%2F10.1038%2Fs41598-026-47815-w" TargetMode="External" Type="http://schemas.openxmlformats.org/officeDocument/2006/relationships/hyperlink"/><Relationship Id="rId123" Target="http%3A%2F%2Fdx.doi.org%2F10.1021%2Facsomega.5c07750" TargetMode="External" Type="http://schemas.openxmlformats.org/officeDocument/2006/relationships/hyperlink"/><Relationship Id="rId1230" Target="https%3A%2F%2Fwww.webofscience.com%2Fwos%2Fwoscc%2Ffull-record%2FWOS%3A001789003100028" TargetMode="External" Type="http://schemas.openxmlformats.org/officeDocument/2006/relationships/hyperlink"/><Relationship Id="rId1231" Target="http%3A%2F%2Fdx.doi.org%2F10.1016%2Fj.nicl.2024.103638" TargetMode="External" Type="http://schemas.openxmlformats.org/officeDocument/2006/relationships/hyperlink"/><Relationship Id="rId1232" Target="https%3A%2F%2Fwww.webofscience.com%2Fwos%2Fwoscc%2Ffull-record%2FWOS%3A001270516600001" TargetMode="External" Type="http://schemas.openxmlformats.org/officeDocument/2006/relationships/hyperlink"/><Relationship Id="rId1233" Target="http%3A%2F%2Fdx.doi.org%2F10.3389%2Ffmed.2025.1625183" TargetMode="External" Type="http://schemas.openxmlformats.org/officeDocument/2006/relationships/hyperlink"/><Relationship Id="rId1234" Target="https%3A%2F%2Fwww.webofscience.com%2Fwos%2Fwoscc%2Ffull-record%2FWOS%3A001577620000001" TargetMode="External" Type="http://schemas.openxmlformats.org/officeDocument/2006/relationships/hyperlink"/><Relationship Id="rId1235" Target="http%3A%2F%2Fdx.doi.org%2F10.1007%2Fs12975-026-01411-2" TargetMode="External" Type="http://schemas.openxmlformats.org/officeDocument/2006/relationships/hyperlink"/><Relationship Id="rId1236" Target="https%3A%2F%2Fwww.webofscience.com%2Fwos%2Fwoscc%2Ffull-record%2FWOS%3A001697944700001" TargetMode="External" Type="http://schemas.openxmlformats.org/officeDocument/2006/relationships/hyperlink"/><Relationship Id="rId1237" Target="http%3A%2F%2Fdx.doi.org%2F10.1108%2FJHOM-12-2025-0862" TargetMode="External" Type="http://schemas.openxmlformats.org/officeDocument/2006/relationships/hyperlink"/><Relationship Id="rId1238" Target="https%3A%2F%2Fwww.webofscience.com%2Fwos%2Fwoscc%2Ffull-record%2FWOS%3A001721676600001" TargetMode="External" Type="http://schemas.openxmlformats.org/officeDocument/2006/relationships/hyperlink"/><Relationship Id="rId1239" Target="http%3A%2F%2Fdx.doi.org%2F10.1109%2FACCESS.2026.3676942" TargetMode="External" Type="http://schemas.openxmlformats.org/officeDocument/2006/relationships/hyperlink"/><Relationship Id="rId124" Target="https%3A%2F%2Fwww.webofscience.com%2Fwos%2Fwoscc%2Ffull-record%2FWOS%3A001617316000001" TargetMode="External" Type="http://schemas.openxmlformats.org/officeDocument/2006/relationships/hyperlink"/><Relationship Id="rId1240" Target="https%3A%2F%2Fwww.webofscience.com%2Fwos%2Fwoscc%2Ffull-record%2FWOS%3A001732696000011" TargetMode="External" Type="http://schemas.openxmlformats.org/officeDocument/2006/relationships/hyperlink"/><Relationship Id="rId1241" Target="http%3A%2F%2Fdx.doi.org%2F10.1016%2Fj.atech.2026.101862" TargetMode="External" Type="http://schemas.openxmlformats.org/officeDocument/2006/relationships/hyperlink"/><Relationship Id="rId1242" Target="https%3A%2F%2Fwww.webofscience.com%2Fwos%2Fwoscc%2Ffull-record%2FWOS%3A001719458600001" TargetMode="External" Type="http://schemas.openxmlformats.org/officeDocument/2006/relationships/hyperlink"/><Relationship Id="rId1243" Target="http%3A%2F%2Fdx.doi.org%2F10.1021%2Fjasms.3c00403" TargetMode="External" Type="http://schemas.openxmlformats.org/officeDocument/2006/relationships/hyperlink"/><Relationship Id="rId1244" Target="https%3A%2F%2Fwww.webofscience.com%2Fwos%2Fwoscc%2Ffull-record%2FWOS%3A001241874900001" TargetMode="External" Type="http://schemas.openxmlformats.org/officeDocument/2006/relationships/hyperlink"/><Relationship Id="rId1245" Target="http%3A%2F%2Fdx.doi.org%2F10.1093%2Fbiomethods%2Fbpaf051" TargetMode="External" Type="http://schemas.openxmlformats.org/officeDocument/2006/relationships/hyperlink"/><Relationship Id="rId1246" Target="https%3A%2F%2Fwww.webofscience.com%2Fwos%2Fwoscc%2Ffull-record%2FWOS%3A001555854900001" TargetMode="External" Type="http://schemas.openxmlformats.org/officeDocument/2006/relationships/hyperlink"/><Relationship Id="rId1247" Target="http%3A%2F%2Fdx.doi.org%2F10.1002%2Facm2.70425" TargetMode="External" Type="http://schemas.openxmlformats.org/officeDocument/2006/relationships/hyperlink"/><Relationship Id="rId1248" Target="https%3A%2F%2Fwww.webofscience.com%2Fwos%2Fwoscc%2Ffull-record%2FWOS%3A001642680500001" TargetMode="External" Type="http://schemas.openxmlformats.org/officeDocument/2006/relationships/hyperlink"/><Relationship Id="rId1249" Target="http%3A%2F%2Fdx.doi.org%2F10.1371%2Fjournal.pone.0333418" TargetMode="External" Type="http://schemas.openxmlformats.org/officeDocument/2006/relationships/hyperlink"/><Relationship Id="rId125" Target="http%3A%2F%2Fdx.doi.org%2F10.1038%2Fs41598-025-14901-4" TargetMode="External" Type="http://schemas.openxmlformats.org/officeDocument/2006/relationships/hyperlink"/><Relationship Id="rId1250" Target="https%3A%2F%2Fwww.webofscience.com%2Fwos%2Fwoscc%2Ffull-record%2FWOS%3A001606905600020" TargetMode="External" Type="http://schemas.openxmlformats.org/officeDocument/2006/relationships/hyperlink"/><Relationship Id="rId1251" Target="http%3A%2F%2Fdx.doi.org%2F10.1080%2F02533839.2026.2662929" TargetMode="External" Type="http://schemas.openxmlformats.org/officeDocument/2006/relationships/hyperlink"/><Relationship Id="rId1252" Target="https%3A%2F%2Fwww.webofscience.com%2Fwos%2Fwoscc%2Ffull-record%2FWOS%3A001753701400001" TargetMode="External" Type="http://schemas.openxmlformats.org/officeDocument/2006/relationships/hyperlink"/><Relationship Id="rId1253" Target="http%3A%2F%2Fdx.doi.org%2F10.1038%2Fs41598-025-93376-9" TargetMode="External" Type="http://schemas.openxmlformats.org/officeDocument/2006/relationships/hyperlink"/><Relationship Id="rId1254" Target="https%3A%2F%2Fwww.webofscience.com%2Fwos%2Fwoscc%2Ffull-record%2FWOS%3A001444883200030" TargetMode="External" Type="http://schemas.openxmlformats.org/officeDocument/2006/relationships/hyperlink"/><Relationship Id="rId1255" Target="http%3A%2F%2Fdx.doi.org%2F10.1109%2FACCESS.2025.3629532" TargetMode="External" Type="http://schemas.openxmlformats.org/officeDocument/2006/relationships/hyperlink"/><Relationship Id="rId1256" Target="https%3A%2F%2Fwww.webofscience.com%2Fwos%2Fwoscc%2Ffull-record%2FWOS%3A001626465900036" TargetMode="External" Type="http://schemas.openxmlformats.org/officeDocument/2006/relationships/hyperlink"/><Relationship Id="rId1257" Target="http%3A%2F%2Fdx.doi.org%2F10.1200%2FCCI-24-00284" TargetMode="External" Type="http://schemas.openxmlformats.org/officeDocument/2006/relationships/hyperlink"/><Relationship Id="rId1258" Target="https%3A%2F%2Fwww.webofscience.com%2Fwos%2Fwoscc%2Ffull-record%2FWOS%3A001707922600001" TargetMode="External" Type="http://schemas.openxmlformats.org/officeDocument/2006/relationships/hyperlink"/><Relationship Id="rId1259" Target="http%3A%2F%2Fdx.doi.org%2F10.1186%2Fs12880-024-01394-2" TargetMode="External" Type="http://schemas.openxmlformats.org/officeDocument/2006/relationships/hyperlink"/><Relationship Id="rId126" Target="https%3A%2F%2Fwww.webofscience.com%2Fwos%2Fwoscc%2Ffull-record%2FWOS%3A001548663100035" TargetMode="External" Type="http://schemas.openxmlformats.org/officeDocument/2006/relationships/hyperlink"/><Relationship Id="rId1260" Target="https%3A%2F%2Fwww.webofscience.com%2Fwos%2Fwoscc%2Ffull-record%2FWOS%3A001287653900001" TargetMode="External" Type="http://schemas.openxmlformats.org/officeDocument/2006/relationships/hyperlink"/><Relationship Id="rId1261" Target="http%3A%2F%2Fdx.doi.org%2F10.1097%2FPTS.0000000000001428" TargetMode="External" Type="http://schemas.openxmlformats.org/officeDocument/2006/relationships/hyperlink"/><Relationship Id="rId1262" Target="https%3A%2F%2Fwww.webofscience.com%2Fwos%2Fwoscc%2Ffull-record%2FWOS%3A001696198200003" TargetMode="External" Type="http://schemas.openxmlformats.org/officeDocument/2006/relationships/hyperlink"/><Relationship Id="rId1263" Target="http%3A%2F%2Fdx.doi.org%2F10.1016%2Fj.jelectrocard.2023.09.012" TargetMode="External" Type="http://schemas.openxmlformats.org/officeDocument/2006/relationships/hyperlink"/><Relationship Id="rId1264" Target="https%3A%2F%2Fwww.webofscience.com%2Fwos%2Fwoscc%2Ffull-record%2FWOS%3A001103058400001" TargetMode="External" Type="http://schemas.openxmlformats.org/officeDocument/2006/relationships/hyperlink"/><Relationship Id="rId1265" Target="http%3A%2F%2Fdx.doi.org%2F10.1038%2Fs41746-025-02297-4" TargetMode="External" Type="http://schemas.openxmlformats.org/officeDocument/2006/relationships/hyperlink"/><Relationship Id="rId1266" Target="https%3A%2F%2Fwww.webofscience.com%2Fwos%2Fwoscc%2Ffull-record%2FWOS%3A001679396100001" TargetMode="External" Type="http://schemas.openxmlformats.org/officeDocument/2006/relationships/hyperlink"/><Relationship Id="rId1267" Target="http%3A%2F%2Fdx.doi.org%2F10.7860%2FJCDR%2F2026%2F84554.22732" TargetMode="External" Type="http://schemas.openxmlformats.org/officeDocument/2006/relationships/hyperlink"/><Relationship Id="rId1268" Target="https%3A%2F%2Fwww.webofscience.com%2Fwos%2Fwoscc%2Ffull-record%2FWOS%3A001720918500019" TargetMode="External" Type="http://schemas.openxmlformats.org/officeDocument/2006/relationships/hyperlink"/><Relationship Id="rId1269" Target="http%3A%2F%2Fdx.doi.org%2F10.32604%2Fcmes.2025.067195" TargetMode="External" Type="http://schemas.openxmlformats.org/officeDocument/2006/relationships/hyperlink"/><Relationship Id="rId127" Target="http%3A%2F%2Fdx.doi.org%2F10.1016%2Fj.knee.2025.06.012" TargetMode="External" Type="http://schemas.openxmlformats.org/officeDocument/2006/relationships/hyperlink"/><Relationship Id="rId1270" Target="https%3A%2F%2Fwww.webofscience.com%2Fwos%2Fwoscc%2Ffull-record%2FWOS%3A001545547800001" TargetMode="External" Type="http://schemas.openxmlformats.org/officeDocument/2006/relationships/hyperlink"/><Relationship Id="rId1271" Target="http%3A%2F%2Fdx.doi.org%2F10.1016%2Fj.teln.2025.08.015" TargetMode="External" Type="http://schemas.openxmlformats.org/officeDocument/2006/relationships/hyperlink"/><Relationship Id="rId1272" Target="https%3A%2F%2Fwww.webofscience.com%2Fwos%2Fwoscc%2Ffull-record%2FWOS%3A001656813100001" TargetMode="External" Type="http://schemas.openxmlformats.org/officeDocument/2006/relationships/hyperlink"/><Relationship Id="rId1273" Target="http%3A%2F%2Fdx.doi.org%2F10.1016%2Fj.jogc.2023.102277" TargetMode="External" Type="http://schemas.openxmlformats.org/officeDocument/2006/relationships/hyperlink"/><Relationship Id="rId1274" Target="https%3A%2F%2Fwww.webofscience.com%2Fwos%2Fwoscc%2Ffull-record%2FWOS%3A001223064800001" TargetMode="External" Type="http://schemas.openxmlformats.org/officeDocument/2006/relationships/hyperlink"/><Relationship Id="rId1275" Target="http%3A%2F%2Fdx.doi.org%2F10.1016%2Fj.cegh.2026.102426" TargetMode="External" Type="http://schemas.openxmlformats.org/officeDocument/2006/relationships/hyperlink"/><Relationship Id="rId1276" Target="https%3A%2F%2Fwww.webofscience.com%2Fwos%2Fwoscc%2Ffull-record%2FWOS%3A001830406300001" TargetMode="External" Type="http://schemas.openxmlformats.org/officeDocument/2006/relationships/hyperlink"/><Relationship Id="rId1277" Target="http%3A%2F%2Fdx.doi.org%2F10.1016%2Fj.nepr.2026.104756" TargetMode="External" Type="http://schemas.openxmlformats.org/officeDocument/2006/relationships/hyperlink"/><Relationship Id="rId1278" Target="https%3A%2F%2Fwww.webofscience.com%2Fwos%2Fwoscc%2Ffull-record%2FWOS%3A001686550400001" TargetMode="External" Type="http://schemas.openxmlformats.org/officeDocument/2006/relationships/hyperlink"/><Relationship Id="rId1279" Target="http%3A%2F%2Fdx.doi.org%2F10.3390%2Fhealthcare14040506" TargetMode="External" Type="http://schemas.openxmlformats.org/officeDocument/2006/relationships/hyperlink"/><Relationship Id="rId128" Target="https%3A%2F%2Fwww.webofscience.com%2Fwos%2Fwoscc%2Ffull-record%2FWOS%3A001528878700005" TargetMode="External" Type="http://schemas.openxmlformats.org/officeDocument/2006/relationships/hyperlink"/><Relationship Id="rId1280" Target="https%3A%2F%2Fwww.webofscience.com%2Fwos%2Fwoscc%2Ffull-record%2FWOS%3A001700201300001" TargetMode="External" Type="http://schemas.openxmlformats.org/officeDocument/2006/relationships/hyperlink"/><Relationship Id="rId1281" Target="http%3A%2F%2Fdx.doi.org%2F10.3390%2Finfo17030227" TargetMode="External" Type="http://schemas.openxmlformats.org/officeDocument/2006/relationships/hyperlink"/><Relationship Id="rId1282" Target="https%3A%2F%2Fwww.webofscience.com%2Fwos%2Fwoscc%2Ffull-record%2FWOS%3A001725649000001" TargetMode="External" Type="http://schemas.openxmlformats.org/officeDocument/2006/relationships/hyperlink"/><Relationship Id="rId1283" Target="http%3A%2F%2Fdx.doi.org%2F10.22034%2Fircmj.2026.554222.2521" TargetMode="External" Type="http://schemas.openxmlformats.org/officeDocument/2006/relationships/hyperlink"/><Relationship Id="rId1284" Target="https%3A%2F%2Fwww.webofscience.com%2Fwos%2Fwoscc%2Ffull-record%2FWOS%3A001824562300001" TargetMode="External" Type="http://schemas.openxmlformats.org/officeDocument/2006/relationships/hyperlink"/><Relationship Id="rId1285" Target="http%3A%2F%2Fdx.doi.org%2F10.2196%2F89005" TargetMode="External" Type="http://schemas.openxmlformats.org/officeDocument/2006/relationships/hyperlink"/><Relationship Id="rId1286" Target="https%3A%2F%2Fwww.webofscience.com%2Fwos%2Fwoscc%2Ffull-record%2FWOS%3A001782328100001" TargetMode="External" Type="http://schemas.openxmlformats.org/officeDocument/2006/relationships/hyperlink"/><Relationship Id="rId1287" Target="http%3A%2F%2Fdx.doi.org%2F10.1007%2Fs00066-026-02575-4" TargetMode="External" Type="http://schemas.openxmlformats.org/officeDocument/2006/relationships/hyperlink"/><Relationship Id="rId1288" Target="https%3A%2F%2Fwww.webofscience.com%2Fwos%2Fwoscc%2Ffull-record%2FWOS%3A001827552300001" TargetMode="External" Type="http://schemas.openxmlformats.org/officeDocument/2006/relationships/hyperlink"/><Relationship Id="rId1289" Target="http%3A%2F%2Fdx.doi.org%2F10.3390%2Fs26134247" TargetMode="External" Type="http://schemas.openxmlformats.org/officeDocument/2006/relationships/hyperlink"/><Relationship Id="rId129" Target="http%3A%2F%2Fdx.doi.org%2F10.1177%2F14604582241304730" TargetMode="External" Type="http://schemas.openxmlformats.org/officeDocument/2006/relationships/hyperlink"/><Relationship Id="rId1290" Target="https%3A%2F%2Fwww.webofscience.com%2Fwos%2Fwoscc%2Ffull-record%2FWOS%3A001817897200001" TargetMode="External" Type="http://schemas.openxmlformats.org/officeDocument/2006/relationships/hyperlink"/><Relationship Id="rId1291" Target="http%3A%2F%2Fdx.doi.org%2F10.1016%2Fj.imavis.2025.105553" TargetMode="External" Type="http://schemas.openxmlformats.org/officeDocument/2006/relationships/hyperlink"/><Relationship Id="rId1292" Target="https%3A%2F%2Fwww.webofscience.com%2Fwos%2Fwoscc%2Ffull-record%2FWOS%3A001475824700001" TargetMode="External" Type="http://schemas.openxmlformats.org/officeDocument/2006/relationships/hyperlink"/><Relationship Id="rId1293" Target="http%3A%2F%2Fdx.doi.org%2F10.1038%2Fs41746-025-01976-6" TargetMode="External" Type="http://schemas.openxmlformats.org/officeDocument/2006/relationships/hyperlink"/><Relationship Id="rId1294" Target="https%3A%2F%2Fwww.webofscience.com%2Fwos%2Fwoscc%2Ffull-record%2FWOS%3A001585619900001" TargetMode="External" Type="http://schemas.openxmlformats.org/officeDocument/2006/relationships/hyperlink"/><Relationship Id="rId1295" Target="http%3A%2F%2Fdx.doi.org%2F10.1186%2Fs12912-025-03458-2" TargetMode="External" Type="http://schemas.openxmlformats.org/officeDocument/2006/relationships/hyperlink"/><Relationship Id="rId1296" Target="https%3A%2F%2Fwww.webofscience.com%2Fwos%2Fwoscc%2Ffull-record%2FWOS%3A001522903000017" TargetMode="External" Type="http://schemas.openxmlformats.org/officeDocument/2006/relationships/hyperlink"/><Relationship Id="rId1297" Target="http%3A%2F%2Fdx.doi.org%2F10.1016%2Fj.neucom.2026.133868" TargetMode="External" Type="http://schemas.openxmlformats.org/officeDocument/2006/relationships/hyperlink"/><Relationship Id="rId1298" Target="https%3A%2F%2Fwww.webofscience.com%2Fwos%2Fwoscc%2Ffull-record%2FWOS%3A001777182100001" TargetMode="External" Type="http://schemas.openxmlformats.org/officeDocument/2006/relationships/hyperlink"/><Relationship Id="rId1299" Target="http%3A%2F%2Fdx.doi.org%2F10.3389%2Ffdgth.2026.1795488" TargetMode="External" Type="http://schemas.openxmlformats.org/officeDocument/2006/relationships/hyperlink"/><Relationship Id="rId13" Target="http%3A%2F%2Fdx.doi.org%2F10.3390%2Feconomies12050112" TargetMode="External" Type="http://schemas.openxmlformats.org/officeDocument/2006/relationships/hyperlink"/><Relationship Id="rId130" Target="https%3A%2F%2Fwww.webofscience.com%2Fwos%2Fwoscc%2Ffull-record%2FWOS%3A001382148600001" TargetMode="External" Type="http://schemas.openxmlformats.org/officeDocument/2006/relationships/hyperlink"/><Relationship Id="rId1300" Target="https%3A%2F%2Fwww.webofscience.com%2Fwos%2Fwoscc%2Ffull-record%2FWOS%3A001753905300001" TargetMode="External" Type="http://schemas.openxmlformats.org/officeDocument/2006/relationships/hyperlink"/><Relationship Id="rId1301" Target="http%3A%2F%2Fdx.doi.org%2F10.1007%2Fs11517-025-03436-5" TargetMode="External" Type="http://schemas.openxmlformats.org/officeDocument/2006/relationships/hyperlink"/><Relationship Id="rId1302" Target="https%3A%2F%2Fwww.webofscience.com%2Fwos%2Fwoscc%2Ffull-record%2FWOS%3A001566202200001" TargetMode="External" Type="http://schemas.openxmlformats.org/officeDocument/2006/relationships/hyperlink"/><Relationship Id="rId1303" Target="http%3A%2F%2Fdx.doi.org%2F10.3390%2Fbioengineering13050588" TargetMode="External" Type="http://schemas.openxmlformats.org/officeDocument/2006/relationships/hyperlink"/><Relationship Id="rId1304" Target="https%3A%2F%2Fwww.webofscience.com%2Fwos%2Fwoscc%2Ffull-record%2FWOS%3A001774930800001" TargetMode="External" Type="http://schemas.openxmlformats.org/officeDocument/2006/relationships/hyperlink"/><Relationship Id="rId1305" Target="http%3A%2F%2Fdx.doi.org%2F10.1038%2Fs41598-025-23447-4" TargetMode="External" Type="http://schemas.openxmlformats.org/officeDocument/2006/relationships/hyperlink"/><Relationship Id="rId1306" Target="https%3A%2F%2Fwww.webofscience.com%2Fwos%2Fwoscc%2Ffull-record%2FWOS%3A001615936800037" TargetMode="External" Type="http://schemas.openxmlformats.org/officeDocument/2006/relationships/hyperlink"/><Relationship Id="rId1307" Target="http%3A%2F%2Fdx.doi.org%2F10.1186%2Fs41235-026-00726-w" TargetMode="External" Type="http://schemas.openxmlformats.org/officeDocument/2006/relationships/hyperlink"/><Relationship Id="rId1308" Target="https%3A%2F%2Fwww.webofscience.com%2Fwos%2Fwoscc%2Ffull-record%2FWOS%3A001753852100001" TargetMode="External" Type="http://schemas.openxmlformats.org/officeDocument/2006/relationships/hyperlink"/><Relationship Id="rId1309" Target="http%3A%2F%2Fdx.doi.org%2F10.1016%2Fj.rico.2025.100647" TargetMode="External" Type="http://schemas.openxmlformats.org/officeDocument/2006/relationships/hyperlink"/><Relationship Id="rId131" Target="http%3A%2F%2Fdx.doi.org%2F10.3390%2Ftropicalmed11030073" TargetMode="External" Type="http://schemas.openxmlformats.org/officeDocument/2006/relationships/hyperlink"/><Relationship Id="rId1310" Target="https%3A%2F%2Fwww.webofscience.com%2Fwos%2Fwoscc%2Ffull-record%2FWOS%3A001661868900001" TargetMode="External" Type="http://schemas.openxmlformats.org/officeDocument/2006/relationships/hyperlink"/><Relationship Id="rId1311" Target="http%3A%2F%2Fdx.doi.org%2F10.1038%2Fs41598-025-19804-y" TargetMode="External" Type="http://schemas.openxmlformats.org/officeDocument/2006/relationships/hyperlink"/><Relationship Id="rId1312" Target="https%3A%2F%2Fwww.webofscience.com%2Fwos%2Fwoscc%2Ffull-record%2FWOS%3A001594840700018" TargetMode="External" Type="http://schemas.openxmlformats.org/officeDocument/2006/relationships/hyperlink"/><Relationship Id="rId1313" Target="http%3A%2F%2Fdx.doi.org%2F10.1186%2Fs12911-026-03553-7" TargetMode="External" Type="http://schemas.openxmlformats.org/officeDocument/2006/relationships/hyperlink"/><Relationship Id="rId1314" Target="https%3A%2F%2Fwww.webofscience.com%2Fwos%2Fwoscc%2Ffull-record%2FWOS%3A001773289800001" TargetMode="External" Type="http://schemas.openxmlformats.org/officeDocument/2006/relationships/hyperlink"/><Relationship Id="rId1315" Target="http%3A%2F%2Fdx.doi.org%2F10.29271%2Fjcpsp.2026.07.945" TargetMode="External" Type="http://schemas.openxmlformats.org/officeDocument/2006/relationships/hyperlink"/><Relationship Id="rId1316" Target="https%3A%2F%2Fwww.webofscience.com%2Fwos%2Fwoscc%2Ffull-record%2FWOS%3A001818945100020" TargetMode="External" Type="http://schemas.openxmlformats.org/officeDocument/2006/relationships/hyperlink"/><Relationship Id="rId1317" Target="http%3A%2F%2Fdx.doi.org%2F10.6004%2Fjnccn.2024.5009" TargetMode="External" Type="http://schemas.openxmlformats.org/officeDocument/2006/relationships/hyperlink"/><Relationship Id="rId1318" Target="https%3A%2F%2Fwww.webofscience.com%2Fwos%2Fwoscc%2Ffull-record%2FWOS%3A001276868500009" TargetMode="External" Type="http://schemas.openxmlformats.org/officeDocument/2006/relationships/hyperlink"/><Relationship Id="rId1319" Target="http%3A%2F%2Fdx.doi.org%2F10.17705%2F1CAIS.05218" TargetMode="External" Type="http://schemas.openxmlformats.org/officeDocument/2006/relationships/hyperlink"/><Relationship Id="rId132" Target="https%3A%2F%2Fwww.webofscience.com%2Fwos%2Fwoscc%2Ffull-record%2FWOS%3A001725251200001" TargetMode="External" Type="http://schemas.openxmlformats.org/officeDocument/2006/relationships/hyperlink"/><Relationship Id="rId1320" Target="https%3A%2F%2Fwww.webofscience.com%2Fwos%2Fwoscc%2Ffull-record%2FWOS%3A001022677400001" TargetMode="External" Type="http://schemas.openxmlformats.org/officeDocument/2006/relationships/hyperlink"/><Relationship Id="rId1321" Target="http%3A%2F%2Fdx.doi.org%2F10.1016%2Fj.jagp.2025.12.012" TargetMode="External" Type="http://schemas.openxmlformats.org/officeDocument/2006/relationships/hyperlink"/><Relationship Id="rId1322" Target="https%3A%2F%2Fwww.webofscience.com%2Fwos%2Fwoscc%2Ffull-record%2FWOS%3A001706693200001" TargetMode="External" Type="http://schemas.openxmlformats.org/officeDocument/2006/relationships/hyperlink"/><Relationship Id="rId1323" Target="https%3A%2F%2Fwww.webofscience.com%2Fwos%2Fwoscc%2Ffull-record%2FWOS%3A001695074700008" TargetMode="External" Type="http://schemas.openxmlformats.org/officeDocument/2006/relationships/hyperlink"/><Relationship Id="rId1324" Target="http%3A%2F%2Fdx.doi.org%2F10.3389%2Ffmolb.2024.1426964" TargetMode="External" Type="http://schemas.openxmlformats.org/officeDocument/2006/relationships/hyperlink"/><Relationship Id="rId1325" Target="https%3A%2F%2Fwww.webofscience.com%2Fwos%2Fwoscc%2Ffull-record%2FWOS%3A001386254400001" TargetMode="External" Type="http://schemas.openxmlformats.org/officeDocument/2006/relationships/hyperlink"/><Relationship Id="rId1326" Target="http%3A%2F%2Fdx.doi.org%2F10.1038%2Fs41598-024-57740-5" TargetMode="External" Type="http://schemas.openxmlformats.org/officeDocument/2006/relationships/hyperlink"/><Relationship Id="rId1327" Target="https%3A%2F%2Fwww.webofscience.com%2Fwos%2Fwoscc%2Ffull-record%2FWOS%3A001201413300021" TargetMode="External" Type="http://schemas.openxmlformats.org/officeDocument/2006/relationships/hyperlink"/><Relationship Id="rId1328" Target="http%3A%2F%2Fdx.doi.org%2F10.1002%2Fcpe.70739" TargetMode="External" Type="http://schemas.openxmlformats.org/officeDocument/2006/relationships/hyperlink"/><Relationship Id="rId1329" Target="https%3A%2F%2Fwww.webofscience.com%2Fwos%2Fwoscc%2Ffull-record%2FWOS%3A001788247200019" TargetMode="External" Type="http://schemas.openxmlformats.org/officeDocument/2006/relationships/hyperlink"/><Relationship Id="rId133" Target="http%3A%2F%2Fdx.doi.org%2F10.1016%2Fj.knosys.2025.114178" TargetMode="External" Type="http://schemas.openxmlformats.org/officeDocument/2006/relationships/hyperlink"/><Relationship Id="rId1330" Target="http%3A%2F%2Fdx.doi.org%2F10.1109%2FACCESS.2025.3598276" TargetMode="External" Type="http://schemas.openxmlformats.org/officeDocument/2006/relationships/hyperlink"/><Relationship Id="rId1331" Target="https%3A%2F%2Fwww.webofscience.com%2Fwos%2Fwoscc%2Ffull-record%2FWOS%3A001562578800023" TargetMode="External" Type="http://schemas.openxmlformats.org/officeDocument/2006/relationships/hyperlink"/><Relationship Id="rId1332" Target="http%3A%2F%2Fdx.doi.org%2F10.1016%2Fj.eswa.2023.120130" TargetMode="External" Type="http://schemas.openxmlformats.org/officeDocument/2006/relationships/hyperlink"/><Relationship Id="rId1333" Target="https%3A%2F%2Fwww.webofscience.com%2Fwos%2Fwoscc%2Ffull-record%2FWOS%3A000983733400001" TargetMode="External" Type="http://schemas.openxmlformats.org/officeDocument/2006/relationships/hyperlink"/><Relationship Id="rId1334" Target="http%3A%2F%2Fdx.doi.org%2F10.1080%2F01616412.2026.2661743" TargetMode="External" Type="http://schemas.openxmlformats.org/officeDocument/2006/relationships/hyperlink"/><Relationship Id="rId1335" Target="https%3A%2F%2Fwww.webofscience.com%2Fwos%2Fwoscc%2Ffull-record%2FWOS%3A001746465200001" TargetMode="External" Type="http://schemas.openxmlformats.org/officeDocument/2006/relationships/hyperlink"/><Relationship Id="rId1336" Target="http%3A%2F%2Fdx.doi.org%2F10.1002%2Flrh2.70091" TargetMode="External" Type="http://schemas.openxmlformats.org/officeDocument/2006/relationships/hyperlink"/><Relationship Id="rId1337" Target="https%3A%2F%2Fwww.webofscience.com%2Fwos%2Fwoscc%2Ffull-record%2FWOS%3A001778559200001" TargetMode="External" Type="http://schemas.openxmlformats.org/officeDocument/2006/relationships/hyperlink"/><Relationship Id="rId1338" Target="http%3A%2F%2Fdx.doi.org%2F10.32604%2Fcmes.2024.050760" TargetMode="External" Type="http://schemas.openxmlformats.org/officeDocument/2006/relationships/hyperlink"/><Relationship Id="rId1339" Target="https%3A%2F%2Fwww.webofscience.com%2Fwos%2Fwoscc%2Ffull-record%2FWOS%3A001241483700001" TargetMode="External" Type="http://schemas.openxmlformats.org/officeDocument/2006/relationships/hyperlink"/><Relationship Id="rId134" Target="https%3A%2F%2Fwww.webofscience.com%2Fwos%2Fwoscc%2Ffull-record%2FWOS%3A001554461300002" TargetMode="External" Type="http://schemas.openxmlformats.org/officeDocument/2006/relationships/hyperlink"/><Relationship Id="rId1340" Target="http%3A%2F%2Fdx.doi.org%2F10.3390%2Fdj14020128" TargetMode="External" Type="http://schemas.openxmlformats.org/officeDocument/2006/relationships/hyperlink"/><Relationship Id="rId1341" Target="https%3A%2F%2Fwww.webofscience.com%2Fwos%2Fwoscc%2Ffull-record%2FWOS%3A001701485400001" TargetMode="External" Type="http://schemas.openxmlformats.org/officeDocument/2006/relationships/hyperlink"/><Relationship Id="rId1342" Target="http%3A%2F%2Fdx.doi.org%2F10.3791%2F67525" TargetMode="External" Type="http://schemas.openxmlformats.org/officeDocument/2006/relationships/hyperlink"/><Relationship Id="rId1343" Target="https%3A%2F%2Fwww.webofscience.com%2Fwos%2Fwoscc%2Ffull-record%2FWOS%3A001531065900023" TargetMode="External" Type="http://schemas.openxmlformats.org/officeDocument/2006/relationships/hyperlink"/><Relationship Id="rId1344" Target="http%3A%2F%2Fdx.doi.org%2F10.1016%2Fj.bspc.2026.110958" TargetMode="External" Type="http://schemas.openxmlformats.org/officeDocument/2006/relationships/hyperlink"/><Relationship Id="rId1345" Target="https%3A%2F%2Fwww.webofscience.com%2Fwos%2Fwoscc%2Ffull-record%2FWOS%3A001823445300001" TargetMode="External" Type="http://schemas.openxmlformats.org/officeDocument/2006/relationships/hyperlink"/><Relationship Id="rId1346" Target="http%3A%2F%2Fdx.doi.org%2F10.1016%2Fj.knosys.2026.115660" TargetMode="External" Type="http://schemas.openxmlformats.org/officeDocument/2006/relationships/hyperlink"/><Relationship Id="rId1347" Target="https%3A%2F%2Fwww.webofscience.com%2Fwos%2Fwoscc%2Ffull-record%2FWOS%3A001716020200001" TargetMode="External" Type="http://schemas.openxmlformats.org/officeDocument/2006/relationships/hyperlink"/><Relationship Id="rId1348" Target="http%3A%2F%2Fdx.doi.org%2F10.1016%2Fj.ijhm.2026.104730" TargetMode="External" Type="http://schemas.openxmlformats.org/officeDocument/2006/relationships/hyperlink"/><Relationship Id="rId1349" Target="https%3A%2F%2Fwww.webofscience.com%2Fwos%2Fwoscc%2Ffull-record%2FWOS%3A001763066000001" TargetMode="External" Type="http://schemas.openxmlformats.org/officeDocument/2006/relationships/hyperlink"/><Relationship Id="rId135" Target="http%3A%2F%2Fdx.doi.org%2F10.14569%2FIJACSA.2024.0151227" TargetMode="External" Type="http://schemas.openxmlformats.org/officeDocument/2006/relationships/hyperlink"/><Relationship Id="rId1350" Target="http%3A%2F%2Fdx.doi.org%2F10.1007%2Fs10676-025-09867-w" TargetMode="External" Type="http://schemas.openxmlformats.org/officeDocument/2006/relationships/hyperlink"/><Relationship Id="rId1351" Target="https%3A%2F%2Fwww.webofscience.com%2Fwos%2Fwoscc%2Ffull-record%2FWOS%3A001598394700001" TargetMode="External" Type="http://schemas.openxmlformats.org/officeDocument/2006/relationships/hyperlink"/><Relationship Id="rId1352" Target="http%3A%2F%2Fdx.doi.org%2F10.3390%2Finfo16121048" TargetMode="External" Type="http://schemas.openxmlformats.org/officeDocument/2006/relationships/hyperlink"/><Relationship Id="rId1353" Target="https%3A%2F%2Fwww.webofscience.com%2Fwos%2Fwoscc%2Ffull-record%2FWOS%3A001646694600001" TargetMode="External" Type="http://schemas.openxmlformats.org/officeDocument/2006/relationships/hyperlink"/><Relationship Id="rId1354" Target="http%3A%2F%2Fdx.doi.org%2F10.1016%2Fj.jbi.2023.104550" TargetMode="External" Type="http://schemas.openxmlformats.org/officeDocument/2006/relationships/hyperlink"/><Relationship Id="rId1355" Target="https%3A%2F%2Fwww.webofscience.com%2Fwos%2Fwoscc%2Ffull-record%2FWOS%3A001125236600001" TargetMode="External" Type="http://schemas.openxmlformats.org/officeDocument/2006/relationships/hyperlink"/><Relationship Id="rId1356" Target="http%3A%2F%2Fdx.doi.org%2F10.1002%2F2056-4538.70023" TargetMode="External" Type="http://schemas.openxmlformats.org/officeDocument/2006/relationships/hyperlink"/><Relationship Id="rId1357" Target="https%3A%2F%2Fwww.webofscience.com%2Fwos%2Fwoscc%2Ffull-record%2FWOS%3A001443467300001" TargetMode="External" Type="http://schemas.openxmlformats.org/officeDocument/2006/relationships/hyperlink"/><Relationship Id="rId1358" Target="http%3A%2F%2Fdx.doi.org%2F10.1016%2Fj.sciaf.2024.e02432" TargetMode="External" Type="http://schemas.openxmlformats.org/officeDocument/2006/relationships/hyperlink"/><Relationship Id="rId1359" Target="https%3A%2F%2Fwww.webofscience.com%2Fwos%2Fwoscc%2Ffull-record%2FWOS%3A001339599500001" TargetMode="External" Type="http://schemas.openxmlformats.org/officeDocument/2006/relationships/hyperlink"/><Relationship Id="rId136" Target="https%3A%2F%2Fwww.webofscience.com%2Fwos%2Fwoscc%2Ffull-record%2FWOS%3A001396898400001" TargetMode="External" Type="http://schemas.openxmlformats.org/officeDocument/2006/relationships/hyperlink"/><Relationship Id="rId1360" Target="http%3A%2F%2Fdx.doi.org%2F10.1016%2Fj.knosys.2026.116231" TargetMode="External" Type="http://schemas.openxmlformats.org/officeDocument/2006/relationships/hyperlink"/><Relationship Id="rId1361" Target="https%3A%2F%2Fwww.webofscience.com%2Fwos%2Fwoscc%2Ffull-record%2FWOS%3A001785469300001" TargetMode="External" Type="http://schemas.openxmlformats.org/officeDocument/2006/relationships/hyperlink"/><Relationship Id="rId1362" Target="http%3A%2F%2Fdx.doi.org%2F10.1016%2Fj.bone.2025.117592" TargetMode="External" Type="http://schemas.openxmlformats.org/officeDocument/2006/relationships/hyperlink"/><Relationship Id="rId1363" Target="https%3A%2F%2Fwww.webofscience.com%2Fwos%2Fwoscc%2Ffull-record%2FWOS%3A001548293800001" TargetMode="External" Type="http://schemas.openxmlformats.org/officeDocument/2006/relationships/hyperlink"/><Relationship Id="rId1364" Target="http%3A%2F%2Fdx.doi.org%2F10.1109%2FACCESS.2025.3550577" TargetMode="External" Type="http://schemas.openxmlformats.org/officeDocument/2006/relationships/hyperlink"/><Relationship Id="rId1365" Target="https%3A%2F%2Fwww.webofscience.com%2Fwos%2Fwoscc%2Ffull-record%2FWOS%3A001457781100020" TargetMode="External" Type="http://schemas.openxmlformats.org/officeDocument/2006/relationships/hyperlink"/><Relationship Id="rId1366" Target="http%3A%2F%2Fdx.doi.org%2F10.1148%2Fradiol.252590" TargetMode="External" Type="http://schemas.openxmlformats.org/officeDocument/2006/relationships/hyperlink"/><Relationship Id="rId1367" Target="https%3A%2F%2Fwww.webofscience.com%2Fwos%2Fwoscc%2Ffull-record%2FWOS%3A001842151400001" TargetMode="External" Type="http://schemas.openxmlformats.org/officeDocument/2006/relationships/hyperlink"/><Relationship Id="rId1368" Target="http%3A%2F%2Fdx.doi.org%2F10.1016%2Fj.cmpb.2025.108645" TargetMode="External" Type="http://schemas.openxmlformats.org/officeDocument/2006/relationships/hyperlink"/><Relationship Id="rId1369" Target="https%3A%2F%2Fwww.webofscience.com%2Fwos%2Fwoscc%2Ffull-record%2FWOS%3A001434340500001" TargetMode="External" Type="http://schemas.openxmlformats.org/officeDocument/2006/relationships/hyperlink"/><Relationship Id="rId137" Target="http%3A%2F%2Fdx.doi.org%2F10.1371%2Fjournal.pone.0294253" TargetMode="External" Type="http://schemas.openxmlformats.org/officeDocument/2006/relationships/hyperlink"/><Relationship Id="rId1370" Target="http%3A%2F%2Fdx.doi.org%2F10.1016%2Fj.compbiomed.2023.106544" TargetMode="External" Type="http://schemas.openxmlformats.org/officeDocument/2006/relationships/hyperlink"/><Relationship Id="rId1371" Target="https%3A%2F%2Fwww.webofscience.com%2Fwos%2Fwoscc%2Ffull-record%2FWOS%3A000922646000001" TargetMode="External" Type="http://schemas.openxmlformats.org/officeDocument/2006/relationships/hyperlink"/><Relationship Id="rId1372" Target="http%3A%2F%2Fdx.doi.org%2F10.1371%2Fjournal.pone.0264695" TargetMode="External" Type="http://schemas.openxmlformats.org/officeDocument/2006/relationships/hyperlink"/><Relationship Id="rId1373" Target="https%3A%2F%2Fwww.webofscience.com%2Fwos%2Fwoscc%2Ffull-record%2FWOS%3A000835222600037" TargetMode="External" Type="http://schemas.openxmlformats.org/officeDocument/2006/relationships/hyperlink"/><Relationship Id="rId1374" Target="http%3A%2F%2Fdx.doi.org%2F10.1038%2Fs41598-025-85857-8" TargetMode="External" Type="http://schemas.openxmlformats.org/officeDocument/2006/relationships/hyperlink"/><Relationship Id="rId1375" Target="https%3A%2F%2Fwww.webofscience.com%2Fwos%2Fwoscc%2Ffull-record%2FWOS%3A001396240600019" TargetMode="External" Type="http://schemas.openxmlformats.org/officeDocument/2006/relationships/hyperlink"/><Relationship Id="rId1376" Target="http%3A%2F%2Fdx.doi.org%2F10.1371%2Fjournal.pone.0342062" TargetMode="External" Type="http://schemas.openxmlformats.org/officeDocument/2006/relationships/hyperlink"/><Relationship Id="rId1377" Target="https%3A%2F%2Fwww.webofscience.com%2Fwos%2Fwoscc%2Ffull-record%2FWOS%3A001697514400001" TargetMode="External" Type="http://schemas.openxmlformats.org/officeDocument/2006/relationships/hyperlink"/><Relationship Id="rId1378" Target="http%3A%2F%2Fdx.doi.org%2F10.1016%2Fj.inffus.2024.102719" TargetMode="External" Type="http://schemas.openxmlformats.org/officeDocument/2006/relationships/hyperlink"/><Relationship Id="rId1379" Target="https%3A%2F%2Fwww.webofscience.com%2Fwos%2Fwoscc%2Ffull-record%2FWOS%3A001343468500001" TargetMode="External" Type="http://schemas.openxmlformats.org/officeDocument/2006/relationships/hyperlink"/><Relationship Id="rId138" Target="https%3A%2F%2Fwww.webofscience.com%2Fwos%2Fwoscc%2Ffull-record%2FWOS%3A001119675000107" TargetMode="External" Type="http://schemas.openxmlformats.org/officeDocument/2006/relationships/hyperlink"/><Relationship Id="rId1380" Target="http%3A%2F%2Fdx.doi.org%2F10.1038%2Fs41746-026-02377-z" TargetMode="External" Type="http://schemas.openxmlformats.org/officeDocument/2006/relationships/hyperlink"/><Relationship Id="rId1381" Target="https%3A%2F%2Fwww.webofscience.com%2Fwos%2Fwoscc%2Ffull-record%2FWOS%3A001736896800003" TargetMode="External" Type="http://schemas.openxmlformats.org/officeDocument/2006/relationships/hyperlink"/><Relationship Id="rId1382" Target="http%3A%2F%2Fdx.doi.org%2F10.1109%2FACCESS.2024.3383841" TargetMode="External" Type="http://schemas.openxmlformats.org/officeDocument/2006/relationships/hyperlink"/><Relationship Id="rId1383" Target="https%3A%2F%2Fwww.webofscience.com%2Fwos%2Fwoscc%2Ffull-record%2FWOS%3A001197751400001" TargetMode="External" Type="http://schemas.openxmlformats.org/officeDocument/2006/relationships/hyperlink"/><Relationship Id="rId1384" Target="http%3A%2F%2Fdx.doi.org%2F10.1016%2FS1470-2045%2824%2900315-2" TargetMode="External" Type="http://schemas.openxmlformats.org/officeDocument/2006/relationships/hyperlink"/><Relationship Id="rId1385" Target="https%3A%2F%2Fwww.webofscience.com%2Fwos%2Fwoscc%2Ffull-record%2FWOS%3A001348280600001" TargetMode="External" Type="http://schemas.openxmlformats.org/officeDocument/2006/relationships/hyperlink"/><Relationship Id="rId1386" Target="http%3A%2F%2Fdx.doi.org%2F10.1002%2Faisy.202501360" TargetMode="External" Type="http://schemas.openxmlformats.org/officeDocument/2006/relationships/hyperlink"/><Relationship Id="rId1387" Target="https%3A%2F%2Fwww.webofscience.com%2Fwos%2Fwoscc%2Ffull-record%2FWOS%3A001743054100001" TargetMode="External" Type="http://schemas.openxmlformats.org/officeDocument/2006/relationships/hyperlink"/><Relationship Id="rId1388" Target="http%3A%2F%2Fdx.doi.org%2F10.3166%2Fafmu-2022-0496" TargetMode="External" Type="http://schemas.openxmlformats.org/officeDocument/2006/relationships/hyperlink"/><Relationship Id="rId1389" Target="https%3A%2F%2Fwww.webofscience.com%2Fwos%2Fwoscc%2Ffull-record%2FWOS%3A001158398400003" TargetMode="External" Type="http://schemas.openxmlformats.org/officeDocument/2006/relationships/hyperlink"/><Relationship Id="rId139" Target="http%3A%2F%2Fdx.doi.org%2F10.1016%2Fj.ijmedinf.2026.106287" TargetMode="External" Type="http://schemas.openxmlformats.org/officeDocument/2006/relationships/hyperlink"/><Relationship Id="rId1390" Target="http%3A%2F%2Fdx.doi.org%2F10.3389%2Ffrph.2026.1771550" TargetMode="External" Type="http://schemas.openxmlformats.org/officeDocument/2006/relationships/hyperlink"/><Relationship Id="rId1391" Target="https%3A%2F%2Fwww.webofscience.com%2Fwos%2Fwoscc%2Ffull-record%2FWOS%3A001771676700001" TargetMode="External" Type="http://schemas.openxmlformats.org/officeDocument/2006/relationships/hyperlink"/><Relationship Id="rId1392" Target="http%3A%2F%2Fdx.doi.org%2F10.2196%2F58493" TargetMode="External" Type="http://schemas.openxmlformats.org/officeDocument/2006/relationships/hyperlink"/><Relationship Id="rId1393" Target="https%3A%2F%2Fwww.webofscience.com%2Fwos%2Fwoscc%2Ffull-record%2FWOS%3A001322536000001" TargetMode="External" Type="http://schemas.openxmlformats.org/officeDocument/2006/relationships/hyperlink"/><Relationship Id="rId1394" Target="http%3A%2F%2Fdx.doi.org%2F10.1007%2Fs10209-025-01245-z" TargetMode="External" Type="http://schemas.openxmlformats.org/officeDocument/2006/relationships/hyperlink"/><Relationship Id="rId1395" Target="https%3A%2F%2Fwww.webofscience.com%2Fwos%2Fwoscc%2Ffull-record%2FWOS%3A001531108100001" TargetMode="External" Type="http://schemas.openxmlformats.org/officeDocument/2006/relationships/hyperlink"/><Relationship Id="rId1396" Target="http%3A%2F%2Fdx.doi.org%2F10.3390%2Fijms27156989" TargetMode="External" Type="http://schemas.openxmlformats.org/officeDocument/2006/relationships/hyperlink"/><Relationship Id="rId1397" Target="https%3A%2F%2Fwww.webofscience.com%2Fwos%2Fwoscc%2Ffull-record%2FWOS%3A001846853000001" TargetMode="External" Type="http://schemas.openxmlformats.org/officeDocument/2006/relationships/hyperlink"/><Relationship Id="rId1398" Target="http%3A%2F%2Fdx.doi.org%2F10.1007%2Fs00481-024-00827-4" TargetMode="External" Type="http://schemas.openxmlformats.org/officeDocument/2006/relationships/hyperlink"/><Relationship Id="rId1399" Target="https%3A%2F%2Fwww.webofscience.com%2Fwos%2Fwoscc%2Ffull-record%2FWOS%3A001270435900001" TargetMode="External" Type="http://schemas.openxmlformats.org/officeDocument/2006/relationships/hyperlink"/><Relationship Id="rId14" Target="https%3A%2F%2Fwww.webofscience.com%2Fwos%2Fwoscc%2Ffull-record%2FWOS%3A001232448700001" TargetMode="External" Type="http://schemas.openxmlformats.org/officeDocument/2006/relationships/hyperlink"/><Relationship Id="rId140" Target="https%3A%2F%2Fwww.webofscience.com%2Fwos%2Fwoscc%2Ffull-record%2FWOS%3A001675441100001" TargetMode="External" Type="http://schemas.openxmlformats.org/officeDocument/2006/relationships/hyperlink"/><Relationship Id="rId1400" Target="http%3A%2F%2Fdx.doi.org%2F10.1186%2Fs12912-025-02798-3" TargetMode="External" Type="http://schemas.openxmlformats.org/officeDocument/2006/relationships/hyperlink"/><Relationship Id="rId1401" Target="https%3A%2F%2Fwww.webofscience.com%2Fwos%2Fwoscc%2Ffull-record%2FWOS%3A001419924900002" TargetMode="External" Type="http://schemas.openxmlformats.org/officeDocument/2006/relationships/hyperlink"/><Relationship Id="rId1402" Target="http%3A%2F%2Fdx.doi.org%2F10.1016%2Fj.ejca.2025.116158" TargetMode="External" Type="http://schemas.openxmlformats.org/officeDocument/2006/relationships/hyperlink"/><Relationship Id="rId1403" Target="https%3A%2F%2Fwww.webofscience.com%2Fwos%2Fwoscc%2Ffull-record%2FWOS%3A001637046000001" TargetMode="External" Type="http://schemas.openxmlformats.org/officeDocument/2006/relationships/hyperlink"/><Relationship Id="rId1404" Target="http%3A%2F%2Fdx.doi.org%2F10.1038%2Fs41598-024-75915-y" TargetMode="External" Type="http://schemas.openxmlformats.org/officeDocument/2006/relationships/hyperlink"/><Relationship Id="rId1405" Target="https%3A%2F%2Fwww.webofscience.com%2Fwos%2Fwoscc%2Ffull-record%2FWOS%3A001341352800023" TargetMode="External" Type="http://schemas.openxmlformats.org/officeDocument/2006/relationships/hyperlink"/><Relationship Id="rId1406" Target="http%3A%2F%2Fdx.doi.org%2F10.1016%2Fj.jprot.2026.105698" TargetMode="External" Type="http://schemas.openxmlformats.org/officeDocument/2006/relationships/hyperlink"/><Relationship Id="rId1407" Target="https%3A%2F%2Fwww.webofscience.com%2Fwos%2Fwoscc%2Ffull-record%2FWOS%3A001806014200001" TargetMode="External" Type="http://schemas.openxmlformats.org/officeDocument/2006/relationships/hyperlink"/><Relationship Id="rId1408" Target="http%3A%2F%2Fdx.doi.org%2F10.3390%2Fcurroncol32020073" TargetMode="External" Type="http://schemas.openxmlformats.org/officeDocument/2006/relationships/hyperlink"/><Relationship Id="rId1409" Target="https%3A%2F%2Fwww.webofscience.com%2Fwos%2Fwoscc%2Ffull-record%2FWOS%3A001429663800001" TargetMode="External" Type="http://schemas.openxmlformats.org/officeDocument/2006/relationships/hyperlink"/><Relationship Id="rId141" Target="http%3A%2F%2Fdx.doi.org%2F10.1186%2Fs12911-022-01772-2" TargetMode="External" Type="http://schemas.openxmlformats.org/officeDocument/2006/relationships/hyperlink"/><Relationship Id="rId1410" Target="http%3A%2F%2Fdx.doi.org%2F10.1016%2Fj.bspc.2025.107910" TargetMode="External" Type="http://schemas.openxmlformats.org/officeDocument/2006/relationships/hyperlink"/><Relationship Id="rId1411" Target="https%3A%2F%2Fwww.webofscience.com%2Fwos%2Fwoscc%2Ffull-record%2FWOS%3A001479888400001" TargetMode="External" Type="http://schemas.openxmlformats.org/officeDocument/2006/relationships/hyperlink"/><Relationship Id="rId1412" Target="http%3A%2F%2Fdx.doi.org%2F10.1093%2Fjamia%2Focac221" TargetMode="External" Type="http://schemas.openxmlformats.org/officeDocument/2006/relationships/hyperlink"/><Relationship Id="rId1413" Target="https%3A%2F%2Fwww.webofscience.com%2Fwos%2Fwoscc%2Ffull-record%2FWOS%3A000912331000001" TargetMode="External" Type="http://schemas.openxmlformats.org/officeDocument/2006/relationships/hyperlink"/><Relationship Id="rId1414" Target="http%3A%2F%2Fdx.doi.org%2F10.1038%2Fs41598-025-26051-8" TargetMode="External" Type="http://schemas.openxmlformats.org/officeDocument/2006/relationships/hyperlink"/><Relationship Id="rId1415" Target="https%3A%2F%2Fwww.webofscience.com%2Fwos%2Fwoscc%2Ffull-record%2FWOS%3A001611521500033" TargetMode="External" Type="http://schemas.openxmlformats.org/officeDocument/2006/relationships/hyperlink"/><Relationship Id="rId1416" Target="http%3A%2F%2Fdx.doi.org%2F10.1016%2Fj.actpsy.2026.107081" TargetMode="External" Type="http://schemas.openxmlformats.org/officeDocument/2006/relationships/hyperlink"/><Relationship Id="rId1417" Target="https%3A%2F%2Fwww.webofscience.com%2Fwos%2Fwoscc%2Ffull-record%2FWOS%3A001791537100001" TargetMode="External" Type="http://schemas.openxmlformats.org/officeDocument/2006/relationships/hyperlink"/><Relationship Id="rId1418" Target="http%3A%2F%2Fdx.doi.org%2F10.70594%2Fbrain%2F17.1%2F26" TargetMode="External" Type="http://schemas.openxmlformats.org/officeDocument/2006/relationships/hyperlink"/><Relationship Id="rId1419" Target="https%3A%2F%2Fwww.webofscience.com%2Fwos%2Fwoscc%2Ffull-record%2FWOS%3A001737280100025" TargetMode="External" Type="http://schemas.openxmlformats.org/officeDocument/2006/relationships/hyperlink"/><Relationship Id="rId142" Target="https%3A%2F%2Fwww.webofscience.com%2Fwos%2Fwoscc%2Ffull-record%2FWOS%3A000754201100001" TargetMode="External" Type="http://schemas.openxmlformats.org/officeDocument/2006/relationships/hyperlink"/><Relationship Id="rId1420" Target="http%3A%2F%2Fdx.doi.org%2F10.1016%2Fj.annepidem.2025.11.005" TargetMode="External" Type="http://schemas.openxmlformats.org/officeDocument/2006/relationships/hyperlink"/><Relationship Id="rId1421" Target="https%3A%2F%2Fwww.webofscience.com%2Fwos%2Fwoscc%2Ffull-record%2FWOS%3A001632071100001" TargetMode="External" Type="http://schemas.openxmlformats.org/officeDocument/2006/relationships/hyperlink"/><Relationship Id="rId1422" Target="http%3A%2F%2Fdx.doi.org%2F10.3389%2Ffdgth.2026.1780700" TargetMode="External" Type="http://schemas.openxmlformats.org/officeDocument/2006/relationships/hyperlink"/><Relationship Id="rId1423" Target="https%3A%2F%2Fwww.webofscience.com%2Fwos%2Fwoscc%2Ffull-record%2FWOS%3A001722902500001" TargetMode="External" Type="http://schemas.openxmlformats.org/officeDocument/2006/relationships/hyperlink"/><Relationship Id="rId1424" Target="http%3A%2F%2Fdx.doi.org%2F10.3389%2Ffpsyg.2025.1574809" TargetMode="External" Type="http://schemas.openxmlformats.org/officeDocument/2006/relationships/hyperlink"/><Relationship Id="rId1425" Target="https%3A%2F%2Fwww.webofscience.com%2Fwos%2Fwoscc%2Ffull-record%2FWOS%3A001504755900001" TargetMode="External" Type="http://schemas.openxmlformats.org/officeDocument/2006/relationships/hyperlink"/><Relationship Id="rId1426" Target="http%3A%2F%2Fdx.doi.org%2F10.1016%2Fj.outlook.2026.102856" TargetMode="External" Type="http://schemas.openxmlformats.org/officeDocument/2006/relationships/hyperlink"/><Relationship Id="rId1427" Target="https%3A%2F%2Fwww.webofscience.com%2Fwos%2Fwoscc%2Ffull-record%2FWOS%3A001838980800001" TargetMode="External" Type="http://schemas.openxmlformats.org/officeDocument/2006/relationships/hyperlink"/><Relationship Id="rId1428" Target="http%3A%2F%2Fdx.doi.org%2F10.1007%2Fs00296-024-05737-8" TargetMode="External" Type="http://schemas.openxmlformats.org/officeDocument/2006/relationships/hyperlink"/><Relationship Id="rId1429" Target="https%3A%2F%2Fwww.webofscience.com%2Fwos%2Fwoscc%2Ffull-record%2FWOS%3A001342170400001" TargetMode="External" Type="http://schemas.openxmlformats.org/officeDocument/2006/relationships/hyperlink"/><Relationship Id="rId143" Target="http%3A%2F%2Fdx.doi.org%2F10.1007%2Fs10489-025-06561-8" TargetMode="External" Type="http://schemas.openxmlformats.org/officeDocument/2006/relationships/hyperlink"/><Relationship Id="rId1430" Target="http%3A%2F%2Fdx.doi.org%2F10.1016%2Fj.nepr.2026.104936" TargetMode="External" Type="http://schemas.openxmlformats.org/officeDocument/2006/relationships/hyperlink"/><Relationship Id="rId1431" Target="https%3A%2F%2Fwww.webofscience.com%2Fwos%2Fwoscc%2Ffull-record%2FWOS%3A001838202800001" TargetMode="External" Type="http://schemas.openxmlformats.org/officeDocument/2006/relationships/hyperlink"/><Relationship Id="rId1432" Target="http%3A%2F%2Fdx.doi.org%2F10.3390%2Fapp16115684" TargetMode="External" Type="http://schemas.openxmlformats.org/officeDocument/2006/relationships/hyperlink"/><Relationship Id="rId1433" Target="https%3A%2F%2Fwww.webofscience.com%2Fwos%2Fwoscc%2Ffull-record%2FWOS%3A001789992700001" TargetMode="External" Type="http://schemas.openxmlformats.org/officeDocument/2006/relationships/hyperlink"/><Relationship Id="rId1434" Target="http%3A%2F%2Fdx.doi.org%2F10.3389%2Ffpubh.2025.1698062" TargetMode="External" Type="http://schemas.openxmlformats.org/officeDocument/2006/relationships/hyperlink"/><Relationship Id="rId1435" Target="https%3A%2F%2Fwww.webofscience.com%2Fwos%2Fwoscc%2Ffull-record%2FWOS%3A001618071100001" TargetMode="External" Type="http://schemas.openxmlformats.org/officeDocument/2006/relationships/hyperlink"/><Relationship Id="rId1436" Target="http%3A%2F%2Fdx.doi.org%2F10.7717%2Fpeerj-cs.2806" TargetMode="External" Type="http://schemas.openxmlformats.org/officeDocument/2006/relationships/hyperlink"/><Relationship Id="rId1437" Target="https%3A%2F%2Fwww.webofscience.com%2Fwos%2Fwoscc%2Ffull-record%2FWOS%3A001480548600001" TargetMode="External" Type="http://schemas.openxmlformats.org/officeDocument/2006/relationships/hyperlink"/><Relationship Id="rId1438" Target="http%3A%2F%2Fdx.doi.org%2F10.1016%2Fj.bspc.2024.107260" TargetMode="External" Type="http://schemas.openxmlformats.org/officeDocument/2006/relationships/hyperlink"/><Relationship Id="rId1439" Target="https%3A%2F%2Fwww.webofscience.com%2Fwos%2Fwoscc%2Ffull-record%2FWOS%3A001373625000001" TargetMode="External" Type="http://schemas.openxmlformats.org/officeDocument/2006/relationships/hyperlink"/><Relationship Id="rId144" Target="https%3A%2F%2Fwww.webofscience.com%2Fwos%2Fwoscc%2Ffull-record%2FWOS%3A001471828400006" TargetMode="External" Type="http://schemas.openxmlformats.org/officeDocument/2006/relationships/hyperlink"/><Relationship Id="rId1440" Target="http%3A%2F%2Fdx.doi.org%2F10.3390%2Fphilosophies9030080" TargetMode="External" Type="http://schemas.openxmlformats.org/officeDocument/2006/relationships/hyperlink"/><Relationship Id="rId1441" Target="https%3A%2F%2Fwww.webofscience.com%2Fwos%2Fwoscc%2Ffull-record%2FWOS%3A001256718900001" TargetMode="External" Type="http://schemas.openxmlformats.org/officeDocument/2006/relationships/hyperlink"/><Relationship Id="rId1442" Target="http%3A%2F%2Fdx.doi.org%2F10.1109%2FACCESS.2025.3560689" TargetMode="External" Type="http://schemas.openxmlformats.org/officeDocument/2006/relationships/hyperlink"/><Relationship Id="rId1443" Target="https%3A%2F%2Fwww.webofscience.com%2Fwos%2Fwoscc%2Ffull-record%2FWOS%3A001479479400038" TargetMode="External" Type="http://schemas.openxmlformats.org/officeDocument/2006/relationships/hyperlink"/><Relationship Id="rId1444" Target="http%3A%2F%2Fdx.doi.org%2F10.2196%2F38053" TargetMode="External" Type="http://schemas.openxmlformats.org/officeDocument/2006/relationships/hyperlink"/><Relationship Id="rId1445" Target="https%3A%2F%2Fwww.webofscience.com%2Fwos%2Fwoscc%2Ffull-record%2FWOS%3A000892552700007" TargetMode="External" Type="http://schemas.openxmlformats.org/officeDocument/2006/relationships/hyperlink"/><Relationship Id="rId1446" Target="http%3A%2F%2Fdx.doi.org%2F10.1111%2Fnin.70099" TargetMode="External" Type="http://schemas.openxmlformats.org/officeDocument/2006/relationships/hyperlink"/><Relationship Id="rId1447" Target="https%3A%2F%2Fwww.webofscience.com%2Fwos%2Fwoscc%2Ffull-record%2FWOS%3A001753414800017" TargetMode="External" Type="http://schemas.openxmlformats.org/officeDocument/2006/relationships/hyperlink"/><Relationship Id="rId1448" Target="http%3A%2F%2Fdx.doi.org%2F10.3390%2Fjcm15145538" TargetMode="External" Type="http://schemas.openxmlformats.org/officeDocument/2006/relationships/hyperlink"/><Relationship Id="rId1449" Target="https%3A%2F%2Fwww.webofscience.com%2Fwos%2Fwoscc%2Ffull-record%2FWOS%3A001832178500001" TargetMode="External" Type="http://schemas.openxmlformats.org/officeDocument/2006/relationships/hyperlink"/><Relationship Id="rId145" Target="http%3A%2F%2Fdx.doi.org%2F10.1038%2Fs42256-025-01000-2" TargetMode="External" Type="http://schemas.openxmlformats.org/officeDocument/2006/relationships/hyperlink"/><Relationship Id="rId1450" Target="http%3A%2F%2Fdx.doi.org%2F10.3390%2Fappliedmath3020022" TargetMode="External" Type="http://schemas.openxmlformats.org/officeDocument/2006/relationships/hyperlink"/><Relationship Id="rId1451" Target="https%3A%2F%2Fwww.webofscience.com%2Fwos%2Fwoscc%2Ffull-record%2FWOS%3A001268553600001" TargetMode="External" Type="http://schemas.openxmlformats.org/officeDocument/2006/relationships/hyperlink"/><Relationship Id="rId1452" Target="http%3A%2F%2Fdx.doi.org%2F10.1007%2Fs10462-025-11366-9" TargetMode="External" Type="http://schemas.openxmlformats.org/officeDocument/2006/relationships/hyperlink"/><Relationship Id="rId1453" Target="https%3A%2F%2Fwww.webofscience.com%2Fwos%2Fwoscc%2Ffull-record%2FWOS%3A001562582000001" TargetMode="External" Type="http://schemas.openxmlformats.org/officeDocument/2006/relationships/hyperlink"/><Relationship Id="rId1454" Target="http%3A%2F%2Fdx.doi.org%2F10.3389%2Ffonc.2025.1699960" TargetMode="External" Type="http://schemas.openxmlformats.org/officeDocument/2006/relationships/hyperlink"/><Relationship Id="rId1455" Target="https%3A%2F%2Fwww.webofscience.com%2Fwos%2Fwoscc%2Ffull-record%2FWOS%3A001709477100001" TargetMode="External" Type="http://schemas.openxmlformats.org/officeDocument/2006/relationships/hyperlink"/><Relationship Id="rId1456" Target="http%3A%2F%2Fdx.doi.org%2F10.1097%2FJS9.0000000000000552" TargetMode="External" Type="http://schemas.openxmlformats.org/officeDocument/2006/relationships/hyperlink"/><Relationship Id="rId1457" Target="https%3A%2F%2Fwww.webofscience.com%2Fwos%2Fwoscc%2Ffull-record%2FWOS%3A001089168200011" TargetMode="External" Type="http://schemas.openxmlformats.org/officeDocument/2006/relationships/hyperlink"/><Relationship Id="rId1458" Target="http%3A%2F%2Fdx.doi.org%2F10.1148%2Fryai.240417" TargetMode="External" Type="http://schemas.openxmlformats.org/officeDocument/2006/relationships/hyperlink"/><Relationship Id="rId1459" Target="https%3A%2F%2Fwww.webofscience.com%2Fwos%2Fwoscc%2Ffull-record%2FWOS%3A001652169200002" TargetMode="External" Type="http://schemas.openxmlformats.org/officeDocument/2006/relationships/hyperlink"/><Relationship Id="rId146" Target="https%3A%2F%2Fwww.webofscience.com%2Fwos%2Fwoscc%2Ffull-record%2FWOS%3A001447473200001" TargetMode="External" Type="http://schemas.openxmlformats.org/officeDocument/2006/relationships/hyperlink"/><Relationship Id="rId1460" Target="http%3A%2F%2Fdx.doi.org%2F10.1109%2FACCESS.2026.3683577" TargetMode="External" Type="http://schemas.openxmlformats.org/officeDocument/2006/relationships/hyperlink"/><Relationship Id="rId1461" Target="https%3A%2F%2Fwww.webofscience.com%2Fwos%2Fwoscc%2Ffull-record%2FWOS%3A001748521500005" TargetMode="External" Type="http://schemas.openxmlformats.org/officeDocument/2006/relationships/hyperlink"/><Relationship Id="rId1462" Target="http%3A%2F%2Fdx.doi.org%2F10.1016%2Fj.ailsci.2026.100158" TargetMode="External" Type="http://schemas.openxmlformats.org/officeDocument/2006/relationships/hyperlink"/><Relationship Id="rId1463" Target="https%3A%2F%2Fwww.webofscience.com%2Fwos%2Fwoscc%2Ffull-record%2FWOS%3A001688267300001" TargetMode="External" Type="http://schemas.openxmlformats.org/officeDocument/2006/relationships/hyperlink"/><Relationship Id="rId1464" Target="http%3A%2F%2Fdx.doi.org%2F10.1093%2Fjamia%2Focaf193" TargetMode="External" Type="http://schemas.openxmlformats.org/officeDocument/2006/relationships/hyperlink"/><Relationship Id="rId1465" Target="https%3A%2F%2Fwww.webofscience.com%2Fwos%2Fwoscc%2Ffull-record%2FWOS%3A001611260700001" TargetMode="External" Type="http://schemas.openxmlformats.org/officeDocument/2006/relationships/hyperlink"/><Relationship Id="rId1466" Target="http%3A%2F%2Fdx.doi.org%2F10.1186%2Fs13052-025-01892-1" TargetMode="External" Type="http://schemas.openxmlformats.org/officeDocument/2006/relationships/hyperlink"/><Relationship Id="rId1467" Target="https%3A%2F%2Fwww.webofscience.com%2Fwos%2Fwoscc%2Ffull-record%2FWOS%3A001451131200004" TargetMode="External" Type="http://schemas.openxmlformats.org/officeDocument/2006/relationships/hyperlink"/><Relationship Id="rId1468" Target="http%3A%2F%2Fdx.doi.org%2F10.3389%2Ffneur.2026.1839071" TargetMode="External" Type="http://schemas.openxmlformats.org/officeDocument/2006/relationships/hyperlink"/><Relationship Id="rId1469" Target="https%3A%2F%2Fwww.webofscience.com%2Fwos%2Fwoscc%2Ffull-record%2FWOS%3A001843319400001" TargetMode="External" Type="http://schemas.openxmlformats.org/officeDocument/2006/relationships/hyperlink"/><Relationship Id="rId147" Target="http%3A%2F%2Fdx.doi.org%2F10.1109%2FTAFFC.2024.3505269" TargetMode="External" Type="http://schemas.openxmlformats.org/officeDocument/2006/relationships/hyperlink"/><Relationship Id="rId1470" Target="http%3A%2F%2Fdx.doi.org%2F10.1186%2Fs12911-025-03326-8" TargetMode="External" Type="http://schemas.openxmlformats.org/officeDocument/2006/relationships/hyperlink"/><Relationship Id="rId1471" Target="https%3A%2F%2Fwww.webofscience.com%2Fwos%2Fwoscc%2Ffull-record%2FWOS%3A001672214600001" TargetMode="External" Type="http://schemas.openxmlformats.org/officeDocument/2006/relationships/hyperlink"/><Relationship Id="rId1472" Target="http%3A%2F%2Fdx.doi.org%2F10.1109%2FTTS.2025.3538125" TargetMode="External" Type="http://schemas.openxmlformats.org/officeDocument/2006/relationships/hyperlink"/><Relationship Id="rId1473" Target="https%3A%2F%2Fwww.webofscience.com%2Fwos%2Fwoscc%2Ffull-record%2FWOS%3A001648359800007" TargetMode="External" Type="http://schemas.openxmlformats.org/officeDocument/2006/relationships/hyperlink"/><Relationship Id="rId1474" Target="http%3A%2F%2Fdx.doi.org%2F10.1177%2F00220345261466240" TargetMode="External" Type="http://schemas.openxmlformats.org/officeDocument/2006/relationships/hyperlink"/><Relationship Id="rId1475" Target="https%3A%2F%2Fwww.webofscience.com%2Fwos%2Fwoscc%2Ffull-record%2FWOS%3A001829662800001" TargetMode="External" Type="http://schemas.openxmlformats.org/officeDocument/2006/relationships/hyperlink"/><Relationship Id="rId1476" Target="http%3A%2F%2Fdx.doi.org%2F10.1515%2Fbmt-2025-0250" TargetMode="External" Type="http://schemas.openxmlformats.org/officeDocument/2006/relationships/hyperlink"/><Relationship Id="rId1477" Target="https%3A%2F%2Fwww.webofscience.com%2Fwos%2Fwoscc%2Ffull-record%2FWOS%3A001761199600001" TargetMode="External" Type="http://schemas.openxmlformats.org/officeDocument/2006/relationships/hyperlink"/><Relationship Id="rId1478" Target="http%3A%2F%2Fdx.doi.org%2F10.3390%2Fai7070267" TargetMode="External" Type="http://schemas.openxmlformats.org/officeDocument/2006/relationships/hyperlink"/><Relationship Id="rId1479" Target="https%3A%2F%2Fwww.webofscience.com%2Fwos%2Fwoscc%2Ffull-record%2FWOS%3A001831360900001" TargetMode="External" Type="http://schemas.openxmlformats.org/officeDocument/2006/relationships/hyperlink"/><Relationship Id="rId148" Target="https%3A%2F%2Fwww.webofscience.com%2Fwos%2Fwoscc%2Ffull-record%2FWOS%3A001499503500006" TargetMode="External" Type="http://schemas.openxmlformats.org/officeDocument/2006/relationships/hyperlink"/><Relationship Id="rId1480" Target="http%3A%2F%2Fdx.doi.org%2F10.1007%2Fs10822-025-00709-x" TargetMode="External" Type="http://schemas.openxmlformats.org/officeDocument/2006/relationships/hyperlink"/><Relationship Id="rId1481" Target="https%3A%2F%2Fwww.webofscience.com%2Fwos%2Fwoscc%2Ffull-record%2FWOS%3A001622410000004" TargetMode="External" Type="http://schemas.openxmlformats.org/officeDocument/2006/relationships/hyperlink"/><Relationship Id="rId1482" Target="http%3A%2F%2Fdx.doi.org%2F10.1016%2Fj.eclinm.2025.103452" TargetMode="External" Type="http://schemas.openxmlformats.org/officeDocument/2006/relationships/hyperlink"/><Relationship Id="rId1483" Target="https%3A%2F%2Fwww.webofscience.com%2Fwos%2Fwoscc%2Ffull-record%2FWOS%3A001607788700010" TargetMode="External" Type="http://schemas.openxmlformats.org/officeDocument/2006/relationships/hyperlink"/><Relationship Id="rId1484" Target="http%3A%2F%2Fdx.doi.org%2F10.1177%2F03063127231163756" TargetMode="External" Type="http://schemas.openxmlformats.org/officeDocument/2006/relationships/hyperlink"/><Relationship Id="rId1485" Target="https%3A%2F%2Fwww.webofscience.com%2Fwos%2Fwoscc%2Ffull-record%2FWOS%3A000980809300001" TargetMode="External" Type="http://schemas.openxmlformats.org/officeDocument/2006/relationships/hyperlink"/><Relationship Id="rId1486" Target="http%3A%2F%2Fdx.doi.org%2F10.2196%2F69144" TargetMode="External" Type="http://schemas.openxmlformats.org/officeDocument/2006/relationships/hyperlink"/><Relationship Id="rId1487" Target="https%3A%2F%2Fwww.webofscience.com%2Fwos%2Fwoscc%2Ffull-record%2FWOS%3A001490102200001" TargetMode="External" Type="http://schemas.openxmlformats.org/officeDocument/2006/relationships/hyperlink"/><Relationship Id="rId1488" Target="http%3A%2F%2Fdx.doi.org%2F10.3390%2Fcosmetics12050194" TargetMode="External" Type="http://schemas.openxmlformats.org/officeDocument/2006/relationships/hyperlink"/><Relationship Id="rId1489" Target="https%3A%2F%2Fwww.webofscience.com%2Fwos%2Fwoscc%2Ffull-record%2FWOS%3A001602368500001" TargetMode="External" Type="http://schemas.openxmlformats.org/officeDocument/2006/relationships/hyperlink"/><Relationship Id="rId149" Target="http%3A%2F%2Fdx.doi.org%2F10.1186%2Fs12880-024-01404-3" TargetMode="External" Type="http://schemas.openxmlformats.org/officeDocument/2006/relationships/hyperlink"/><Relationship Id="rId1490" Target="http%3A%2F%2Fdx.doi.org%2F10.1017%2Fjme.2026.10256" TargetMode="External" Type="http://schemas.openxmlformats.org/officeDocument/2006/relationships/hyperlink"/><Relationship Id="rId1491" Target="https%3A%2F%2Fwww.webofscience.com%2Fwos%2Fwoscc%2Ffull-record%2FWOS%3A001743712800001" TargetMode="External" Type="http://schemas.openxmlformats.org/officeDocument/2006/relationships/hyperlink"/><Relationship Id="rId1492" Target="http%3A%2F%2Fdx.doi.org%2F10.1016%2Fj.alit.2024.07.004" TargetMode="External" Type="http://schemas.openxmlformats.org/officeDocument/2006/relationships/hyperlink"/><Relationship Id="rId1493" Target="https%3A%2F%2Fwww.webofscience.com%2Fwos%2Fwoscc%2Ffull-record%2FWOS%3A001400354100001" TargetMode="External" Type="http://schemas.openxmlformats.org/officeDocument/2006/relationships/hyperlink"/><Relationship Id="rId1494" Target="http%3A%2F%2Fdx.doi.org%2F10.1016%2Fj.eswa.2025.130746" TargetMode="External" Type="http://schemas.openxmlformats.org/officeDocument/2006/relationships/hyperlink"/><Relationship Id="rId1495" Target="https%3A%2F%2Fwww.webofscience.com%2Fwos%2Fwoscc%2Ffull-record%2FWOS%3A001648464800001" TargetMode="External" Type="http://schemas.openxmlformats.org/officeDocument/2006/relationships/hyperlink"/><Relationship Id="rId1496" Target="http%3A%2F%2Fdx.doi.org%2F10.1016%2Fj.smhl.2023.100384" TargetMode="External" Type="http://schemas.openxmlformats.org/officeDocument/2006/relationships/hyperlink"/><Relationship Id="rId1497" Target="https%3A%2F%2Fwww.webofscience.com%2Fwos%2Fwoscc%2Ffull-record%2FWOS%3A001612137800019" TargetMode="External" Type="http://schemas.openxmlformats.org/officeDocument/2006/relationships/hyperlink"/><Relationship Id="rId1498" Target="http%3A%2F%2Fdx.doi.org%2F10.3390%2Fjimaging12060236" TargetMode="External" Type="http://schemas.openxmlformats.org/officeDocument/2006/relationships/hyperlink"/><Relationship Id="rId1499" Target="https%3A%2F%2Fwww.webofscience.com%2Fwos%2Fwoscc%2Ffull-record%2FWOS%3A001802581200001" TargetMode="External" Type="http://schemas.openxmlformats.org/officeDocument/2006/relationships/hyperlink"/><Relationship Id="rId15" Target="http%3A%2F%2Fdx.doi.org%2F10.1109%2FACCESS.2024.3398198" TargetMode="External" Type="http://schemas.openxmlformats.org/officeDocument/2006/relationships/hyperlink"/><Relationship Id="rId150" Target="https%3A%2F%2Fwww.webofscience.com%2Fwos%2Fwoscc%2Ffull-record%2FWOS%3A001303223600002" TargetMode="External" Type="http://schemas.openxmlformats.org/officeDocument/2006/relationships/hyperlink"/><Relationship Id="rId1500" Target="http%3A%2F%2Fdx.doi.org%2F10.3390%2Fjcm14093111" TargetMode="External" Type="http://schemas.openxmlformats.org/officeDocument/2006/relationships/hyperlink"/><Relationship Id="rId1501" Target="https%3A%2F%2Fwww.webofscience.com%2Fwos%2Fwoscc%2Ffull-record%2FWOS%3A001487010500001" TargetMode="External" Type="http://schemas.openxmlformats.org/officeDocument/2006/relationships/hyperlink"/><Relationship Id="rId1502" Target="http%3A%2F%2Fdx.doi.org%2F10.1016%2Fj.knosys.2026.116607" TargetMode="External" Type="http://schemas.openxmlformats.org/officeDocument/2006/relationships/hyperlink"/><Relationship Id="rId1503" Target="https%3A%2F%2Fwww.webofscience.com%2Fwos%2Fwoscc%2Ffull-record%2FWOS%3A001823185700001" TargetMode="External" Type="http://schemas.openxmlformats.org/officeDocument/2006/relationships/hyperlink"/><Relationship Id="rId1504" Target="http%3A%2F%2Fdx.doi.org%2F10.1109%2FTIP.2024.3442614" TargetMode="External" Type="http://schemas.openxmlformats.org/officeDocument/2006/relationships/hyperlink"/><Relationship Id="rId1505" Target="https%3A%2F%2Fwww.webofscience.com%2Fwos%2Fwoscc%2Ffull-record%2FWOS%3A001297463800001" TargetMode="External" Type="http://schemas.openxmlformats.org/officeDocument/2006/relationships/hyperlink"/><Relationship Id="rId1506" Target="http%3A%2F%2Fdx.doi.org%2F10.1016%2Fj.ijme.2024.101104" TargetMode="External" Type="http://schemas.openxmlformats.org/officeDocument/2006/relationships/hyperlink"/><Relationship Id="rId1507" Target="https%3A%2F%2Fwww.webofscience.com%2Fwos%2Fwoscc%2Ffull-record%2FWOS%3A001394349200001" TargetMode="External" Type="http://schemas.openxmlformats.org/officeDocument/2006/relationships/hyperlink"/><Relationship Id="rId1508" Target="http%3A%2F%2Fdx.doi.org%2F10.1177%2F19322968241304434" TargetMode="External" Type="http://schemas.openxmlformats.org/officeDocument/2006/relationships/hyperlink"/><Relationship Id="rId1509" Target="https%3A%2F%2Fwww.webofscience.com%2Fwos%2Fwoscc%2Ffull-record%2FWOS%3A001385566400001" TargetMode="External" Type="http://schemas.openxmlformats.org/officeDocument/2006/relationships/hyperlink"/><Relationship Id="rId151" Target="http%3A%2F%2Fdx.doi.org%2F10.1016%2Fj.bspc.2023.104990" TargetMode="External" Type="http://schemas.openxmlformats.org/officeDocument/2006/relationships/hyperlink"/><Relationship Id="rId1510" Target="http%3A%2F%2Fdx.doi.org%2F10.1007%2Fs00262-026-04450-8" TargetMode="External" Type="http://schemas.openxmlformats.org/officeDocument/2006/relationships/hyperlink"/><Relationship Id="rId1511" Target="https%3A%2F%2Fwww.webofscience.com%2Fwos%2Fwoscc%2Ffull-record%2FWOS%3A001847669600001" TargetMode="External" Type="http://schemas.openxmlformats.org/officeDocument/2006/relationships/hyperlink"/><Relationship Id="rId1512" Target="http%3A%2F%2Fdx.doi.org%2F10.1016%2Fj.neuroimage.2024.120695" TargetMode="External" Type="http://schemas.openxmlformats.org/officeDocument/2006/relationships/hyperlink"/><Relationship Id="rId1513" Target="https%3A%2F%2Fwww.webofscience.com%2Fwos%2Fwoscc%2Ffull-record%2FWOS%3A001265276700001" TargetMode="External" Type="http://schemas.openxmlformats.org/officeDocument/2006/relationships/hyperlink"/><Relationship Id="rId1514" Target="http%3A%2F%2Fdx.doi.org%2F10.1109%2FACCESS.2025.3609330" TargetMode="External" Type="http://schemas.openxmlformats.org/officeDocument/2006/relationships/hyperlink"/><Relationship Id="rId1515" Target="https%3A%2F%2Fwww.webofscience.com%2Fwos%2Fwoscc%2Ffull-record%2FWOS%3A001575778800007" TargetMode="External" Type="http://schemas.openxmlformats.org/officeDocument/2006/relationships/hyperlink"/><Relationship Id="rId1516" Target="http%3A%2F%2Fdx.doi.org%2F10.1007%2Fs11517-026-03530-2" TargetMode="External" Type="http://schemas.openxmlformats.org/officeDocument/2006/relationships/hyperlink"/><Relationship Id="rId1517" Target="https%3A%2F%2Fwww.webofscience.com%2Fwos%2Fwoscc%2Ffull-record%2FWOS%3A001705978400001" TargetMode="External" Type="http://schemas.openxmlformats.org/officeDocument/2006/relationships/hyperlink"/><Relationship Id="rId1518" Target="http%3A%2F%2Fdx.doi.org%2F10.1136%2Fbjo-2025-328498" TargetMode="External" Type="http://schemas.openxmlformats.org/officeDocument/2006/relationships/hyperlink"/><Relationship Id="rId1519" Target="https%3A%2F%2Fwww.webofscience.com%2Fwos%2Fwoscc%2Ffull-record%2FWOS%3A001702915200001" TargetMode="External" Type="http://schemas.openxmlformats.org/officeDocument/2006/relationships/hyperlink"/><Relationship Id="rId152" Target="https%3A%2F%2Fwww.webofscience.com%2Fwos%2Fwoscc%2Ffull-record%2FWOS%3A001001616000001" TargetMode="External" Type="http://schemas.openxmlformats.org/officeDocument/2006/relationships/hyperlink"/><Relationship Id="rId1520" Target="http%3A%2F%2Fdx.doi.org%2F10.1080%2F10589759.2026.2691296" TargetMode="External" Type="http://schemas.openxmlformats.org/officeDocument/2006/relationships/hyperlink"/><Relationship Id="rId1521" Target="https%3A%2F%2Fwww.webofscience.com%2Fwos%2Fwoscc%2Ffull-record%2FWOS%3A001809535700001" TargetMode="External" Type="http://schemas.openxmlformats.org/officeDocument/2006/relationships/hyperlink"/><Relationship Id="rId1522" Target="http%3A%2F%2Fdx.doi.org%2F10.1016%2Fj.ejrad.2024.111403" TargetMode="External" Type="http://schemas.openxmlformats.org/officeDocument/2006/relationships/hyperlink"/><Relationship Id="rId1523" Target="https%3A%2F%2Fwww.webofscience.com%2Fwos%2Fwoscc%2Ffull-record%2FWOS%3A001218243900001" TargetMode="External" Type="http://schemas.openxmlformats.org/officeDocument/2006/relationships/hyperlink"/><Relationship Id="rId1524" Target="http%3A%2F%2Fdx.doi.org%2F10.32604%2Fcmc.2024.049791" TargetMode="External" Type="http://schemas.openxmlformats.org/officeDocument/2006/relationships/hyperlink"/><Relationship Id="rId1525" Target="https%3A%2F%2Fwww.webofscience.com%2Fwos%2Fwoscc%2Ffull-record%2FWOS%3A001268414500008" TargetMode="External" Type="http://schemas.openxmlformats.org/officeDocument/2006/relationships/hyperlink"/><Relationship Id="rId1526" Target="http%3A%2F%2Fdx.doi.org%2F10.1136%2Fjnis-2025-023416" TargetMode="External" Type="http://schemas.openxmlformats.org/officeDocument/2006/relationships/hyperlink"/><Relationship Id="rId1527" Target="https%3A%2F%2Fwww.webofscience.com%2Fwos%2Fwoscc%2Ffull-record%2FWOS%3A001511427200001" TargetMode="External" Type="http://schemas.openxmlformats.org/officeDocument/2006/relationships/hyperlink"/><Relationship Id="rId1528" Target="http%3A%2F%2Fdx.doi.org%2F10.1016%2Fj.chemolab.2026.105648" TargetMode="External" Type="http://schemas.openxmlformats.org/officeDocument/2006/relationships/hyperlink"/><Relationship Id="rId1529" Target="https%3A%2F%2Fwww.webofscience.com%2Fwos%2Fwoscc%2Ffull-record%2FWOS%3A001677565900001" TargetMode="External" Type="http://schemas.openxmlformats.org/officeDocument/2006/relationships/hyperlink"/><Relationship Id="rId153" Target="http%3A%2F%2Fdx.doi.org%2F10.1007%2Fs00146-025-02833-6" TargetMode="External" Type="http://schemas.openxmlformats.org/officeDocument/2006/relationships/hyperlink"/><Relationship Id="rId1530" Target="http%3A%2F%2Fdx.doi.org%2F10.1007%2Fs00345-025-05551-2" TargetMode="External" Type="http://schemas.openxmlformats.org/officeDocument/2006/relationships/hyperlink"/><Relationship Id="rId1531" Target="https%3A%2F%2Fwww.webofscience.com%2Fwos%2Fwoscc%2Ffull-record%2FWOS%3A001488610200004" TargetMode="External" Type="http://schemas.openxmlformats.org/officeDocument/2006/relationships/hyperlink"/><Relationship Id="rId1532" Target="http%3A%2F%2Fdx.doi.org%2F10.1186%2Fs12879-025-10811-y" TargetMode="External" Type="http://schemas.openxmlformats.org/officeDocument/2006/relationships/hyperlink"/><Relationship Id="rId1533" Target="https%3A%2F%2Fwww.webofscience.com%2Fwos%2Fwoscc%2Ffull-record%2FWOS%3A001451825500004" TargetMode="External" Type="http://schemas.openxmlformats.org/officeDocument/2006/relationships/hyperlink"/><Relationship Id="rId1534" Target="http%3A%2F%2Fdx.doi.org%2F10.1109%2FJBHI.2023.3266614" TargetMode="External" Type="http://schemas.openxmlformats.org/officeDocument/2006/relationships/hyperlink"/><Relationship Id="rId1535" Target="https%3A%2F%2Fwww.webofscience.com%2Fwos%2Fwoscc%2Ffull-record%2FWOS%3A001180907300002" TargetMode="External" Type="http://schemas.openxmlformats.org/officeDocument/2006/relationships/hyperlink"/><Relationship Id="rId1536" Target="http%3A%2F%2Fdx.doi.org%2F10.3389%2Ffonc.2026.1759001" TargetMode="External" Type="http://schemas.openxmlformats.org/officeDocument/2006/relationships/hyperlink"/><Relationship Id="rId1537" Target="https%3A%2F%2Fwww.webofscience.com%2Fwos%2Fwoscc%2Ffull-record%2FWOS%3A001780341700001" TargetMode="External" Type="http://schemas.openxmlformats.org/officeDocument/2006/relationships/hyperlink"/><Relationship Id="rId1538" Target="http%3A%2F%2Fdx.doi.org%2F10.1177%2F20552076251386706" TargetMode="External" Type="http://schemas.openxmlformats.org/officeDocument/2006/relationships/hyperlink"/><Relationship Id="rId1539" Target="https%3A%2F%2Fwww.webofscience.com%2Fwos%2Fwoscc%2Ffull-record%2FWOS%3A001625692000001" TargetMode="External" Type="http://schemas.openxmlformats.org/officeDocument/2006/relationships/hyperlink"/><Relationship Id="rId154" Target="https%3A%2F%2Fwww.webofscience.com%2Fwos%2Fwoscc%2Ffull-record%2FWOS%3A001681859900001" TargetMode="External" Type="http://schemas.openxmlformats.org/officeDocument/2006/relationships/hyperlink"/><Relationship Id="rId1540" Target="http%3A%2F%2Fdx.doi.org%2F10.1016%2Fj.knosys.2025.114711" TargetMode="External" Type="http://schemas.openxmlformats.org/officeDocument/2006/relationships/hyperlink"/><Relationship Id="rId1541" Target="https%3A%2F%2Fwww.webofscience.com%2Fwos%2Fwoscc%2Ffull-record%2FWOS%3A001614218600002" TargetMode="External" Type="http://schemas.openxmlformats.org/officeDocument/2006/relationships/hyperlink"/><Relationship Id="rId1542" Target="http%3A%2F%2Fdx.doi.org%2F10.1038%2Fs41746-026-02483-y" TargetMode="External" Type="http://schemas.openxmlformats.org/officeDocument/2006/relationships/hyperlink"/><Relationship Id="rId1543" Target="https%3A%2F%2Fwww.webofscience.com%2Fwos%2Fwoscc%2Ffull-record%2FWOS%3A001737459200005" TargetMode="External" Type="http://schemas.openxmlformats.org/officeDocument/2006/relationships/hyperlink"/><Relationship Id="rId1544" Target="http%3A%2F%2Fdx.doi.org%2F10.3389%2Ffphys.2025.1542240" TargetMode="External" Type="http://schemas.openxmlformats.org/officeDocument/2006/relationships/hyperlink"/><Relationship Id="rId1545" Target="https%3A%2F%2Fwww.webofscience.com%2Fwos%2Fwoscc%2Ffull-record%2FWOS%3A001436832100001" TargetMode="External" Type="http://schemas.openxmlformats.org/officeDocument/2006/relationships/hyperlink"/><Relationship Id="rId1546" Target="http%3A%2F%2Fdx.doi.org%2F10.1016%2Fj.dim.2026.100122" TargetMode="External" Type="http://schemas.openxmlformats.org/officeDocument/2006/relationships/hyperlink"/><Relationship Id="rId1547" Target="https%3A%2F%2Fwww.webofscience.com%2Fwos%2Fwoscc%2Ffull-record%2FWOS%3A001710568800001" TargetMode="External" Type="http://schemas.openxmlformats.org/officeDocument/2006/relationships/hyperlink"/><Relationship Id="rId1548" Target="http%3A%2F%2Fdx.doi.org%2F10.3390%2Fgeriatrics11020023" TargetMode="External" Type="http://schemas.openxmlformats.org/officeDocument/2006/relationships/hyperlink"/><Relationship Id="rId1549" Target="https%3A%2F%2Fwww.webofscience.com%2Fwos%2Fwoscc%2Ffull-record%2FWOS%3A001749657700001" TargetMode="External" Type="http://schemas.openxmlformats.org/officeDocument/2006/relationships/hyperlink"/><Relationship Id="rId155" Target="http%3A%2F%2Fdx.doi.org%2F10.1155%2Facis%2F8214937" TargetMode="External" Type="http://schemas.openxmlformats.org/officeDocument/2006/relationships/hyperlink"/><Relationship Id="rId1550" Target="http%3A%2F%2Fdx.doi.org%2F10.1109%2FACCESS.2025.3568918" TargetMode="External" Type="http://schemas.openxmlformats.org/officeDocument/2006/relationships/hyperlink"/><Relationship Id="rId1551" Target="https%3A%2F%2Fwww.webofscience.com%2Fwos%2Fwoscc%2Ffull-record%2FWOS%3A001502499300028" TargetMode="External" Type="http://schemas.openxmlformats.org/officeDocument/2006/relationships/hyperlink"/><Relationship Id="rId1552" Target="http%3A%2F%2Fdx.doi.org%2F10.3390%2Fphilosophies11030093" TargetMode="External" Type="http://schemas.openxmlformats.org/officeDocument/2006/relationships/hyperlink"/><Relationship Id="rId1553" Target="https%3A%2F%2Fwww.webofscience.com%2Fwos%2Fwoscc%2Ffull-record%2FWOS%3A001802233300001" TargetMode="External" Type="http://schemas.openxmlformats.org/officeDocument/2006/relationships/hyperlink"/><Relationship Id="rId1554" Target="http%3A%2F%2Fdx.doi.org%2F10.1093%2Fher%2Fcyag019" TargetMode="External" Type="http://schemas.openxmlformats.org/officeDocument/2006/relationships/hyperlink"/><Relationship Id="rId1555" Target="https%3A%2F%2Fwww.webofscience.com%2Fwos%2Fwoscc%2Ffull-record%2FWOS%3A001791942500001" TargetMode="External" Type="http://schemas.openxmlformats.org/officeDocument/2006/relationships/hyperlink"/><Relationship Id="rId1556" Target="http%3A%2F%2Fdx.doi.org%2F10.1155%2Fint%2F2240862" TargetMode="External" Type="http://schemas.openxmlformats.org/officeDocument/2006/relationships/hyperlink"/><Relationship Id="rId1557" Target="https%3A%2F%2Fwww.webofscience.com%2Fwos%2Fwoscc%2Ffull-record%2FWOS%3A001428824100001" TargetMode="External" Type="http://schemas.openxmlformats.org/officeDocument/2006/relationships/hyperlink"/><Relationship Id="rId1558" Target="http%3A%2F%2Fdx.doi.org%2F10.1186%2Fs12910-025-01317-y" TargetMode="External" Type="http://schemas.openxmlformats.org/officeDocument/2006/relationships/hyperlink"/><Relationship Id="rId1559" Target="https%3A%2F%2Fwww.webofscience.com%2Fwos%2Fwoscc%2Ffull-record%2FWOS%3A001603584200001" TargetMode="External" Type="http://schemas.openxmlformats.org/officeDocument/2006/relationships/hyperlink"/><Relationship Id="rId156" Target="https%3A%2F%2Fwww.webofscience.com%2Fwos%2Fwoscc%2Ffull-record%2FWOS%3A001820645700001" TargetMode="External" Type="http://schemas.openxmlformats.org/officeDocument/2006/relationships/hyperlink"/><Relationship Id="rId1560" Target="http%3A%2F%2Fdx.doi.org%2F10.1186%2Fs12911-026-03389-1" TargetMode="External" Type="http://schemas.openxmlformats.org/officeDocument/2006/relationships/hyperlink"/><Relationship Id="rId1561" Target="https%3A%2F%2Fwww.webofscience.com%2Fwos%2Fwoscc%2Ffull-record%2FWOS%3A001731021900001" TargetMode="External" Type="http://schemas.openxmlformats.org/officeDocument/2006/relationships/hyperlink"/><Relationship Id="rId1562" Target="http%3A%2F%2Fdx.doi.org%2F10.2196%2F72038" TargetMode="External" Type="http://schemas.openxmlformats.org/officeDocument/2006/relationships/hyperlink"/><Relationship Id="rId1563" Target="https%3A%2F%2Fwww.webofscience.com%2Fwos%2Fwoscc%2Ffull-record%2FWOS%3A001569619000002" TargetMode="External" Type="http://schemas.openxmlformats.org/officeDocument/2006/relationships/hyperlink"/><Relationship Id="rId1564" Target="http%3A%2F%2Fdx.doi.org%2F10.1007%2Fs42001-026-00462-7" TargetMode="External" Type="http://schemas.openxmlformats.org/officeDocument/2006/relationships/hyperlink"/><Relationship Id="rId1565" Target="https%3A%2F%2Fwww.webofscience.com%2Fwos%2Fwoscc%2Ffull-record%2FWOS%3A001711679800001" TargetMode="External" Type="http://schemas.openxmlformats.org/officeDocument/2006/relationships/hyperlink"/><Relationship Id="rId1566" Target="http%3A%2F%2Fdx.doi.org%2F10.1093%2Fjamia%2Focac131" TargetMode="External" Type="http://schemas.openxmlformats.org/officeDocument/2006/relationships/hyperlink"/><Relationship Id="rId1567" Target="https%3A%2F%2Fwww.webofscience.com%2Fwos%2Fwoscc%2Ffull-record%2FWOS%3A000836140200001" TargetMode="External" Type="http://schemas.openxmlformats.org/officeDocument/2006/relationships/hyperlink"/><Relationship Id="rId1568" Target="http%3A%2F%2Fdx.doi.org%2F10.3389%2Ffradi.2026.1875867" TargetMode="External" Type="http://schemas.openxmlformats.org/officeDocument/2006/relationships/hyperlink"/><Relationship Id="rId1569" Target="https%3A%2F%2Fwww.webofscience.com%2Fwos%2Fwoscc%2Ffull-record%2FWOS%3A001822191800001" TargetMode="External" Type="http://schemas.openxmlformats.org/officeDocument/2006/relationships/hyperlink"/><Relationship Id="rId157" Target="http%3A%2F%2Fdx.doi.org%2F10.3389%2Ffrai.2026.1803913" TargetMode="External" Type="http://schemas.openxmlformats.org/officeDocument/2006/relationships/hyperlink"/><Relationship Id="rId1570" Target="http%3A%2F%2Fdx.doi.org%2F10.2196%2F39862" TargetMode="External" Type="http://schemas.openxmlformats.org/officeDocument/2006/relationships/hyperlink"/><Relationship Id="rId1571" Target="https%3A%2F%2Fwww.webofscience.com%2Fwos%2Fwoscc%2Ffull-record%2FWOS%3A000998490100049" TargetMode="External" Type="http://schemas.openxmlformats.org/officeDocument/2006/relationships/hyperlink"/><Relationship Id="rId1572" Target="http%3A%2F%2Fdx.doi.org%2F10.2196%2F90456" TargetMode="External" Type="http://schemas.openxmlformats.org/officeDocument/2006/relationships/hyperlink"/><Relationship Id="rId1573" Target="https%3A%2F%2Fwww.webofscience.com%2Fwos%2Fwoscc%2Ffull-record%2FWOS%3A001783091600005" TargetMode="External" Type="http://schemas.openxmlformats.org/officeDocument/2006/relationships/hyperlink"/><Relationship Id="rId1574" Target="http%3A%2F%2Fdx.doi.org%2F10.1016%2Fj.ultras.2023.107017" TargetMode="External" Type="http://schemas.openxmlformats.org/officeDocument/2006/relationships/hyperlink"/><Relationship Id="rId1575" Target="https%3A%2F%2Fwww.webofscience.com%2Fwos%2Fwoscc%2Ffull-record%2FWOS%3A001004389700001" TargetMode="External" Type="http://schemas.openxmlformats.org/officeDocument/2006/relationships/hyperlink"/><Relationship Id="rId1576" Target="http%3A%2F%2Fdx.doi.org%2F10.1177%2F20552076251344385" TargetMode="External" Type="http://schemas.openxmlformats.org/officeDocument/2006/relationships/hyperlink"/><Relationship Id="rId1577" Target="https%3A%2F%2Fwww.webofscience.com%2Fwos%2Fwoscc%2Ffull-record%2FWOS%3A001491540200001" TargetMode="External" Type="http://schemas.openxmlformats.org/officeDocument/2006/relationships/hyperlink"/><Relationship Id="rId1578" Target="http%3A%2F%2Fdx.doi.org%2F10.1109%2FACCESS.2026.3653763" TargetMode="External" Type="http://schemas.openxmlformats.org/officeDocument/2006/relationships/hyperlink"/><Relationship Id="rId1579" Target="https%3A%2F%2Fwww.webofscience.com%2Fwos%2Fwoscc%2Ffull-record%2FWOS%3A001666956500002" TargetMode="External" Type="http://schemas.openxmlformats.org/officeDocument/2006/relationships/hyperlink"/><Relationship Id="rId158" Target="https%3A%2F%2Fwww.webofscience.com%2Fwos%2Fwoscc%2Ffull-record%2FWOS%3A001836477000001" TargetMode="External" Type="http://schemas.openxmlformats.org/officeDocument/2006/relationships/hyperlink"/><Relationship Id="rId1580" Target="http%3A%2F%2Fdx.doi.org%2F10.1016%2Fj.jaip.2022.01.047" TargetMode="External" Type="http://schemas.openxmlformats.org/officeDocument/2006/relationships/hyperlink"/><Relationship Id="rId1581" Target="https%3A%2F%2Fwww.webofscience.com%2Fwos%2Fwoscc%2Ffull-record%2FWOS%3A000832873900006" TargetMode="External" Type="http://schemas.openxmlformats.org/officeDocument/2006/relationships/hyperlink"/><Relationship Id="rId1582" Target="http%3A%2F%2Fdx.doi.org%2F10.1177%2F17470161241309347" TargetMode="External" Type="http://schemas.openxmlformats.org/officeDocument/2006/relationships/hyperlink"/><Relationship Id="rId1583" Target="https%3A%2F%2Fwww.webofscience.com%2Fwos%2Fwoscc%2Ffull-record%2FWOS%3A001388833200001" TargetMode="External" Type="http://schemas.openxmlformats.org/officeDocument/2006/relationships/hyperlink"/><Relationship Id="rId1584" Target="http%3A%2F%2Fdx.doi.org%2F10.3389%2Ffonc.2022.1078822" TargetMode="External" Type="http://schemas.openxmlformats.org/officeDocument/2006/relationships/hyperlink"/><Relationship Id="rId1585" Target="https%3A%2F%2Fwww.webofscience.com%2Fwos%2Fwoscc%2Ffull-record%2FWOS%3A000924375600001" TargetMode="External" Type="http://schemas.openxmlformats.org/officeDocument/2006/relationships/hyperlink"/><Relationship Id="rId1586" Target="http%3A%2F%2Fdx.doi.org%2F10.1016%2Fj.seizure.2023.06.002" TargetMode="External" Type="http://schemas.openxmlformats.org/officeDocument/2006/relationships/hyperlink"/><Relationship Id="rId1587" Target="https%3A%2F%2Fwww.webofscience.com%2Fwos%2Fwoscc%2Ffull-record%2FWOS%3A001055028600001" TargetMode="External" Type="http://schemas.openxmlformats.org/officeDocument/2006/relationships/hyperlink"/><Relationship Id="rId1588" Target="http%3A%2F%2Fdx.doi.org%2F10.1016%2Fj.cmpb.2025.108981" TargetMode="External" Type="http://schemas.openxmlformats.org/officeDocument/2006/relationships/hyperlink"/><Relationship Id="rId1589" Target="https%3A%2F%2Fwww.webofscience.com%2Fwos%2Fwoscc%2Ffull-record%2FWOS%3A001545256500001" TargetMode="External" Type="http://schemas.openxmlformats.org/officeDocument/2006/relationships/hyperlink"/><Relationship Id="rId159" Target="http%3A%2F%2Fdx.doi.org%2F10.1016%2Fj.engappai.2025.110481" TargetMode="External" Type="http://schemas.openxmlformats.org/officeDocument/2006/relationships/hyperlink"/><Relationship Id="rId1590" Target="http%3A%2F%2Fdx.doi.org%2F10.1186%2Fs13014-022-02035-0" TargetMode="External" Type="http://schemas.openxmlformats.org/officeDocument/2006/relationships/hyperlink"/><Relationship Id="rId1591" Target="https%3A%2F%2Fwww.webofscience.com%2Fwos%2Fwoscc%2Ffull-record%2FWOS%3A000777396500001" TargetMode="External" Type="http://schemas.openxmlformats.org/officeDocument/2006/relationships/hyperlink"/><Relationship Id="rId1592" Target="http%3A%2F%2Fdx.doi.org%2F10.1109%2FJETCAS.2024.3477976" TargetMode="External" Type="http://schemas.openxmlformats.org/officeDocument/2006/relationships/hyperlink"/><Relationship Id="rId1593" Target="https%3A%2F%2Fwww.webofscience.com%2Fwos%2Fwoscc%2Ffull-record%2FWOS%3A001378122500014" TargetMode="External" Type="http://schemas.openxmlformats.org/officeDocument/2006/relationships/hyperlink"/><Relationship Id="rId1594" Target="http%3A%2F%2Fdx.doi.org%2F10.1073%2Fpnas.2421111122" TargetMode="External" Type="http://schemas.openxmlformats.org/officeDocument/2006/relationships/hyperlink"/><Relationship Id="rId1595" Target="https%3A%2F%2Fwww.webofscience.com%2Fwos%2Fwoscc%2Ffull-record%2FWOS%3A001649887100001" TargetMode="External" Type="http://schemas.openxmlformats.org/officeDocument/2006/relationships/hyperlink"/><Relationship Id="rId1596" Target="http%3A%2F%2Fdx.doi.org%2F10.1016%2Fj.imavis.2024.104918" TargetMode="External" Type="http://schemas.openxmlformats.org/officeDocument/2006/relationships/hyperlink"/><Relationship Id="rId1597" Target="https%3A%2F%2Fwww.webofscience.com%2Fwos%2Fwoscc%2Ffull-record%2FWOS%3A001172687000001" TargetMode="External" Type="http://schemas.openxmlformats.org/officeDocument/2006/relationships/hyperlink"/><Relationship Id="rId1598" Target="http%3A%2F%2Fdx.doi.org%2F10.3390%2Fai5040130" TargetMode="External" Type="http://schemas.openxmlformats.org/officeDocument/2006/relationships/hyperlink"/><Relationship Id="rId1599" Target="https%3A%2F%2Fwww.webofscience.com%2Fwos%2Fwoscc%2Ffull-record%2FWOS%3A001384090100001" TargetMode="External" Type="http://schemas.openxmlformats.org/officeDocument/2006/relationships/hyperlink"/><Relationship Id="rId16" Target="https%3A%2F%2Fwww.webofscience.com%2Fwos%2Fwoscc%2Ffull-record%2FWOS%3A001226051300001" TargetMode="External" Type="http://schemas.openxmlformats.org/officeDocument/2006/relationships/hyperlink"/><Relationship Id="rId160" Target="https%3A%2F%2Fwww.webofscience.com%2Fwos%2Fwoscc%2Ffull-record%2FWOS%3A001441601100001" TargetMode="External" Type="http://schemas.openxmlformats.org/officeDocument/2006/relationships/hyperlink"/><Relationship Id="rId1600" Target="http%3A%2F%2Fdx.doi.org%2F10.1177%2F16094069231186965" TargetMode="External" Type="http://schemas.openxmlformats.org/officeDocument/2006/relationships/hyperlink"/><Relationship Id="rId1601" Target="https%3A%2F%2Fwww.webofscience.com%2Fwos%2Fwoscc%2Ffull-record%2FWOS%3A001022976400001" TargetMode="External" Type="http://schemas.openxmlformats.org/officeDocument/2006/relationships/hyperlink"/><Relationship Id="rId1602" Target="http%3A%2F%2Fdx.doi.org%2F10.1080%2F13600834.2025.2537514" TargetMode="External" Type="http://schemas.openxmlformats.org/officeDocument/2006/relationships/hyperlink"/><Relationship Id="rId1603" Target="https%3A%2F%2Fwww.webofscience.com%2Fwos%2Fwoscc%2Ffull-record%2FWOS%3A001537692500001" TargetMode="External" Type="http://schemas.openxmlformats.org/officeDocument/2006/relationships/hyperlink"/><Relationship Id="rId1604" Target="http%3A%2F%2Fdx.doi.org%2F10.1016%2Fj.mri.2026.110700" TargetMode="External" Type="http://schemas.openxmlformats.org/officeDocument/2006/relationships/hyperlink"/><Relationship Id="rId1605" Target="https%3A%2F%2Fwww.webofscience.com%2Fwos%2Fwoscc%2Ffull-record%2FWOS%3A001767861000001" TargetMode="External" Type="http://schemas.openxmlformats.org/officeDocument/2006/relationships/hyperlink"/><Relationship Id="rId1606" Target="http%3A%2F%2Fdx.doi.org%2F10.1080%2F21642583.2025.2600795" TargetMode="External" Type="http://schemas.openxmlformats.org/officeDocument/2006/relationships/hyperlink"/><Relationship Id="rId1607" Target="https%3A%2F%2Fwww.webofscience.com%2Fwos%2Fwoscc%2Ffull-record%2FWOS%3A001640629600001" TargetMode="External" Type="http://schemas.openxmlformats.org/officeDocument/2006/relationships/hyperlink"/><Relationship Id="rId1608" Target="http%3A%2F%2Fdx.doi.org%2F10.1007%2Fs13369-025-10148-3" TargetMode="External" Type="http://schemas.openxmlformats.org/officeDocument/2006/relationships/hyperlink"/><Relationship Id="rId1609" Target="https%3A%2F%2Fwww.webofscience.com%2Fwos%2Fwoscc%2Ffull-record%2FWOS%3A001473759000001" TargetMode="External" Type="http://schemas.openxmlformats.org/officeDocument/2006/relationships/hyperlink"/><Relationship Id="rId161" Target="http%3A%2F%2Fdx.doi.org%2F10.3390%2Fsignals6040062" TargetMode="External" Type="http://schemas.openxmlformats.org/officeDocument/2006/relationships/hyperlink"/><Relationship Id="rId1610" Target="http%3A%2F%2Fdx.doi.org%2F10.3390%2Fdiagnostics15172219" TargetMode="External" Type="http://schemas.openxmlformats.org/officeDocument/2006/relationships/hyperlink"/><Relationship Id="rId1611" Target="https%3A%2F%2Fwww.webofscience.com%2Fwos%2Fwoscc%2Ffull-record%2FWOS%3A001570111900001" TargetMode="External" Type="http://schemas.openxmlformats.org/officeDocument/2006/relationships/hyperlink"/><Relationship Id="rId1612" Target="http%3A%2F%2Fdx.doi.org%2F10.1098%2Frsos.250818" TargetMode="External" Type="http://schemas.openxmlformats.org/officeDocument/2006/relationships/hyperlink"/><Relationship Id="rId1613" Target="https%3A%2F%2Fwww.webofscience.com%2Fwos%2Fwoscc%2Ffull-record%2FWOS%3A001688172800014" TargetMode="External" Type="http://schemas.openxmlformats.org/officeDocument/2006/relationships/hyperlink"/><Relationship Id="rId1614" Target="http%3A%2F%2Fdx.doi.org%2F10.6004%2Fjnccn.2025.5006" TargetMode="External" Type="http://schemas.openxmlformats.org/officeDocument/2006/relationships/hyperlink"/><Relationship Id="rId1615" Target="https%3A%2F%2Fwww.webofscience.com%2Fwos%2Fwoscc%2Ffull-record%2FWOS%3A001518604800017" TargetMode="External" Type="http://schemas.openxmlformats.org/officeDocument/2006/relationships/hyperlink"/><Relationship Id="rId1616" Target="http%3A%2F%2Fdx.doi.org%2F10.1007%2Fs00345-025-06064-8" TargetMode="External" Type="http://schemas.openxmlformats.org/officeDocument/2006/relationships/hyperlink"/><Relationship Id="rId1617" Target="https%3A%2F%2Fwww.webofscience.com%2Fwos%2Fwoscc%2Ffull-record%2FWOS%3A001607174900001" TargetMode="External" Type="http://schemas.openxmlformats.org/officeDocument/2006/relationships/hyperlink"/><Relationship Id="rId1618" Target="http%3A%2F%2Fdx.doi.org%2F10.1016%2Fj.cag.2023.06.010" TargetMode="External" Type="http://schemas.openxmlformats.org/officeDocument/2006/relationships/hyperlink"/><Relationship Id="rId1619" Target="https%3A%2F%2Fwww.webofscience.com%2Fwos%2Fwoscc%2Ffull-record%2FWOS%3A001027060600001" TargetMode="External" Type="http://schemas.openxmlformats.org/officeDocument/2006/relationships/hyperlink"/><Relationship Id="rId162" Target="https%3A%2F%2Fwww.webofscience.com%2Fwos%2Fwoscc%2Ffull-record%2FWOS%3A001647172400001" TargetMode="External" Type="http://schemas.openxmlformats.org/officeDocument/2006/relationships/hyperlink"/><Relationship Id="rId1620" Target="http%3A%2F%2Fdx.doi.org%2F10.1080%2F10872981.2026.2655562" TargetMode="External" Type="http://schemas.openxmlformats.org/officeDocument/2006/relationships/hyperlink"/><Relationship Id="rId1621" Target="https%3A%2F%2Fwww.webofscience.com%2Fwos%2Fwoscc%2Ffull-record%2FWOS%3A001732904000001" TargetMode="External" Type="http://schemas.openxmlformats.org/officeDocument/2006/relationships/hyperlink"/><Relationship Id="rId1622" Target="http%3A%2F%2Fdx.doi.org%2F10.1186%2Fs12910-025-01249-7" TargetMode="External" Type="http://schemas.openxmlformats.org/officeDocument/2006/relationships/hyperlink"/><Relationship Id="rId1623" Target="https%3A%2F%2Fwww.webofscience.com%2Fwos%2Fwoscc%2Ffull-record%2FWOS%3A001523042600002" TargetMode="External" Type="http://schemas.openxmlformats.org/officeDocument/2006/relationships/hyperlink"/><Relationship Id="rId1624" Target="http%3A%2F%2Fdx.doi.org%2F10.1016%2Fj.jaad.2024.10.132" TargetMode="External" Type="http://schemas.openxmlformats.org/officeDocument/2006/relationships/hyperlink"/><Relationship Id="rId1625" Target="https%3A%2F%2Fwww.webofscience.com%2Fwos%2Fwoscc%2Ffull-record%2FWOS%3A001645443200001" TargetMode="External" Type="http://schemas.openxmlformats.org/officeDocument/2006/relationships/hyperlink"/><Relationship Id="rId1626" Target="http%3A%2F%2Fdx.doi.org%2F10.1016%2Fj.mlwa.2023.100492" TargetMode="External" Type="http://schemas.openxmlformats.org/officeDocument/2006/relationships/hyperlink"/><Relationship Id="rId1627" Target="https%3A%2F%2Fwww.webofscience.com%2Fwos%2Fwoscc%2Ffull-record%2FWOS%3A001221464500006" TargetMode="External" Type="http://schemas.openxmlformats.org/officeDocument/2006/relationships/hyperlink"/><Relationship Id="rId1628" Target="http%3A%2F%2Fdx.doi.org%2F10.1093%2Fjamiaopen%2Fooag074" TargetMode="External" Type="http://schemas.openxmlformats.org/officeDocument/2006/relationships/hyperlink"/><Relationship Id="rId1629" Target="https%3A%2F%2Fwww.webofscience.com%2Fwos%2Fwoscc%2Ffull-record%2FWOS%3A001772001600001" TargetMode="External" Type="http://schemas.openxmlformats.org/officeDocument/2006/relationships/hyperlink"/><Relationship Id="rId163" Target="http%3A%2F%2Fdx.doi.org%2F10.1007%2Fs12530-026-09818-w" TargetMode="External" Type="http://schemas.openxmlformats.org/officeDocument/2006/relationships/hyperlink"/><Relationship Id="rId1630" Target="http%3A%2F%2Fdx.doi.org%2F10.1016%2Fj.hlpt.2026.101260" TargetMode="External" Type="http://schemas.openxmlformats.org/officeDocument/2006/relationships/hyperlink"/><Relationship Id="rId1631" Target="https%3A%2F%2Fwww.webofscience.com%2Fwos%2Fwoscc%2Ffull-record%2FWOS%3A001797100500001" TargetMode="External" Type="http://schemas.openxmlformats.org/officeDocument/2006/relationships/hyperlink"/><Relationship Id="rId1632" Target="http%3A%2F%2Fdx.doi.org%2F10.21037%2Ftlcr-2025-152" TargetMode="External" Type="http://schemas.openxmlformats.org/officeDocument/2006/relationships/hyperlink"/><Relationship Id="rId1633" Target="https%3A%2F%2Fwww.webofscience.com%2Fwos%2Fwoscc%2Ffull-record%2FWOS%3A001533390600010" TargetMode="External" Type="http://schemas.openxmlformats.org/officeDocument/2006/relationships/hyperlink"/><Relationship Id="rId1634" Target="http%3A%2F%2Fdx.doi.org%2F10.1108%2FJICES-12-2025-0393" TargetMode="External" Type="http://schemas.openxmlformats.org/officeDocument/2006/relationships/hyperlink"/><Relationship Id="rId1635" Target="https%3A%2F%2Fwww.webofscience.com%2Fwos%2Fwoscc%2Ffull-record%2FWOS%3A001744334300001" TargetMode="External" Type="http://schemas.openxmlformats.org/officeDocument/2006/relationships/hyperlink"/><Relationship Id="rId1636" Target="http%3A%2F%2Fdx.doi.org%2F10.1080%2F0144929X.2025.2590099" TargetMode="External" Type="http://schemas.openxmlformats.org/officeDocument/2006/relationships/hyperlink"/><Relationship Id="rId1637" Target="https%3A%2F%2Fwww.webofscience.com%2Fwos%2Fwoscc%2Ffull-record%2FWOS%3A001618735800001" TargetMode="External" Type="http://schemas.openxmlformats.org/officeDocument/2006/relationships/hyperlink"/><Relationship Id="rId1638" Target="http%3A%2F%2Fdx.doi.org%2F10.1017%2Ferr.2023.57" TargetMode="External" Type="http://schemas.openxmlformats.org/officeDocument/2006/relationships/hyperlink"/><Relationship Id="rId1639" Target="https%3A%2F%2Fwww.webofscience.com%2Fwos%2Fwoscc%2Ffull-record%2FWOS%3A001051001000001" TargetMode="External" Type="http://schemas.openxmlformats.org/officeDocument/2006/relationships/hyperlink"/><Relationship Id="rId164" Target="https%3A%2F%2Fwww.webofscience.com%2Fwos%2Fwoscc%2Ffull-record%2FWOS%3A001715031000005" TargetMode="External" Type="http://schemas.openxmlformats.org/officeDocument/2006/relationships/hyperlink"/><Relationship Id="rId1640" Target="http%3A%2F%2Fdx.doi.org%2F10.1108%2FIJCHM-01-2025-0159" TargetMode="External" Type="http://schemas.openxmlformats.org/officeDocument/2006/relationships/hyperlink"/><Relationship Id="rId1641" Target="https%3A%2F%2Fwww.webofscience.com%2Fwos%2Fwoscc%2Ffull-record%2FWOS%3A001556468400001" TargetMode="External" Type="http://schemas.openxmlformats.org/officeDocument/2006/relationships/hyperlink"/><Relationship Id="rId1642" Target="http%3A%2F%2Fdx.doi.org%2F10.1016%2Fj.ijmedinf.2023.105280" TargetMode="External" Type="http://schemas.openxmlformats.org/officeDocument/2006/relationships/hyperlink"/><Relationship Id="rId1643" Target="https%3A%2F%2Fwww.webofscience.com%2Fwos%2Fwoscc%2Ffull-record%2FWOS%3A001111997400001" TargetMode="External" Type="http://schemas.openxmlformats.org/officeDocument/2006/relationships/hyperlink"/><Relationship Id="rId1644" Target="http%3A%2F%2Fdx.doi.org%2F10.1001%2Fjamanetworkopen.2026.0815" TargetMode="External" Type="http://schemas.openxmlformats.org/officeDocument/2006/relationships/hyperlink"/><Relationship Id="rId1645" Target="https%3A%2F%2Fwww.webofscience.com%2Fwos%2Fwoscc%2Ffull-record%2FWOS%3A001707983200001" TargetMode="External" Type="http://schemas.openxmlformats.org/officeDocument/2006/relationships/hyperlink"/><Relationship Id="rId1646" Target="http%3A%2F%2Fdx.doi.org%2F10.1016%2Fj.cmpb.2025.108733" TargetMode="External" Type="http://schemas.openxmlformats.org/officeDocument/2006/relationships/hyperlink"/><Relationship Id="rId1647" Target="https%3A%2F%2Fwww.webofscience.com%2Fwos%2Fwoscc%2Ffull-record%2FWOS%3A001458089200001" TargetMode="External" Type="http://schemas.openxmlformats.org/officeDocument/2006/relationships/hyperlink"/><Relationship Id="rId1648" Target="http%3A%2F%2Fdx.doi.org%2F10.1016%2Fj.jcms.2026.104449" TargetMode="External" Type="http://schemas.openxmlformats.org/officeDocument/2006/relationships/hyperlink"/><Relationship Id="rId1649" Target="https%3A%2F%2Fwww.webofscience.com%2Fwos%2Fwoscc%2Ffull-record%2FWOS%3A001664547100001" TargetMode="External" Type="http://schemas.openxmlformats.org/officeDocument/2006/relationships/hyperlink"/><Relationship Id="rId165" Target="https%3A%2F%2Fwww.webofscience.com%2Fwos%2Fwoscc%2Ffull-record%2FWOS%3A001487617900013" TargetMode="External" Type="http://schemas.openxmlformats.org/officeDocument/2006/relationships/hyperlink"/><Relationship Id="rId1650" Target="http%3A%2F%2Fdx.doi.org%2F10.1016%2Fj.clindermatol.2024.02.003" TargetMode="External" Type="http://schemas.openxmlformats.org/officeDocument/2006/relationships/hyperlink"/><Relationship Id="rId1651" Target="https%3A%2F%2Fwww.webofscience.com%2Fwos%2Fwoscc%2Ffull-record%2FWOS%3A001252199400001" TargetMode="External" Type="http://schemas.openxmlformats.org/officeDocument/2006/relationships/hyperlink"/><Relationship Id="rId1652" Target="http%3A%2F%2Fdx.doi.org%2F10.1053%2Fj.gastro.2025.05.007" TargetMode="External" Type="http://schemas.openxmlformats.org/officeDocument/2006/relationships/hyperlink"/><Relationship Id="rId1653" Target="https%3A%2F%2Fwww.webofscience.com%2Fwos%2Fwoscc%2Ffull-record%2FWOS%3A001554463900001" TargetMode="External" Type="http://schemas.openxmlformats.org/officeDocument/2006/relationships/hyperlink"/><Relationship Id="rId1654" Target="http%3A%2F%2Fdx.doi.org%2F10.5826%2Fdpc.1602a6758" TargetMode="External" Type="http://schemas.openxmlformats.org/officeDocument/2006/relationships/hyperlink"/><Relationship Id="rId1655" Target="https%3A%2F%2Fwww.webofscience.com%2Fwos%2Fwoscc%2Ffull-record%2FWOS%3A001775767300016" TargetMode="External" Type="http://schemas.openxmlformats.org/officeDocument/2006/relationships/hyperlink"/><Relationship Id="rId1656" Target="http%3A%2F%2Fdx.doi.org%2F10.1093%2Fjlb%2Flsaf028" TargetMode="External" Type="http://schemas.openxmlformats.org/officeDocument/2006/relationships/hyperlink"/><Relationship Id="rId1657" Target="https%3A%2F%2Fwww.webofscience.com%2Fwos%2Fwoscc%2Ffull-record%2FWOS%3A001611511900001" TargetMode="External" Type="http://schemas.openxmlformats.org/officeDocument/2006/relationships/hyperlink"/><Relationship Id="rId1658" Target="http%3A%2F%2Fdx.doi.org%2F10.1007%2Fs00428-026-04527-w" TargetMode="External" Type="http://schemas.openxmlformats.org/officeDocument/2006/relationships/hyperlink"/><Relationship Id="rId1659" Target="https%3A%2F%2Fwww.webofscience.com%2Fwos%2Fwoscc%2Ffull-record%2FWOS%3A001754117000001" TargetMode="External" Type="http://schemas.openxmlformats.org/officeDocument/2006/relationships/hyperlink"/><Relationship Id="rId166" Target="http%3A%2F%2Fdx.doi.org%2F10.1007%2Fs11325-026-03774-0" TargetMode="External" Type="http://schemas.openxmlformats.org/officeDocument/2006/relationships/hyperlink"/><Relationship Id="rId1660" Target="http%3A%2F%2Fdx.doi.org%2F10.1109%2FACCESS.2026.3668034" TargetMode="External" Type="http://schemas.openxmlformats.org/officeDocument/2006/relationships/hyperlink"/><Relationship Id="rId1661" Target="https%3A%2F%2Fwww.webofscience.com%2Fwos%2Fwoscc%2Ffull-record%2FWOS%3A001706400800020" TargetMode="External" Type="http://schemas.openxmlformats.org/officeDocument/2006/relationships/hyperlink"/><Relationship Id="rId1662" Target="http%3A%2F%2Fdx.doi.org%2F10.3389%2Ffradi.2026.1902217" TargetMode="External" Type="http://schemas.openxmlformats.org/officeDocument/2006/relationships/hyperlink"/><Relationship Id="rId1663" Target="https%3A%2F%2Fwww.webofscience.com%2Fwos%2Fwoscc%2Ffull-record%2FWOS%3A001836137900001" TargetMode="External" Type="http://schemas.openxmlformats.org/officeDocument/2006/relationships/hyperlink"/><Relationship Id="rId1664" Target="http%3A%2F%2Fdx.doi.org%2F10.1007%2Fs42452-024-05848-8" TargetMode="External" Type="http://schemas.openxmlformats.org/officeDocument/2006/relationships/hyperlink"/><Relationship Id="rId1665" Target="https%3A%2F%2Fwww.webofscience.com%2Fwos%2Fwoscc%2Ffull-record%2FWOS%3A001197264800006" TargetMode="External" Type="http://schemas.openxmlformats.org/officeDocument/2006/relationships/hyperlink"/><Relationship Id="rId1666" Target="http%3A%2F%2Fdx.doi.org%2F10.1093%2Finthealth%2Fihag033" TargetMode="External" Type="http://schemas.openxmlformats.org/officeDocument/2006/relationships/hyperlink"/><Relationship Id="rId1667" Target="https%3A%2F%2Fwww.webofscience.com%2Fwos%2Fwoscc%2Ffull-record%2FWOS%3A001733055100001" TargetMode="External" Type="http://schemas.openxmlformats.org/officeDocument/2006/relationships/hyperlink"/><Relationship Id="rId1668" Target="http%3A%2F%2Fdx.doi.org%2F10.3390%2Fcomputers14060238" TargetMode="External" Type="http://schemas.openxmlformats.org/officeDocument/2006/relationships/hyperlink"/><Relationship Id="rId1669" Target="https%3A%2F%2Fwww.webofscience.com%2Fwos%2Fwoscc%2Ffull-record%2FWOS%3A001514782200001" TargetMode="External" Type="http://schemas.openxmlformats.org/officeDocument/2006/relationships/hyperlink"/><Relationship Id="rId167" Target="https%3A%2F%2Fwww.webofscience.com%2Fwos%2Fwoscc%2Ffull-record%2FWOS%3A001836189300001" TargetMode="External" Type="http://schemas.openxmlformats.org/officeDocument/2006/relationships/hyperlink"/><Relationship Id="rId1670" Target="http%3A%2F%2Fdx.doi.org%2F10.3390%2Fapp16010277" TargetMode="External" Type="http://schemas.openxmlformats.org/officeDocument/2006/relationships/hyperlink"/><Relationship Id="rId1671" Target="https%3A%2F%2Fwww.webofscience.com%2Fwos%2Fwoscc%2Ffull-record%2FWOS%3A001657239500001" TargetMode="External" Type="http://schemas.openxmlformats.org/officeDocument/2006/relationships/hyperlink"/><Relationship Id="rId1672" Target="http%3A%2F%2Fdx.doi.org%2F10.1111%2Fjan.70082" TargetMode="External" Type="http://schemas.openxmlformats.org/officeDocument/2006/relationships/hyperlink"/><Relationship Id="rId1673" Target="https%3A%2F%2Fwww.webofscience.com%2Fwos%2Fwoscc%2Ffull-record%2FWOS%3A001531969700001" TargetMode="External" Type="http://schemas.openxmlformats.org/officeDocument/2006/relationships/hyperlink"/><Relationship Id="rId1674" Target="http%3A%2F%2Fdx.doi.org%2F10.2196%2F74947" TargetMode="External" Type="http://schemas.openxmlformats.org/officeDocument/2006/relationships/hyperlink"/><Relationship Id="rId1675" Target="https%3A%2F%2Fwww.webofscience.com%2Fwos%2Fwoscc%2Ffull-record%2FWOS%3A001574347900001" TargetMode="External" Type="http://schemas.openxmlformats.org/officeDocument/2006/relationships/hyperlink"/><Relationship Id="rId1676" Target="http%3A%2F%2Fdx.doi.org%2F10.1007%2Fs10278-025-01493-8" TargetMode="External" Type="http://schemas.openxmlformats.org/officeDocument/2006/relationships/hyperlink"/><Relationship Id="rId1677" Target="https%3A%2F%2Fwww.webofscience.com%2Fwos%2Fwoscc%2Ffull-record%2FWOS%3A001461713100001" TargetMode="External" Type="http://schemas.openxmlformats.org/officeDocument/2006/relationships/hyperlink"/><Relationship Id="rId1678" Target="http%3A%2F%2Fdx.doi.org%2F10.3390%2Fdiagnostics14050543" TargetMode="External" Type="http://schemas.openxmlformats.org/officeDocument/2006/relationships/hyperlink"/><Relationship Id="rId1679" Target="https%3A%2F%2Fwww.webofscience.com%2Fwos%2Fwoscc%2Ffull-record%2FWOS%3A001182885200001" TargetMode="External" Type="http://schemas.openxmlformats.org/officeDocument/2006/relationships/hyperlink"/><Relationship Id="rId168" Target="http%3A%2F%2Fdx.doi.org%2F10.1016%2Fj.engappai.2026.115812" TargetMode="External" Type="http://schemas.openxmlformats.org/officeDocument/2006/relationships/hyperlink"/><Relationship Id="rId1680" Target="http%3A%2F%2Fdx.doi.org%2F10.1016%2Fj.artmed.2024.102769" TargetMode="External" Type="http://schemas.openxmlformats.org/officeDocument/2006/relationships/hyperlink"/><Relationship Id="rId1681" Target="https%3A%2F%2Fwww.webofscience.com%2Fwos%2Fwoscc%2Ffull-record%2FWOS%3A001169820600001" TargetMode="External" Type="http://schemas.openxmlformats.org/officeDocument/2006/relationships/hyperlink"/><Relationship Id="rId1682" Target="http%3A%2F%2Fdx.doi.org%2F10.1007%2Fs10796-022-10336-8" TargetMode="External" Type="http://schemas.openxmlformats.org/officeDocument/2006/relationships/hyperlink"/><Relationship Id="rId1683" Target="https%3A%2F%2Fwww.webofscience.com%2Fwos%2Fwoscc%2Ffull-record%2FWOS%3A000863200600001" TargetMode="External" Type="http://schemas.openxmlformats.org/officeDocument/2006/relationships/hyperlink"/><Relationship Id="rId1684" Target="http%3A%2F%2Fdx.doi.org%2F10.1186%2Fs12984-026-01997-6" TargetMode="External" Type="http://schemas.openxmlformats.org/officeDocument/2006/relationships/hyperlink"/><Relationship Id="rId1685" Target="https%3A%2F%2Fwww.webofscience.com%2Fwos%2Fwoscc%2Ffull-record%2FWOS%3A001792195200004" TargetMode="External" Type="http://schemas.openxmlformats.org/officeDocument/2006/relationships/hyperlink"/><Relationship Id="rId1686" Target="http%3A%2F%2Fdx.doi.org%2F10.1007%2Fs40670-024-02181-y" TargetMode="External" Type="http://schemas.openxmlformats.org/officeDocument/2006/relationships/hyperlink"/><Relationship Id="rId1687" Target="https%3A%2F%2Fwww.webofscience.com%2Fwos%2Fwoscc%2Ffull-record%2FWOS%3A001322417400002" TargetMode="External" Type="http://schemas.openxmlformats.org/officeDocument/2006/relationships/hyperlink"/><Relationship Id="rId1688" Target="http%3A%2F%2Fdx.doi.org%2F10.3390%2Finfo16050358" TargetMode="External" Type="http://schemas.openxmlformats.org/officeDocument/2006/relationships/hyperlink"/><Relationship Id="rId1689" Target="https%3A%2F%2Fwww.webofscience.com%2Fwos%2Fwoscc%2Ffull-record%2FWOS%3A001496953600001" TargetMode="External" Type="http://schemas.openxmlformats.org/officeDocument/2006/relationships/hyperlink"/><Relationship Id="rId169" Target="https%3A%2F%2Fwww.webofscience.com%2Fwos%2Fwoscc%2Ffull-record%2FWOS%3A001843258300001" TargetMode="External" Type="http://schemas.openxmlformats.org/officeDocument/2006/relationships/hyperlink"/><Relationship Id="rId1690" Target="http%3A%2F%2Fdx.doi.org%2F10.2196%2F80342" TargetMode="External" Type="http://schemas.openxmlformats.org/officeDocument/2006/relationships/hyperlink"/><Relationship Id="rId1691" Target="https%3A%2F%2Fwww.webofscience.com%2Fwos%2Fwoscc%2Ffull-record%2FWOS%3A001682179600004" TargetMode="External" Type="http://schemas.openxmlformats.org/officeDocument/2006/relationships/hyperlink"/><Relationship Id="rId1692" Target="http%3A%2F%2Fdx.doi.org%2F10.3390%2Fmath13091465" TargetMode="External" Type="http://schemas.openxmlformats.org/officeDocument/2006/relationships/hyperlink"/><Relationship Id="rId1693" Target="https%3A%2F%2Fwww.webofscience.com%2Fwos%2Fwoscc%2Ffull-record%2FWOS%3A001486375800001" TargetMode="External" Type="http://schemas.openxmlformats.org/officeDocument/2006/relationships/hyperlink"/><Relationship Id="rId1694" Target="http%3A%2F%2Fdx.doi.org%2F10.1186%2Fs12910-026-01474-8" TargetMode="External" Type="http://schemas.openxmlformats.org/officeDocument/2006/relationships/hyperlink"/><Relationship Id="rId1695" Target="https%3A%2F%2Fwww.webofscience.com%2Fwos%2Fwoscc%2Ffull-record%2FWOS%3A001838730200001" TargetMode="External" Type="http://schemas.openxmlformats.org/officeDocument/2006/relationships/hyperlink"/><Relationship Id="rId1696" Target="http%3A%2F%2Fdx.doi.org%2F10.3389%2Ffrai.2026.1768696" TargetMode="External" Type="http://schemas.openxmlformats.org/officeDocument/2006/relationships/hyperlink"/><Relationship Id="rId1697" Target="https%3A%2F%2Fwww.webofscience.com%2Fwos%2Fwoscc%2Ffull-record%2FWOS%3A001718316300001" TargetMode="External" Type="http://schemas.openxmlformats.org/officeDocument/2006/relationships/hyperlink"/><Relationship Id="rId1698" Target="http%3A%2F%2Fdx.doi.org%2F10.1016%2Fj.digbus.2025.100145" TargetMode="External" Type="http://schemas.openxmlformats.org/officeDocument/2006/relationships/hyperlink"/><Relationship Id="rId1699" Target="https%3A%2F%2Fwww.webofscience.com%2Fwos%2Fwoscc%2Ffull-record%2FWOS%3A001559613800001" TargetMode="External" Type="http://schemas.openxmlformats.org/officeDocument/2006/relationships/hyperlink"/><Relationship Id="rId17" Target="http%3A%2F%2Fdx.doi.org%2F10.3389%2Ffmed.2024.1349373" TargetMode="External" Type="http://schemas.openxmlformats.org/officeDocument/2006/relationships/hyperlink"/><Relationship Id="rId170" Target="http%3A%2F%2Fdx.doi.org%2F10.1016%2Fj.media.2026.104159" TargetMode="External" Type="http://schemas.openxmlformats.org/officeDocument/2006/relationships/hyperlink"/><Relationship Id="rId1700" Target="http%3A%2F%2Fdx.doi.org%2F10.25253%2F99.2025272.16" TargetMode="External" Type="http://schemas.openxmlformats.org/officeDocument/2006/relationships/hyperlink"/><Relationship Id="rId1701" Target="https%3A%2F%2Fwww.webofscience.com%2Fwos%2Fwoscc%2Ffull-record%2FWOS%3A001552074400016" TargetMode="External" Type="http://schemas.openxmlformats.org/officeDocument/2006/relationships/hyperlink"/><Relationship Id="rId1702" Target="http%3A%2F%2Fdx.doi.org%2F10.2196%2F50781" TargetMode="External" Type="http://schemas.openxmlformats.org/officeDocument/2006/relationships/hyperlink"/><Relationship Id="rId1703" Target="https%3A%2F%2Fwww.webofscience.com%2Fwos%2Fwoscc%2Ffull-record%2FWOS%3A001488678000002" TargetMode="External" Type="http://schemas.openxmlformats.org/officeDocument/2006/relationships/hyperlink"/><Relationship Id="rId1704" Target="http%3A%2F%2Fdx.doi.org%2F10.1016%2Fj.imavis.2026.106059" TargetMode="External" Type="http://schemas.openxmlformats.org/officeDocument/2006/relationships/hyperlink"/><Relationship Id="rId1705" Target="https%3A%2F%2Fwww.webofscience.com%2Fwos%2Fwoscc%2Ffull-record%2FWOS%3A001827970900001" TargetMode="External" Type="http://schemas.openxmlformats.org/officeDocument/2006/relationships/hyperlink"/><Relationship Id="rId1706" Target="http%3A%2F%2Fdx.doi.org%2F10.1016%2Fj.knosys.2025.114402" TargetMode="External" Type="http://schemas.openxmlformats.org/officeDocument/2006/relationships/hyperlink"/><Relationship Id="rId1707" Target="https%3A%2F%2Fwww.webofscience.com%2Fwos%2Fwoscc%2Ffull-record%2FWOS%3A001567008200001" TargetMode="External" Type="http://schemas.openxmlformats.org/officeDocument/2006/relationships/hyperlink"/><Relationship Id="rId1708" Target="http%3A%2F%2Fdx.doi.org%2F10.1186%2Fs41073-026-00245-8" TargetMode="External" Type="http://schemas.openxmlformats.org/officeDocument/2006/relationships/hyperlink"/><Relationship Id="rId1709" Target="https%3A%2F%2Fwww.webofscience.com%2Fwos%2Fwoscc%2Ffull-record%2FWOS%3A001852182100001" TargetMode="External" Type="http://schemas.openxmlformats.org/officeDocument/2006/relationships/hyperlink"/><Relationship Id="rId171" Target="https%3A%2F%2Fwww.webofscience.com%2Fwos%2Fwoscc%2Ffull-record%2FWOS%3A001828863100001" TargetMode="External" Type="http://schemas.openxmlformats.org/officeDocument/2006/relationships/hyperlink"/><Relationship Id="rId1710" Target="http%3A%2F%2Fdx.doi.org%2F10.1016%2Fj.future.2026.108649" TargetMode="External" Type="http://schemas.openxmlformats.org/officeDocument/2006/relationships/hyperlink"/><Relationship Id="rId1711" Target="https%3A%2F%2Fwww.webofscience.com%2Fwos%2Fwoscc%2Ffull-record%2FWOS%3A001808731800001" TargetMode="External" Type="http://schemas.openxmlformats.org/officeDocument/2006/relationships/hyperlink"/><Relationship Id="rId1712" Target="http%3A%2F%2Fdx.doi.org%2F10.3390%2Fcancers15030966" TargetMode="External" Type="http://schemas.openxmlformats.org/officeDocument/2006/relationships/hyperlink"/><Relationship Id="rId1713" Target="https%3A%2F%2Fwww.webofscience.com%2Fwos%2Fwoscc%2Ffull-record%2FWOS%3A000929248300001" TargetMode="External" Type="http://schemas.openxmlformats.org/officeDocument/2006/relationships/hyperlink"/><Relationship Id="rId1714" Target="http%3A%2F%2Fdx.doi.org%2F10.2196%2F89815" TargetMode="External" Type="http://schemas.openxmlformats.org/officeDocument/2006/relationships/hyperlink"/><Relationship Id="rId1715" Target="https%3A%2F%2Fwww.webofscience.com%2Fwos%2Fwoscc%2Ffull-record%2FWOS%3A001791368500001" TargetMode="External" Type="http://schemas.openxmlformats.org/officeDocument/2006/relationships/hyperlink"/><Relationship Id="rId1716" Target="http%3A%2F%2Fdx.doi.org%2F10.1109%2FMCOMSTD.2026.3677775" TargetMode="External" Type="http://schemas.openxmlformats.org/officeDocument/2006/relationships/hyperlink"/><Relationship Id="rId1717" Target="https%3A%2F%2Fwww.webofscience.com%2Fwos%2Fwoscc%2Ffull-record%2FWOS%3A001737583700001" TargetMode="External" Type="http://schemas.openxmlformats.org/officeDocument/2006/relationships/hyperlink"/><Relationship Id="rId1718" Target="http%3A%2F%2Fdx.doi.org%2F10.1096%2Ffj.202600019R" TargetMode="External" Type="http://schemas.openxmlformats.org/officeDocument/2006/relationships/hyperlink"/><Relationship Id="rId1719" Target="https%3A%2F%2Fwww.webofscience.com%2Fwos%2Fwoscc%2Ffull-record%2FWOS%3A001813915900001" TargetMode="External" Type="http://schemas.openxmlformats.org/officeDocument/2006/relationships/hyperlink"/><Relationship Id="rId172" Target="http%3A%2F%2Fdx.doi.org%2F10.5489%2Fcuaj.7473" TargetMode="External" Type="http://schemas.openxmlformats.org/officeDocument/2006/relationships/hyperlink"/><Relationship Id="rId1720" Target="http%3A%2F%2Fdx.doi.org%2F10.1186%2Fs12909-025-07854-9" TargetMode="External" Type="http://schemas.openxmlformats.org/officeDocument/2006/relationships/hyperlink"/><Relationship Id="rId1721" Target="https%3A%2F%2Fwww.webofscience.com%2Fwos%2Fwoscc%2Ffull-record%2FWOS%3A001591468500002" TargetMode="External" Type="http://schemas.openxmlformats.org/officeDocument/2006/relationships/hyperlink"/><Relationship Id="rId1722" Target="http%3A%2F%2Fdx.doi.org%2F10.1016%2Fj.jksuci.2023.101675" TargetMode="External" Type="http://schemas.openxmlformats.org/officeDocument/2006/relationships/hyperlink"/><Relationship Id="rId1723" Target="https%3A%2F%2Fwww.webofscience.com%2Fwos%2Fwoscc%2Ffull-record%2FWOS%3A001150035400001" TargetMode="External" Type="http://schemas.openxmlformats.org/officeDocument/2006/relationships/hyperlink"/><Relationship Id="rId1724" Target="http%3A%2F%2Fdx.doi.org%2F10.1007%2Fs10278-024-01368-4" TargetMode="External" Type="http://schemas.openxmlformats.org/officeDocument/2006/relationships/hyperlink"/><Relationship Id="rId1725" Target="https%3A%2F%2Fwww.webofscience.com%2Fwos%2Fwoscc%2Ffull-record%2FWOS%3A001391693900001" TargetMode="External" Type="http://schemas.openxmlformats.org/officeDocument/2006/relationships/hyperlink"/><Relationship Id="rId1726" Target="http%3A%2F%2Fdx.doi.org%2F10.1177%2F10963480251391278" TargetMode="External" Type="http://schemas.openxmlformats.org/officeDocument/2006/relationships/hyperlink"/><Relationship Id="rId1727" Target="https%3A%2F%2Fwww.webofscience.com%2Fwos%2Fwoscc%2Ffull-record%2FWOS%3A001616451900001" TargetMode="External" Type="http://schemas.openxmlformats.org/officeDocument/2006/relationships/hyperlink"/><Relationship Id="rId1728" Target="http%3A%2F%2Fdx.doi.org%2F10.1016%2Fj.compbiolchem.2026.109086" TargetMode="External" Type="http://schemas.openxmlformats.org/officeDocument/2006/relationships/hyperlink"/><Relationship Id="rId1729" Target="https%3A%2F%2Fwww.webofscience.com%2Fwos%2Fwoscc%2Ffull-record%2FWOS%3A001759939200001" TargetMode="External" Type="http://schemas.openxmlformats.org/officeDocument/2006/relationships/hyperlink"/><Relationship Id="rId173" Target="https%3A%2F%2Fwww.webofscience.com%2Fwos%2Fwoscc%2Ffull-record%2FWOS%3A000808231100010" TargetMode="External" Type="http://schemas.openxmlformats.org/officeDocument/2006/relationships/hyperlink"/><Relationship Id="rId1730" Target="http%3A%2F%2Fdx.doi.org%2F10.6087%2Fkcse.373" TargetMode="External" Type="http://schemas.openxmlformats.org/officeDocument/2006/relationships/hyperlink"/><Relationship Id="rId1731" Target="https%3A%2F%2Fwww.webofscience.com%2Fwos%2Fwoscc%2Ffull-record%2FWOS%3A001552965000009" TargetMode="External" Type="http://schemas.openxmlformats.org/officeDocument/2006/relationships/hyperlink"/><Relationship Id="rId1732" Target="http%3A%2F%2Fdx.doi.org%2F10.3389%2Ffdgth.2026.1819411" TargetMode="External" Type="http://schemas.openxmlformats.org/officeDocument/2006/relationships/hyperlink"/><Relationship Id="rId1733" Target="https%3A%2F%2Fwww.webofscience.com%2Fwos%2Fwoscc%2Ffull-record%2FWOS%3A001832664200001" TargetMode="External" Type="http://schemas.openxmlformats.org/officeDocument/2006/relationships/hyperlink"/><Relationship Id="rId1734" Target="http%3A%2F%2Fdx.doi.org%2F10.1186%2Fs13075-024-03277-x" TargetMode="External" Type="http://schemas.openxmlformats.org/officeDocument/2006/relationships/hyperlink"/><Relationship Id="rId1735" Target="https%3A%2F%2Fwww.webofscience.com%2Fwos%2Fwoscc%2Ffull-record%2FWOS%3A001158806400002" TargetMode="External" Type="http://schemas.openxmlformats.org/officeDocument/2006/relationships/hyperlink"/><Relationship Id="rId1736" Target="http%3A%2F%2Fdx.doi.org%2F10.11113%2Fmjfas.v21n3.3792" TargetMode="External" Type="http://schemas.openxmlformats.org/officeDocument/2006/relationships/hyperlink"/><Relationship Id="rId1737" Target="https%3A%2F%2Fwww.webofscience.com%2Fwos%2Fwoscc%2Ffull-record%2FWOS%3A001512009100006" TargetMode="External" Type="http://schemas.openxmlformats.org/officeDocument/2006/relationships/hyperlink"/><Relationship Id="rId1738" Target="http%3A%2F%2Fdx.doi.org%2F10.1080%2F21681163.2026.2664023" TargetMode="External" Type="http://schemas.openxmlformats.org/officeDocument/2006/relationships/hyperlink"/><Relationship Id="rId1739" Target="https%3A%2F%2Fwww.webofscience.com%2Fwos%2Fwoscc%2Ffull-record%2FWOS%3A001764323900001" TargetMode="External" Type="http://schemas.openxmlformats.org/officeDocument/2006/relationships/hyperlink"/><Relationship Id="rId174" Target="http%3A%2F%2Fdx.doi.org%2F10.1111%2Fasap.70031" TargetMode="External" Type="http://schemas.openxmlformats.org/officeDocument/2006/relationships/hyperlink"/><Relationship Id="rId1740" Target="http%3A%2F%2Fdx.doi.org%2F10.1016%2Fj.jval.2021.11.1369" TargetMode="External" Type="http://schemas.openxmlformats.org/officeDocument/2006/relationships/hyperlink"/><Relationship Id="rId1741" Target="https%3A%2F%2Fwww.webofscience.com%2Fwos%2Fwoscc%2Ffull-record%2FWOS%3A000793515100005" TargetMode="External" Type="http://schemas.openxmlformats.org/officeDocument/2006/relationships/hyperlink"/><Relationship Id="rId1742" Target="http%3A%2F%2Fdx.doi.org%2F10.3390%2Fjimaging10050117" TargetMode="External" Type="http://schemas.openxmlformats.org/officeDocument/2006/relationships/hyperlink"/><Relationship Id="rId1743" Target="https%3A%2F%2Fwww.webofscience.com%2Fwos%2Fwoscc%2Ffull-record%2FWOS%3A001232968400001" TargetMode="External" Type="http://schemas.openxmlformats.org/officeDocument/2006/relationships/hyperlink"/><Relationship Id="rId1744" Target="http%3A%2F%2Fdx.doi.org%2F10.1109%2FJIOT.2026.3657733" TargetMode="External" Type="http://schemas.openxmlformats.org/officeDocument/2006/relationships/hyperlink"/><Relationship Id="rId1745" Target="https%3A%2F%2Fwww.webofscience.com%2Fwos%2Fwoscc%2Ffull-record%2FWOS%3A001760393300040" TargetMode="External" Type="http://schemas.openxmlformats.org/officeDocument/2006/relationships/hyperlink"/><Relationship Id="rId1746" Target="http%3A%2F%2Fdx.doi.org%2F10.1001%2Fjamanetworkopen.2025.50454" TargetMode="External" Type="http://schemas.openxmlformats.org/officeDocument/2006/relationships/hyperlink"/><Relationship Id="rId1747" Target="https%3A%2F%2Fwww.webofscience.com%2Fwos%2Fwoscc%2Ffull-record%2FWOS%3A001651577500010" TargetMode="External" Type="http://schemas.openxmlformats.org/officeDocument/2006/relationships/hyperlink"/><Relationship Id="rId1748" Target="http%3A%2F%2Fdx.doi.org%2F10.1007%2Fs10278-026-02057-0" TargetMode="External" Type="http://schemas.openxmlformats.org/officeDocument/2006/relationships/hyperlink"/><Relationship Id="rId1749" Target="https%3A%2F%2Fwww.webofscience.com%2Fwos%2Fwoscc%2Ffull-record%2FWOS%3A001796697300001" TargetMode="External" Type="http://schemas.openxmlformats.org/officeDocument/2006/relationships/hyperlink"/><Relationship Id="rId175" Target="https%3A%2F%2Fwww.webofscience.com%2Fwos%2Fwoscc%2Ffull-record%2FWOS%3A001650765000014" TargetMode="External" Type="http://schemas.openxmlformats.org/officeDocument/2006/relationships/hyperlink"/><Relationship Id="rId1750" Target="http%3A%2F%2Fdx.doi.org%2F10.2196%2F92680" TargetMode="External" Type="http://schemas.openxmlformats.org/officeDocument/2006/relationships/hyperlink"/><Relationship Id="rId1751" Target="https%3A%2F%2Fwww.webofscience.com%2Fwos%2Fwoscc%2Ffull-record%2FWOS%3A001766158200001" TargetMode="External" Type="http://schemas.openxmlformats.org/officeDocument/2006/relationships/hyperlink"/><Relationship Id="rId1752" Target="http%3A%2F%2Fdx.doi.org%2F10.3233%2FSW-233282" TargetMode="External" Type="http://schemas.openxmlformats.org/officeDocument/2006/relationships/hyperlink"/><Relationship Id="rId1753" Target="https%3A%2F%2Fwww.webofscience.com%2Fwos%2Fwoscc%2Ffull-record%2FWOS%3A001356253900003" TargetMode="External" Type="http://schemas.openxmlformats.org/officeDocument/2006/relationships/hyperlink"/><Relationship Id="rId1754" Target="http%3A%2F%2Fdx.doi.org%2F10.3389%2Ffmed.2024.1393123" TargetMode="External" Type="http://schemas.openxmlformats.org/officeDocument/2006/relationships/hyperlink"/><Relationship Id="rId1755" Target="https%3A%2F%2Fwww.webofscience.com%2Fwos%2Fwoscc%2Ffull-record%2FWOS%3A001289573800001" TargetMode="External" Type="http://schemas.openxmlformats.org/officeDocument/2006/relationships/hyperlink"/><Relationship Id="rId1756" Target="http%3A%2F%2Fdx.doi.org%2F10.1080%2F03036758.2024.2398567" TargetMode="External" Type="http://schemas.openxmlformats.org/officeDocument/2006/relationships/hyperlink"/><Relationship Id="rId1757" Target="https%3A%2F%2Fwww.webofscience.com%2Fwos%2Fwoscc%2Ffull-record%2FWOS%3A001314118200001" TargetMode="External" Type="http://schemas.openxmlformats.org/officeDocument/2006/relationships/hyperlink"/><Relationship Id="rId1758" Target="http%3A%2F%2Fdx.doi.org%2F10.1016%2Fj.lanepe.2026.101784" TargetMode="External" Type="http://schemas.openxmlformats.org/officeDocument/2006/relationships/hyperlink"/><Relationship Id="rId1759" Target="https%3A%2F%2Fwww.webofscience.com%2Fwos%2Fwoscc%2Ffull-record%2FWOS%3A001835718600001" TargetMode="External" Type="http://schemas.openxmlformats.org/officeDocument/2006/relationships/hyperlink"/><Relationship Id="rId176" Target="http%3A%2F%2Fdx.doi.org%2F10.1109%2FJIOT.2025.3615253" TargetMode="External" Type="http://schemas.openxmlformats.org/officeDocument/2006/relationships/hyperlink"/><Relationship Id="rId1760" Target="http%3A%2F%2Fdx.doi.org%2F10.1007%2Fs11831-022-09863-z" TargetMode="External" Type="http://schemas.openxmlformats.org/officeDocument/2006/relationships/hyperlink"/><Relationship Id="rId1761" Target="https%3A%2F%2Fwww.webofscience.com%2Fwos%2Fwoscc%2Ffull-record%2FWOS%3A000907048800003" TargetMode="External" Type="http://schemas.openxmlformats.org/officeDocument/2006/relationships/hyperlink"/><Relationship Id="rId1762" Target="http%3A%2F%2Fdx.doi.org%2F10.1016%2Fj.knosys.2025.114889" TargetMode="External" Type="http://schemas.openxmlformats.org/officeDocument/2006/relationships/hyperlink"/><Relationship Id="rId1763" Target="https%3A%2F%2Fwww.webofscience.com%2Fwos%2Fwoscc%2Ffull-record%2FWOS%3A001620353700011" TargetMode="External" Type="http://schemas.openxmlformats.org/officeDocument/2006/relationships/hyperlink"/><Relationship Id="rId1764" Target="http%3A%2F%2Fdx.doi.org%2F10.1016%2Fj.compmedimag.2026.102807" TargetMode="External" Type="http://schemas.openxmlformats.org/officeDocument/2006/relationships/hyperlink"/><Relationship Id="rId1765" Target="https%3A%2F%2Fwww.webofscience.com%2Fwos%2Fwoscc%2Ffull-record%2FWOS%3A001850805500001" TargetMode="External" Type="http://schemas.openxmlformats.org/officeDocument/2006/relationships/hyperlink"/><Relationship Id="rId1766" Target="http%3A%2F%2Fdx.doi.org%2F10.3389%2Ffphys.2026.1830956" TargetMode="External" Type="http://schemas.openxmlformats.org/officeDocument/2006/relationships/hyperlink"/><Relationship Id="rId1767" Target="https%3A%2F%2Fwww.webofscience.com%2Fwos%2Fwoscc%2Ffull-record%2FWOS%3A001756724000001" TargetMode="External" Type="http://schemas.openxmlformats.org/officeDocument/2006/relationships/hyperlink"/><Relationship Id="rId1768" Target="http%3A%2F%2Fdx.doi.org%2F10.1016%2Fj.clinbiochem.2024.110861" TargetMode="External" Type="http://schemas.openxmlformats.org/officeDocument/2006/relationships/hyperlink"/><Relationship Id="rId1769" Target="https%3A%2F%2Fwww.webofscience.com%2Fwos%2Fwoscc%2Ffull-record%2FWOS%3A001392487100001" TargetMode="External" Type="http://schemas.openxmlformats.org/officeDocument/2006/relationships/hyperlink"/><Relationship Id="rId177" Target="https%3A%2F%2Fwww.webofscience.com%2Fwos%2Fwoscc%2Ffull-record%2FWOS%3A001696600200033" TargetMode="External" Type="http://schemas.openxmlformats.org/officeDocument/2006/relationships/hyperlink"/><Relationship Id="rId1770" Target="http%3A%2F%2Fdx.doi.org%2F10.2196%2F89011" TargetMode="External" Type="http://schemas.openxmlformats.org/officeDocument/2006/relationships/hyperlink"/><Relationship Id="rId1771" Target="https%3A%2F%2Fwww.webofscience.com%2Fwos%2Fwoscc%2Ffull-record%2FWOS%3A001813787600001" TargetMode="External" Type="http://schemas.openxmlformats.org/officeDocument/2006/relationships/hyperlink"/><Relationship Id="rId1772" Target="http%3A%2F%2Fdx.doi.org%2F10.1007%2Fs10462-025-11422-4" TargetMode="External" Type="http://schemas.openxmlformats.org/officeDocument/2006/relationships/hyperlink"/><Relationship Id="rId1773" Target="https%3A%2F%2Fwww.webofscience.com%2Fwos%2Fwoscc%2Ffull-record%2FWOS%3A001614454400003" TargetMode="External" Type="http://schemas.openxmlformats.org/officeDocument/2006/relationships/hyperlink"/><Relationship Id="rId1774" Target="http%3A%2F%2Fdx.doi.org%2F10.1002%2Fhsr2.70372" TargetMode="External" Type="http://schemas.openxmlformats.org/officeDocument/2006/relationships/hyperlink"/><Relationship Id="rId1775" Target="https%3A%2F%2Fwww.webofscience.com%2Fwos%2Fwoscc%2Ffull-record%2FWOS%3A001401313200001" TargetMode="External" Type="http://schemas.openxmlformats.org/officeDocument/2006/relationships/hyperlink"/><Relationship Id="rId1776" Target="http%3A%2F%2Fdx.doi.org%2F10.1111%2Fjoms.70134" TargetMode="External" Type="http://schemas.openxmlformats.org/officeDocument/2006/relationships/hyperlink"/><Relationship Id="rId1777" Target="https%3A%2F%2Fwww.webofscience.com%2Fwos%2Fwoscc%2Ffull-record%2FWOS%3A001818714700001" TargetMode="External" Type="http://schemas.openxmlformats.org/officeDocument/2006/relationships/hyperlink"/><Relationship Id="rId1778" Target="http%3A%2F%2Fdx.doi.org%2F10.1142%2FS0219519426400506" TargetMode="External" Type="http://schemas.openxmlformats.org/officeDocument/2006/relationships/hyperlink"/><Relationship Id="rId1779" Target="https%3A%2F%2Fwww.webofscience.com%2Fwos%2Fwoscc%2Ffull-record%2FWOS%3A001729102400001" TargetMode="External" Type="http://schemas.openxmlformats.org/officeDocument/2006/relationships/hyperlink"/><Relationship Id="rId178" Target="http%3A%2F%2Fdx.doi.org%2F10.1038%2Fs41598-026-36904-5" TargetMode="External" Type="http://schemas.openxmlformats.org/officeDocument/2006/relationships/hyperlink"/><Relationship Id="rId1780" Target="http%3A%2F%2Fdx.doi.org%2F10.1016%2Fj.cptl.2025.102490" TargetMode="External" Type="http://schemas.openxmlformats.org/officeDocument/2006/relationships/hyperlink"/><Relationship Id="rId1781" Target="https%3A%2F%2Fwww.webofscience.com%2Fwos%2Fwoscc%2Ffull-record%2FWOS%3A001581067400002" TargetMode="External" Type="http://schemas.openxmlformats.org/officeDocument/2006/relationships/hyperlink"/><Relationship Id="rId1782" Target="http%3A%2F%2Fdx.doi.org%2F10.1007%2Fs10462-023-10420-8" TargetMode="External" Type="http://schemas.openxmlformats.org/officeDocument/2006/relationships/hyperlink"/><Relationship Id="rId1783" Target="https%3A%2F%2Fwww.webofscience.com%2Fwos%2Fwoscc%2Ffull-record%2FWOS%3A000960980500002" TargetMode="External" Type="http://schemas.openxmlformats.org/officeDocument/2006/relationships/hyperlink"/><Relationship Id="rId1784" Target="http%3A%2F%2Fdx.doi.org%2F10.1089%2Fblr.2025.360002.jj" TargetMode="External" Type="http://schemas.openxmlformats.org/officeDocument/2006/relationships/hyperlink"/><Relationship Id="rId1785" Target="https%3A%2F%2Fwww.webofscience.com%2Fwos%2Fwoscc%2Ffull-record%2FWOS%3A001463113200001" TargetMode="External" Type="http://schemas.openxmlformats.org/officeDocument/2006/relationships/hyperlink"/><Relationship Id="rId1786" Target="http%3A%2F%2Fdx.doi.org%2F10.1038%2Fs41598-025-28686-z" TargetMode="External" Type="http://schemas.openxmlformats.org/officeDocument/2006/relationships/hyperlink"/><Relationship Id="rId1787" Target="https%3A%2F%2Fwww.webofscience.com%2Fwos%2Fwoscc%2Ffull-record%2FWOS%3A001635632800001" TargetMode="External" Type="http://schemas.openxmlformats.org/officeDocument/2006/relationships/hyperlink"/><Relationship Id="rId1788" Target="http%3A%2F%2Fdx.doi.org%2F10.55563%2Fclinexprheumatol%2Foamfed" TargetMode="External" Type="http://schemas.openxmlformats.org/officeDocument/2006/relationships/hyperlink"/><Relationship Id="rId1789" Target="https%3A%2F%2Fwww.webofscience.com%2Fwos%2Fwoscc%2Ffull-record%2FWOS%3A001485699900003" TargetMode="External" Type="http://schemas.openxmlformats.org/officeDocument/2006/relationships/hyperlink"/><Relationship Id="rId179" Target="https%3A%2F%2Fwww.webofscience.com%2Fwos%2Fwoscc%2Ffull-record%2FWOS%3A001688987700011" TargetMode="External" Type="http://schemas.openxmlformats.org/officeDocument/2006/relationships/hyperlink"/><Relationship Id="rId1790" Target="http%3A%2F%2Fdx.doi.org%2F10.1371%2Fjournal.pdig.0001575" TargetMode="External" Type="http://schemas.openxmlformats.org/officeDocument/2006/relationships/hyperlink"/><Relationship Id="rId1791" Target="https%3A%2F%2Fwww.webofscience.com%2Fwos%2Fwoscc%2Ffull-record%2FWOS%3A001843015600006" TargetMode="External" Type="http://schemas.openxmlformats.org/officeDocument/2006/relationships/hyperlink"/><Relationship Id="rId1792" Target="http%3A%2F%2Fdx.doi.org%2F10.1142%2FS0218213024600078" TargetMode="External" Type="http://schemas.openxmlformats.org/officeDocument/2006/relationships/hyperlink"/><Relationship Id="rId1793" Target="https%3A%2F%2Fwww.webofscience.com%2Fwos%2Fwoscc%2Ffull-record%2FWOS%3A001206876800005" TargetMode="External" Type="http://schemas.openxmlformats.org/officeDocument/2006/relationships/hyperlink"/><Relationship Id="rId1794" Target="http%3A%2F%2Fdx.doi.org%2F10.1038%2Fs41698-025-01180-5" TargetMode="External" Type="http://schemas.openxmlformats.org/officeDocument/2006/relationships/hyperlink"/><Relationship Id="rId1795" Target="https%3A%2F%2Fwww.webofscience.com%2Fwos%2Fwoscc%2Ffull-record%2FWOS%3A001660325400001" TargetMode="External" Type="http://schemas.openxmlformats.org/officeDocument/2006/relationships/hyperlink"/><Relationship Id="rId1796" Target="http%3A%2F%2Fdx.doi.org%2F10.1111%2Fcodi.70232" TargetMode="External" Type="http://schemas.openxmlformats.org/officeDocument/2006/relationships/hyperlink"/><Relationship Id="rId1797" Target="https%3A%2F%2Fwww.webofscience.com%2Fwos%2Fwoscc%2Ffull-record%2FWOS%3A001586796500023" TargetMode="External" Type="http://schemas.openxmlformats.org/officeDocument/2006/relationships/hyperlink"/><Relationship Id="rId1798" Target="http%3A%2F%2Fdx.doi.org%2F10.3389%2Ffbinf.2026.1827014" TargetMode="External" Type="http://schemas.openxmlformats.org/officeDocument/2006/relationships/hyperlink"/><Relationship Id="rId1799" Target="https%3A%2F%2Fwww.webofscience.com%2Fwos%2Fwoscc%2Ffull-record%2FWOS%3A001800532600001" TargetMode="External" Type="http://schemas.openxmlformats.org/officeDocument/2006/relationships/hyperlink"/><Relationship Id="rId18" Target="https%3A%2F%2Fwww.webofscience.com%2Fwos%2Fwoscc%2Ffull-record%2FWOS%3A001209384700001" TargetMode="External" Type="http://schemas.openxmlformats.org/officeDocument/2006/relationships/hyperlink"/><Relationship Id="rId180" Target="http%3A%2F%2Fdx.doi.org%2F10.1053%2Fj.ajkd.2024.04.008" TargetMode="External" Type="http://schemas.openxmlformats.org/officeDocument/2006/relationships/hyperlink"/><Relationship Id="rId1800" Target="http%3A%2F%2Fdx.doi.org%2F10.3390%2Fhealthcare13243199" TargetMode="External" Type="http://schemas.openxmlformats.org/officeDocument/2006/relationships/hyperlink"/><Relationship Id="rId1801" Target="https%3A%2F%2Fwww.webofscience.com%2Fwos%2Fwoscc%2Ffull-record%2FWOS%3A001646631600001" TargetMode="External" Type="http://schemas.openxmlformats.org/officeDocument/2006/relationships/hyperlink"/><Relationship Id="rId1802" Target="http%3A%2F%2Fdx.doi.org%2F10.3389%2Ffrai.2026.1882814" TargetMode="External" Type="http://schemas.openxmlformats.org/officeDocument/2006/relationships/hyperlink"/><Relationship Id="rId1803" Target="https%3A%2F%2Fwww.webofscience.com%2Fwos%2Fwoscc%2Ffull-record%2FWOS%3A001841346200001" TargetMode="External" Type="http://schemas.openxmlformats.org/officeDocument/2006/relationships/hyperlink"/><Relationship Id="rId1804" Target="http%3A%2F%2Fdx.doi.org%2F10.1177%2F17449871231215696" TargetMode="External" Type="http://schemas.openxmlformats.org/officeDocument/2006/relationships/hyperlink"/><Relationship Id="rId1805" Target="https%3A%2F%2Fwww.webofscience.com%2Fwos%2Fwoscc%2Ffull-record%2FWOS%3A001176160000001" TargetMode="External" Type="http://schemas.openxmlformats.org/officeDocument/2006/relationships/hyperlink"/><Relationship Id="rId1806" Target="http%3A%2F%2Fdx.doi.org%2F10.2196%2F82667" TargetMode="External" Type="http://schemas.openxmlformats.org/officeDocument/2006/relationships/hyperlink"/><Relationship Id="rId1807" Target="https%3A%2F%2Fwww.webofscience.com%2Fwos%2Fwoscc%2Ffull-record%2FWOS%3A001771795100033" TargetMode="External" Type="http://schemas.openxmlformats.org/officeDocument/2006/relationships/hyperlink"/><Relationship Id="rId1808" Target="http%3A%2F%2Fdx.doi.org%2F10.1080%2F10618600.2025.2561905" TargetMode="External" Type="http://schemas.openxmlformats.org/officeDocument/2006/relationships/hyperlink"/><Relationship Id="rId1809" Target="https%3A%2F%2Fwww.webofscience.com%2Fwos%2Fwoscc%2Ffull-record%2FWOS%3A001619647400001" TargetMode="External" Type="http://schemas.openxmlformats.org/officeDocument/2006/relationships/hyperlink"/><Relationship Id="rId181" Target="https%3A%2F%2Fwww.webofscience.com%2Fwos%2Fwoscc%2Ffull-record%2FWOS%3A001361971700001" TargetMode="External" Type="http://schemas.openxmlformats.org/officeDocument/2006/relationships/hyperlink"/><Relationship Id="rId1810" Target="http%3A%2F%2Fdx.doi.org%2F10.1038%2Fs41598-026-49129-3" TargetMode="External" Type="http://schemas.openxmlformats.org/officeDocument/2006/relationships/hyperlink"/><Relationship Id="rId1811" Target="https%3A%2F%2Fwww.webofscience.com%2Fwos%2Fwoscc%2Ffull-record%2FWOS%3A001820044500005" TargetMode="External" Type="http://schemas.openxmlformats.org/officeDocument/2006/relationships/hyperlink"/><Relationship Id="rId1812" Target="http%3A%2F%2Fdx.doi.org%2F10.5582%2Firdr.2025.01030" TargetMode="External" Type="http://schemas.openxmlformats.org/officeDocument/2006/relationships/hyperlink"/><Relationship Id="rId1813" Target="https%3A%2F%2Fwww.webofscience.com%2Fwos%2Fwoscc%2Ffull-record%2FWOS%3A001504782700001" TargetMode="External" Type="http://schemas.openxmlformats.org/officeDocument/2006/relationships/hyperlink"/><Relationship Id="rId1814" Target="http%3A%2F%2Fdx.doi.org%2F10.3837%2Ftiis.2025.10.009" TargetMode="External" Type="http://schemas.openxmlformats.org/officeDocument/2006/relationships/hyperlink"/><Relationship Id="rId1815" Target="https%3A%2F%2Fwww.webofscience.com%2Fwos%2Fwoscc%2Ffull-record%2FWOS%3A001608998600009" TargetMode="External" Type="http://schemas.openxmlformats.org/officeDocument/2006/relationships/hyperlink"/><Relationship Id="rId1816" Target="http%3A%2F%2Fdx.doi.org%2F10.3390%2Fsu17178058" TargetMode="External" Type="http://schemas.openxmlformats.org/officeDocument/2006/relationships/hyperlink"/><Relationship Id="rId1817" Target="https%3A%2F%2Fwww.webofscience.com%2Fwos%2Fwoscc%2Ffull-record%2FWOS%3A001570024600001" TargetMode="External" Type="http://schemas.openxmlformats.org/officeDocument/2006/relationships/hyperlink"/><Relationship Id="rId1818" Target="http%3A%2F%2Fdx.doi.org%2F10.1016%2Fj.dss.2025.114542" TargetMode="External" Type="http://schemas.openxmlformats.org/officeDocument/2006/relationships/hyperlink"/><Relationship Id="rId1819" Target="https%3A%2F%2Fwww.webofscience.com%2Fwos%2Fwoscc%2Ffull-record%2FWOS%3A001584861800001" TargetMode="External" Type="http://schemas.openxmlformats.org/officeDocument/2006/relationships/hyperlink"/><Relationship Id="rId182" Target="http%3A%2F%2Fdx.doi.org%2F10.1117%2F1.JMI.12.6.061407" TargetMode="External" Type="http://schemas.openxmlformats.org/officeDocument/2006/relationships/hyperlink"/><Relationship Id="rId1820" Target="http%3A%2F%2Fdx.doi.org%2F10.1108%2FDPRG-01-2024-0008" TargetMode="External" Type="http://schemas.openxmlformats.org/officeDocument/2006/relationships/hyperlink"/><Relationship Id="rId1821" Target="https%3A%2F%2Fwww.webofscience.com%2Fwos%2Fwoscc%2Ffull-record%2FWOS%3A001234643400001" TargetMode="External" Type="http://schemas.openxmlformats.org/officeDocument/2006/relationships/hyperlink"/><Relationship Id="rId1822" Target="http%3A%2F%2Fdx.doi.org%2F10.2196%2F87969" TargetMode="External" Type="http://schemas.openxmlformats.org/officeDocument/2006/relationships/hyperlink"/><Relationship Id="rId1823" Target="https%3A%2F%2Fwww.webofscience.com%2Fwos%2Fwoscc%2Ffull-record%2FWOS%3A001682182200003" TargetMode="External" Type="http://schemas.openxmlformats.org/officeDocument/2006/relationships/hyperlink"/><Relationship Id="rId1824" Target="http%3A%2F%2Fdx.doi.org%2F10.1016%2Fj.techsoc.2026.103389" TargetMode="External" Type="http://schemas.openxmlformats.org/officeDocument/2006/relationships/hyperlink"/><Relationship Id="rId1825" Target="https%3A%2F%2Fwww.webofscience.com%2Fwos%2Fwoscc%2Ffull-record%2FWOS%3A001792040300001" TargetMode="External" Type="http://schemas.openxmlformats.org/officeDocument/2006/relationships/hyperlink"/><Relationship Id="rId1826" Target="http%3A%2F%2Fdx.doi.org%2F10.1007%2Fs44443-026-00647-0" TargetMode="External" Type="http://schemas.openxmlformats.org/officeDocument/2006/relationships/hyperlink"/><Relationship Id="rId1827" Target="https%3A%2F%2Fwww.webofscience.com%2Fwos%2Fwoscc%2Ffull-record%2FWOS%3A001796912600003" TargetMode="External" Type="http://schemas.openxmlformats.org/officeDocument/2006/relationships/hyperlink"/><Relationship Id="rId1828" Target="http%3A%2F%2Fdx.doi.org%2F10.1109%2FTBME.2025.3597527" TargetMode="External" Type="http://schemas.openxmlformats.org/officeDocument/2006/relationships/hyperlink"/><Relationship Id="rId1829" Target="https%3A%2F%2Fwww.webofscience.com%2Fwos%2Fwoscc%2Ffull-record%2FWOS%3A001695492700010" TargetMode="External" Type="http://schemas.openxmlformats.org/officeDocument/2006/relationships/hyperlink"/><Relationship Id="rId183" Target="https%3A%2F%2Fwww.webofscience.com%2Fwos%2Fwoscc%2Ffull-record%2FWOS%3A001651920000014" TargetMode="External" Type="http://schemas.openxmlformats.org/officeDocument/2006/relationships/hyperlink"/><Relationship Id="rId1830" Target="http%3A%2F%2Fdx.doi.org%2F10.2196%2F88058" TargetMode="External" Type="http://schemas.openxmlformats.org/officeDocument/2006/relationships/hyperlink"/><Relationship Id="rId1831" Target="https%3A%2F%2Fwww.webofscience.com%2Fwos%2Fwoscc%2Ffull-record%2FWOS%3A001814621800004" TargetMode="External" Type="http://schemas.openxmlformats.org/officeDocument/2006/relationships/hyperlink"/><Relationship Id="rId1832" Target="http%3A%2F%2Fdx.doi.org%2F10.1016%2Fj.simpa.2024.100619" TargetMode="External" Type="http://schemas.openxmlformats.org/officeDocument/2006/relationships/hyperlink"/><Relationship Id="rId1833" Target="https%3A%2F%2Fwww.webofscience.com%2Fwos%2Fwoscc%2Ffull-record%2FWOS%3A001186949300001" TargetMode="External" Type="http://schemas.openxmlformats.org/officeDocument/2006/relationships/hyperlink"/><Relationship Id="rId1834" Target="http%3A%2F%2Fdx.doi.org%2F10.25253%2F99.2025272.11" TargetMode="External" Type="http://schemas.openxmlformats.org/officeDocument/2006/relationships/hyperlink"/><Relationship Id="rId1835" Target="https%3A%2F%2Fwww.webofscience.com%2Fwos%2Fwoscc%2Ffull-record%2FWOS%3A001552074400012" TargetMode="External" Type="http://schemas.openxmlformats.org/officeDocument/2006/relationships/hyperlink"/><Relationship Id="rId1836" Target="http%3A%2F%2Fdx.doi.org%2F10.1007%2Fs41060-026-01210-w" TargetMode="External" Type="http://schemas.openxmlformats.org/officeDocument/2006/relationships/hyperlink"/><Relationship Id="rId1837" Target="https%3A%2F%2Fwww.webofscience.com%2Fwos%2Fwoscc%2Ffull-record%2FWOS%3A001823855200001" TargetMode="External" Type="http://schemas.openxmlformats.org/officeDocument/2006/relationships/hyperlink"/><Relationship Id="rId1838" Target="http%3A%2F%2Fdx.doi.org%2F10.1007%2Fs12070-023-04415-8" TargetMode="External" Type="http://schemas.openxmlformats.org/officeDocument/2006/relationships/hyperlink"/><Relationship Id="rId1839" Target="https%3A%2F%2Fwww.webofscience.com%2Fwos%2Fwoscc%2Ffull-record%2FWOS%3A001126980600002" TargetMode="External" Type="http://schemas.openxmlformats.org/officeDocument/2006/relationships/hyperlink"/><Relationship Id="rId184" Target="http%3A%2F%2Fdx.doi.org%2F10.1109%2FACCESS.2023.3330465" TargetMode="External" Type="http://schemas.openxmlformats.org/officeDocument/2006/relationships/hyperlink"/><Relationship Id="rId1840" Target="http%3A%2F%2Fdx.doi.org%2F10.3390%2Fdiagnostics16010159" TargetMode="External" Type="http://schemas.openxmlformats.org/officeDocument/2006/relationships/hyperlink"/><Relationship Id="rId1841" Target="https%3A%2F%2Fwww.webofscience.com%2Fwos%2Fwoscc%2Ffull-record%2FWOS%3A001657719900001" TargetMode="External" Type="http://schemas.openxmlformats.org/officeDocument/2006/relationships/hyperlink"/><Relationship Id="rId1842" Target="http%3A%2F%2Fdx.doi.org%2F10.3389%2Ffdgth.2025.1512273" TargetMode="External" Type="http://schemas.openxmlformats.org/officeDocument/2006/relationships/hyperlink"/><Relationship Id="rId1843" Target="https%3A%2F%2Fwww.webofscience.com%2Fwos%2Fwoscc%2Ffull-record%2FWOS%3A001423337300001" TargetMode="External" Type="http://schemas.openxmlformats.org/officeDocument/2006/relationships/hyperlink"/><Relationship Id="rId1844" Target="http%3A%2F%2Fdx.doi.org%2F10.1145%2F3637348" TargetMode="External" Type="http://schemas.openxmlformats.org/officeDocument/2006/relationships/hyperlink"/><Relationship Id="rId1845" Target="https%3A%2F%2Fwww.webofscience.com%2Fwos%2Fwoscc%2Ffull-record%2FWOS%3A001553128900003" TargetMode="External" Type="http://schemas.openxmlformats.org/officeDocument/2006/relationships/hyperlink"/><Relationship Id="rId1846" Target="http%3A%2F%2Fdx.doi.org%2F10.1177%2F10519815261477732" TargetMode="External" Type="http://schemas.openxmlformats.org/officeDocument/2006/relationships/hyperlink"/><Relationship Id="rId1847" Target="https%3A%2F%2Fwww.webofscience.com%2Fwos%2Fwoscc%2Ffull-record%2FWOS%3A001853029900001" TargetMode="External" Type="http://schemas.openxmlformats.org/officeDocument/2006/relationships/hyperlink"/><Relationship Id="rId1848" Target="http%3A%2F%2Fdx.doi.org%2F10.2196%2F85373" TargetMode="External" Type="http://schemas.openxmlformats.org/officeDocument/2006/relationships/hyperlink"/><Relationship Id="rId1849" Target="https%3A%2F%2Fwww.webofscience.com%2Fwos%2Fwoscc%2Ffull-record%2FWOS%3A001791370500001" TargetMode="External" Type="http://schemas.openxmlformats.org/officeDocument/2006/relationships/hyperlink"/><Relationship Id="rId185" Target="https%3A%2F%2Fwww.webofscience.com%2Fwos%2Fwoscc%2Ffull-record%2FWOS%3A001104672300001" TargetMode="External" Type="http://schemas.openxmlformats.org/officeDocument/2006/relationships/hyperlink"/><Relationship Id="rId1850" Target="http%3A%2F%2Fdx.doi.org%2F10.1108%2FJICES-07-2025-0190" TargetMode="External" Type="http://schemas.openxmlformats.org/officeDocument/2006/relationships/hyperlink"/><Relationship Id="rId1851" Target="https%3A%2F%2Fwww.webofscience.com%2Fwos%2Fwoscc%2Ffull-record%2FWOS%3A001708719000001" TargetMode="External" Type="http://schemas.openxmlformats.org/officeDocument/2006/relationships/hyperlink"/><Relationship Id="rId1852" Target="http%3A%2F%2Fdx.doi.org%2F10.1093%2Fjamia%2Focaf053" TargetMode="External" Type="http://schemas.openxmlformats.org/officeDocument/2006/relationships/hyperlink"/><Relationship Id="rId1853" Target="https%3A%2F%2Fwww.webofscience.com%2Fwos%2Fwoscc%2Ffull-record%2FWOS%3A001454645900001" TargetMode="External" Type="http://schemas.openxmlformats.org/officeDocument/2006/relationships/hyperlink"/><Relationship Id="rId1854" Target="http%3A%2F%2Fdx.doi.org%2F10.1177%2F20552076251404507" TargetMode="External" Type="http://schemas.openxmlformats.org/officeDocument/2006/relationships/hyperlink"/><Relationship Id="rId1855" Target="https%3A%2F%2Fwww.webofscience.com%2Fwos%2Fwoscc%2Ffull-record%2FWOS%3A001629653400001" TargetMode="External" Type="http://schemas.openxmlformats.org/officeDocument/2006/relationships/hyperlink"/><Relationship Id="rId1856" Target="http%3A%2F%2Fdx.doi.org%2F10.1029%2F2026RS008697" TargetMode="External" Type="http://schemas.openxmlformats.org/officeDocument/2006/relationships/hyperlink"/><Relationship Id="rId1857" Target="https%3A%2F%2Fwww.webofscience.com%2Fwos%2Fwoscc%2Ffull-record%2FWOS%3A001837043400001" TargetMode="External" Type="http://schemas.openxmlformats.org/officeDocument/2006/relationships/hyperlink"/><Relationship Id="rId1858" Target="http%3A%2F%2Fdx.doi.org%2F10.1007%2Fs10278-024-01136-4" TargetMode="External" Type="http://schemas.openxmlformats.org/officeDocument/2006/relationships/hyperlink"/><Relationship Id="rId1859" Target="https%3A%2F%2Fwww.webofscience.com%2Fwos%2Fwoscc%2Ffull-record%2FWOS%3A001214871800002" TargetMode="External" Type="http://schemas.openxmlformats.org/officeDocument/2006/relationships/hyperlink"/><Relationship Id="rId186" Target="http%3A%2F%2Fdx.doi.org%2F10.1016%2Fj.nicl.2025.103790" TargetMode="External" Type="http://schemas.openxmlformats.org/officeDocument/2006/relationships/hyperlink"/><Relationship Id="rId1860" Target="http%3A%2F%2Fdx.doi.org%2F10.1177%2F18758592241308755" TargetMode="External" Type="http://schemas.openxmlformats.org/officeDocument/2006/relationships/hyperlink"/><Relationship Id="rId1861" Target="https%3A%2F%2Fwww.webofscience.com%2Fwos%2Fwoscc%2Ffull-record%2FWOS%3A001481500000001" TargetMode="External" Type="http://schemas.openxmlformats.org/officeDocument/2006/relationships/hyperlink"/><Relationship Id="rId1862" Target="http%3A%2F%2Fdx.doi.org%2F10.1016%2Fj.gie.2023.12.003" TargetMode="External" Type="http://schemas.openxmlformats.org/officeDocument/2006/relationships/hyperlink"/><Relationship Id="rId1863" Target="https%3A%2F%2Fwww.webofscience.com%2Fwos%2Fwoscc%2Ffull-record%2FWOS%3A001392222400001" TargetMode="External" Type="http://schemas.openxmlformats.org/officeDocument/2006/relationships/hyperlink"/><Relationship Id="rId1864" Target="http%3A%2F%2Fdx.doi.org%2F10.1186%2Fs12911-024-02428-z" TargetMode="External" Type="http://schemas.openxmlformats.org/officeDocument/2006/relationships/hyperlink"/><Relationship Id="rId1865" Target="https%3A%2F%2Fwww.webofscience.com%2Fwos%2Fwoscc%2Ffull-record%2FWOS%3A001155348900001" TargetMode="External" Type="http://schemas.openxmlformats.org/officeDocument/2006/relationships/hyperlink"/><Relationship Id="rId1866" Target="http%3A%2F%2Fdx.doi.org%2F10.1007%2Fs13198-025-02865-7" TargetMode="External" Type="http://schemas.openxmlformats.org/officeDocument/2006/relationships/hyperlink"/><Relationship Id="rId1867" Target="https%3A%2F%2Fwww.webofscience.com%2Fwos%2Fwoscc%2Ffull-record%2FWOS%3A001520038800001" TargetMode="External" Type="http://schemas.openxmlformats.org/officeDocument/2006/relationships/hyperlink"/><Relationship Id="rId1868" Target="http%3A%2F%2Fdx.doi.org%2F10.1007%2Fs00146-024-02056-1" TargetMode="External" Type="http://schemas.openxmlformats.org/officeDocument/2006/relationships/hyperlink"/><Relationship Id="rId1869" Target="https%3A%2F%2Fwww.webofscience.com%2Fwos%2Fwoscc%2Ffull-record%2FWOS%3A001306222900001" TargetMode="External" Type="http://schemas.openxmlformats.org/officeDocument/2006/relationships/hyperlink"/><Relationship Id="rId187" Target="https%3A%2F%2Fwww.webofscience.com%2Fwos%2Fwoscc%2Ffull-record%2FWOS%3A001477828800001" TargetMode="External" Type="http://schemas.openxmlformats.org/officeDocument/2006/relationships/hyperlink"/><Relationship Id="rId1870" Target="http%3A%2F%2Fdx.doi.org%2F10.1109%2FJIOT.2023.3302159" TargetMode="External" Type="http://schemas.openxmlformats.org/officeDocument/2006/relationships/hyperlink"/><Relationship Id="rId1871" Target="https%3A%2F%2Fwww.webofscience.com%2Fwos%2Fwoscc%2Ffull-record%2FWOS%3A001163472700078" TargetMode="External" Type="http://schemas.openxmlformats.org/officeDocument/2006/relationships/hyperlink"/><Relationship Id="rId1872" Target="http%3A%2F%2Fdx.doi.org%2F10.1016%2Fj.neucom.2026.132670" TargetMode="External" Type="http://schemas.openxmlformats.org/officeDocument/2006/relationships/hyperlink"/><Relationship Id="rId1873" Target="https%3A%2F%2Fwww.webofscience.com%2Fwos%2Fwoscc%2Ffull-record%2FWOS%3A001672763000001" TargetMode="External" Type="http://schemas.openxmlformats.org/officeDocument/2006/relationships/hyperlink"/><Relationship Id="rId1874" Target="http%3A%2F%2Fdx.doi.org%2F10.34135%2Fcommunicationtoday.2024.Vol.15.No.2.2" TargetMode="External" Type="http://schemas.openxmlformats.org/officeDocument/2006/relationships/hyperlink"/><Relationship Id="rId1875" Target="https%3A%2F%2Fwww.webofscience.com%2Fwos%2Fwoscc%2Ffull-record%2FWOS%3A001390221400001" TargetMode="External" Type="http://schemas.openxmlformats.org/officeDocument/2006/relationships/hyperlink"/><Relationship Id="rId1876" Target="http%3A%2F%2Fdx.doi.org%2F10.1016%2Fj.techsoc.2026.103361" TargetMode="External" Type="http://schemas.openxmlformats.org/officeDocument/2006/relationships/hyperlink"/><Relationship Id="rId1877" Target="https%3A%2F%2Fwww.webofscience.com%2Fwos%2Fwoscc%2Ffull-record%2FWOS%3A001757407400001" TargetMode="External" Type="http://schemas.openxmlformats.org/officeDocument/2006/relationships/hyperlink"/><Relationship Id="rId1878" Target="http%3A%2F%2Fdx.doi.org%2F10.1002%2Faaai.12126" TargetMode="External" Type="http://schemas.openxmlformats.org/officeDocument/2006/relationships/hyperlink"/><Relationship Id="rId1879" Target="https%3A%2F%2Fwww.webofscience.com%2Fwos%2Fwoscc%2Ffull-record%2FWOS%3A001079467500001" TargetMode="External" Type="http://schemas.openxmlformats.org/officeDocument/2006/relationships/hyperlink"/><Relationship Id="rId188" Target="http%3A%2F%2Fdx.doi.org%2F10.3389%2Ffpubh.2024.1462693" TargetMode="External" Type="http://schemas.openxmlformats.org/officeDocument/2006/relationships/hyperlink"/><Relationship Id="rId1880" Target="http%3A%2F%2Fdx.doi.org%2F10.1109%2FMCI.2021.3129960" TargetMode="External" Type="http://schemas.openxmlformats.org/officeDocument/2006/relationships/hyperlink"/><Relationship Id="rId1881" Target="https%3A%2F%2Fwww.webofscience.com%2Fwos%2Fwoscc%2Ffull-record%2FWOS%3A000742178400018" TargetMode="External" Type="http://schemas.openxmlformats.org/officeDocument/2006/relationships/hyperlink"/><Relationship Id="rId1882" Target="http%3A%2F%2Fdx.doi.org%2F10.1016%2Fj.patcog.2026.113988" TargetMode="External" Type="http://schemas.openxmlformats.org/officeDocument/2006/relationships/hyperlink"/><Relationship Id="rId1883" Target="https%3A%2F%2Fwww.webofscience.com%2Fwos%2Fwoscc%2Ffull-record%2FWOS%3A001784723400001" TargetMode="External" Type="http://schemas.openxmlformats.org/officeDocument/2006/relationships/hyperlink"/><Relationship Id="rId1884" Target="http%3A%2F%2Fdx.doi.org%2F10.3390%2Fapp16010288" TargetMode="External" Type="http://schemas.openxmlformats.org/officeDocument/2006/relationships/hyperlink"/><Relationship Id="rId1885" Target="https%3A%2F%2Fwww.webofscience.com%2Fwos%2Fwoscc%2Ffull-record%2FWOS%3A001657242600001" TargetMode="External" Type="http://schemas.openxmlformats.org/officeDocument/2006/relationships/hyperlink"/><Relationship Id="rId1886" Target="http%3A%2F%2Fdx.doi.org%2F10.1177%2F01655515261459058" TargetMode="External" Type="http://schemas.openxmlformats.org/officeDocument/2006/relationships/hyperlink"/><Relationship Id="rId1887" Target="https%3A%2F%2Fwww.webofscience.com%2Fwos%2Fwoscc%2Ffull-record%2FWOS%3A001815167400001" TargetMode="External" Type="http://schemas.openxmlformats.org/officeDocument/2006/relationships/hyperlink"/><Relationship Id="rId1888" Target="http%3A%2F%2Fdx.doi.org%2F10.1109%2FMCOMSTD.2025.3626809" TargetMode="External" Type="http://schemas.openxmlformats.org/officeDocument/2006/relationships/hyperlink"/><Relationship Id="rId1889" Target="https%3A%2F%2Fwww.webofscience.com%2Fwos%2Fwoscc%2Ffull-record%2FWOS%3A001708066500001" TargetMode="External" Type="http://schemas.openxmlformats.org/officeDocument/2006/relationships/hyperlink"/><Relationship Id="rId189" Target="https%3A%2F%2Fwww.webofscience.com%2Fwos%2Fwoscc%2Ffull-record%2FWOS%3A001389316900001" TargetMode="External" Type="http://schemas.openxmlformats.org/officeDocument/2006/relationships/hyperlink"/><Relationship Id="rId1890" Target="http%3A%2F%2Fdx.doi.org%2F10.3390%2Finfo17040326" TargetMode="External" Type="http://schemas.openxmlformats.org/officeDocument/2006/relationships/hyperlink"/><Relationship Id="rId1891" Target="https%3A%2F%2Fwww.webofscience.com%2Fwos%2Fwoscc%2Ffull-record%2FWOS%3A001749756900001" TargetMode="External" Type="http://schemas.openxmlformats.org/officeDocument/2006/relationships/hyperlink"/><Relationship Id="rId1892" Target="http%3A%2F%2Fdx.doi.org%2F10.1177%2F20539517221100449" TargetMode="External" Type="http://schemas.openxmlformats.org/officeDocument/2006/relationships/hyperlink"/><Relationship Id="rId1893" Target="https%3A%2F%2Fwww.webofscience.com%2Fwos%2Fwoscc%2Ffull-record%2FWOS%3A000819221300001" TargetMode="External" Type="http://schemas.openxmlformats.org/officeDocument/2006/relationships/hyperlink"/><Relationship Id="rId1894" Target="http%3A%2F%2Fdx.doi.org%2F10.1155%2Fnuf%2F9348533" TargetMode="External" Type="http://schemas.openxmlformats.org/officeDocument/2006/relationships/hyperlink"/><Relationship Id="rId1895" Target="https%3A%2F%2Fwww.webofscience.com%2Fwos%2Fwoscc%2Ffull-record%2FWOS%3A001698051200001" TargetMode="External" Type="http://schemas.openxmlformats.org/officeDocument/2006/relationships/hyperlink"/><Relationship Id="rId1896" Target="http%3A%2F%2Fdx.doi.org%2F10.70594%2Fbrain%2F16.4.26" TargetMode="External" Type="http://schemas.openxmlformats.org/officeDocument/2006/relationships/hyperlink"/><Relationship Id="rId1897" Target="https%3A%2F%2Fwww.webofscience.com%2Fwos%2Fwoscc%2Ffull-record%2FWOS%3A001639202000025" TargetMode="External" Type="http://schemas.openxmlformats.org/officeDocument/2006/relationships/hyperlink"/><Relationship Id="rId1898" Target="http%3A%2F%2Fdx.doi.org%2F10.1097%2FMS9.0000000000004699" TargetMode="External" Type="http://schemas.openxmlformats.org/officeDocument/2006/relationships/hyperlink"/><Relationship Id="rId1899" Target="https%3A%2F%2Fwww.webofscience.com%2Fwos%2Fwoscc%2Ffull-record%2FWOS%3A001685048300041" TargetMode="External" Type="http://schemas.openxmlformats.org/officeDocument/2006/relationships/hyperlink"/><Relationship Id="rId19" Target="http%3A%2F%2Fdx.doi.org%2F10.1007%2Fs10462-024-10852-w" TargetMode="External" Type="http://schemas.openxmlformats.org/officeDocument/2006/relationships/hyperlink"/><Relationship Id="rId190" Target="http%3A%2F%2Fdx.doi.org%2F10.3791%2F70011" TargetMode="External" Type="http://schemas.openxmlformats.org/officeDocument/2006/relationships/hyperlink"/><Relationship Id="rId1900" Target="http%3A%2F%2Fdx.doi.org%2F10.2196%2F96389" TargetMode="External" Type="http://schemas.openxmlformats.org/officeDocument/2006/relationships/hyperlink"/><Relationship Id="rId1901" Target="https%3A%2F%2Fwww.webofscience.com%2Fwos%2Fwoscc%2Ffull-record%2FWOS%3A001843284800001" TargetMode="External" Type="http://schemas.openxmlformats.org/officeDocument/2006/relationships/hyperlink"/><Relationship Id="rId1902" Target="http%3A%2F%2Fdx.doi.org%2F10.1186%2Fs12910-025-01350-x" TargetMode="External" Type="http://schemas.openxmlformats.org/officeDocument/2006/relationships/hyperlink"/><Relationship Id="rId1903" Target="https%3A%2F%2Fwww.webofscience.com%2Fwos%2Fwoscc%2Ffull-record%2FWOS%3A001635961100001" TargetMode="External" Type="http://schemas.openxmlformats.org/officeDocument/2006/relationships/hyperlink"/><Relationship Id="rId1904" Target="http%3A%2F%2Fdx.doi.org%2F10.1093%2Fhaschl%2Fqxag197" TargetMode="External" Type="http://schemas.openxmlformats.org/officeDocument/2006/relationships/hyperlink"/><Relationship Id="rId1905" Target="https%3A%2F%2Fwww.webofscience.com%2Fwos%2Fwoscc%2Ffull-record%2FWOS%3A001845160300001" TargetMode="External" Type="http://schemas.openxmlformats.org/officeDocument/2006/relationships/hyperlink"/><Relationship Id="rId1906" Target="http%3A%2F%2Fdx.doi.org%2F10.1016%2FS0140-6736%2826%2900693-8" TargetMode="External" Type="http://schemas.openxmlformats.org/officeDocument/2006/relationships/hyperlink"/><Relationship Id="rId1907" Target="https%3A%2F%2Fwww.webofscience.com%2Fwos%2Fwoscc%2Ffull-record%2FWOS%3A001844007200001" TargetMode="External" Type="http://schemas.openxmlformats.org/officeDocument/2006/relationships/hyperlink"/><Relationship Id="rId1908" Target="http%3A%2F%2Fdx.doi.org%2F10.1053%2Fj.ro.2025.06.003" TargetMode="External" Type="http://schemas.openxmlformats.org/officeDocument/2006/relationships/hyperlink"/><Relationship Id="rId1909" Target="https%3A%2F%2Fwww.webofscience.com%2Fwos%2Fwoscc%2Ffull-record%2FWOS%3A001604665300008" TargetMode="External" Type="http://schemas.openxmlformats.org/officeDocument/2006/relationships/hyperlink"/><Relationship Id="rId191" Target="https%3A%2F%2Fwww.webofscience.com%2Fwos%2Fwoscc%2Ffull-record%2FWOS%3A001819766200001" TargetMode="External" Type="http://schemas.openxmlformats.org/officeDocument/2006/relationships/hyperlink"/><Relationship Id="rId1910" Target="http%3A%2F%2Fdx.doi.org%2F10.1093%2Fbjd%2Fljae434" TargetMode="External" Type="http://schemas.openxmlformats.org/officeDocument/2006/relationships/hyperlink"/><Relationship Id="rId1911" Target="https%3A%2F%2Fwww.webofscience.com%2Fwos%2Fwoscc%2Ffull-record%2FWOS%3A001381782000001" TargetMode="External" Type="http://schemas.openxmlformats.org/officeDocument/2006/relationships/hyperlink"/><Relationship Id="rId1912" Target="http%3A%2F%2Fdx.doi.org%2F10.1016%2Fj.jacr.2026.04.024" TargetMode="External" Type="http://schemas.openxmlformats.org/officeDocument/2006/relationships/hyperlink"/><Relationship Id="rId1913" Target="https%3A%2F%2Fwww.webofscience.com%2Fwos%2Fwoscc%2Ffull-record%2FWOS%3A001841337000001" TargetMode="External" Type="http://schemas.openxmlformats.org/officeDocument/2006/relationships/hyperlink"/><Relationship Id="rId1914" Target="http%3A%2F%2Fdx.doi.org%2F10.3390%2Fadmsci16070335" TargetMode="External" Type="http://schemas.openxmlformats.org/officeDocument/2006/relationships/hyperlink"/><Relationship Id="rId1915" Target="https%3A%2F%2Fwww.webofscience.com%2Fwos%2Fwoscc%2Ffull-record%2FWOS%3A001831355100001" TargetMode="External" Type="http://schemas.openxmlformats.org/officeDocument/2006/relationships/hyperlink"/><Relationship Id="rId1916" Target="http%3A%2F%2Fdx.doi.org%2F10.1109%2FTCSS.2023.3262289" TargetMode="External" Type="http://schemas.openxmlformats.org/officeDocument/2006/relationships/hyperlink"/><Relationship Id="rId1917" Target="https%3A%2F%2Fwww.webofscience.com%2Fwos%2Fwoscc%2Ffull-record%2FWOS%3A000967315100001" TargetMode="External" Type="http://schemas.openxmlformats.org/officeDocument/2006/relationships/hyperlink"/><Relationship Id="rId1918" Target="http%3A%2F%2Fdx.doi.org%2F10.1007%2Fs00146-025-02617-y" TargetMode="External" Type="http://schemas.openxmlformats.org/officeDocument/2006/relationships/hyperlink"/><Relationship Id="rId1919" Target="https%3A%2F%2Fwww.webofscience.com%2Fwos%2Fwoscc%2Ffull-record%2FWOS%3A001590038300001" TargetMode="External" Type="http://schemas.openxmlformats.org/officeDocument/2006/relationships/hyperlink"/><Relationship Id="rId192" Target="http%3A%2F%2Fdx.doi.org%2F10.31083%2Fj.fbl2810248" TargetMode="External" Type="http://schemas.openxmlformats.org/officeDocument/2006/relationships/hyperlink"/><Relationship Id="rId1920" Target="https%3A%2F%2Fwww.webofscience.com%2Fwos%2Fwoscc%2Ffull-record%2FWOS%3A001668934500008" TargetMode="External" Type="http://schemas.openxmlformats.org/officeDocument/2006/relationships/hyperlink"/><Relationship Id="rId1921" Target="http%3A%2F%2Fdx.doi.org%2F10.3390%2Fsocsci15020119" TargetMode="External" Type="http://schemas.openxmlformats.org/officeDocument/2006/relationships/hyperlink"/><Relationship Id="rId1922" Target="https%3A%2F%2Fwww.webofscience.com%2Fwos%2Fwoscc%2Ffull-record%2FWOS%3A001702282200001" TargetMode="External" Type="http://schemas.openxmlformats.org/officeDocument/2006/relationships/hyperlink"/><Relationship Id="rId1923" Target="http%3A%2F%2Fdx.doi.org%2F10.2471%2FBLT.24.291643" TargetMode="External" Type="http://schemas.openxmlformats.org/officeDocument/2006/relationships/hyperlink"/><Relationship Id="rId1924" Target="https%3A%2F%2Fwww.webofscience.com%2Fwos%2Fwoscc%2Ffull-record%2FWOS%3A001528957100011" TargetMode="External" Type="http://schemas.openxmlformats.org/officeDocument/2006/relationships/hyperlink"/><Relationship Id="rId1925" Target="http%3A%2F%2Fdx.doi.org%2F10.1186%2Fs12910-025-01314-1" TargetMode="External" Type="http://schemas.openxmlformats.org/officeDocument/2006/relationships/hyperlink"/><Relationship Id="rId1926" Target="https%3A%2F%2Fwww.webofscience.com%2Fwos%2Fwoscc%2Ffull-record%2FWOS%3A001594099700002" TargetMode="External" Type="http://schemas.openxmlformats.org/officeDocument/2006/relationships/hyperlink"/><Relationship Id="rId1927" Target="http%3A%2F%2Fdx.doi.org%2F10.1007%2Fs10278-026-02179-5" TargetMode="External" Type="http://schemas.openxmlformats.org/officeDocument/2006/relationships/hyperlink"/><Relationship Id="rId1928" Target="https%3A%2F%2Fwww.webofscience.com%2Fwos%2Fwoscc%2Ffull-record%2FWOS%3A001845247400001" TargetMode="External" Type="http://schemas.openxmlformats.org/officeDocument/2006/relationships/hyperlink"/><Relationship Id="rId1929" Target="http%3A%2F%2Fdx.doi.org%2F10.1109%2FTEM.2026.3675417" TargetMode="External" Type="http://schemas.openxmlformats.org/officeDocument/2006/relationships/hyperlink"/><Relationship Id="rId193" Target="https%3A%2F%2Fwww.webofscience.com%2Fwos%2Fwoscc%2Ffull-record%2FWOS%3A001106813700016" TargetMode="External" Type="http://schemas.openxmlformats.org/officeDocument/2006/relationships/hyperlink"/><Relationship Id="rId1930" Target="https%3A%2F%2Fwww.webofscience.com%2Fwos%2Fwoscc%2Ffull-record%2FWOS%3A001756744600006" TargetMode="External" Type="http://schemas.openxmlformats.org/officeDocument/2006/relationships/hyperlink"/><Relationship Id="rId1931" Target="http%3A%2F%2Fdx.doi.org%2F10.1007%2Fs10207-025-01185-y" TargetMode="External" Type="http://schemas.openxmlformats.org/officeDocument/2006/relationships/hyperlink"/><Relationship Id="rId1932" Target="https%3A%2F%2Fwww.webofscience.com%2Fwos%2Fwoscc%2Ffull-record%2FWOS%3A001652966400001" TargetMode="External" Type="http://schemas.openxmlformats.org/officeDocument/2006/relationships/hyperlink"/><Relationship Id="rId1933" Target="http%3A%2F%2Fdx.doi.org%2F10.1108%2FITP-07-2025-1115" TargetMode="External" Type="http://schemas.openxmlformats.org/officeDocument/2006/relationships/hyperlink"/><Relationship Id="rId1934" Target="https%3A%2F%2Fwww.webofscience.com%2Fwos%2Fwoscc%2Ffull-record%2FWOS%3A001719141200001" TargetMode="External" Type="http://schemas.openxmlformats.org/officeDocument/2006/relationships/hyperlink"/><Relationship Id="rId1935" Target="http%3A%2F%2Fdx.doi.org%2F10.29063%2Fajrh2025%2Fv29i12s.9" TargetMode="External" Type="http://schemas.openxmlformats.org/officeDocument/2006/relationships/hyperlink"/><Relationship Id="rId1936" Target="https%3A%2F%2Fwww.webofscience.com%2Fwos%2Fwoscc%2Ffull-record%2FWOS%3A001667179800004" TargetMode="External" Type="http://schemas.openxmlformats.org/officeDocument/2006/relationships/hyperlink"/><Relationship Id="rId1937" Target="http%3A%2F%2Fdx.doi.org%2F10.3390%2Fbiomedinformatics3040062" TargetMode="External" Type="http://schemas.openxmlformats.org/officeDocument/2006/relationships/hyperlink"/><Relationship Id="rId1938" Target="https%3A%2F%2Fwww.webofscience.com%2Fwos%2Fwoscc%2Ffull-record%2FWOS%3A001644192800001" TargetMode="External" Type="http://schemas.openxmlformats.org/officeDocument/2006/relationships/hyperlink"/><Relationship Id="rId1939" Target="http%3A%2F%2Fdx.doi.org%2F10.1186%2Fs12909-025-08524-6" TargetMode="External" Type="http://schemas.openxmlformats.org/officeDocument/2006/relationships/hyperlink"/><Relationship Id="rId194" Target="http%3A%2F%2Fdx.doi.org%2F10.1093%2Fjamiaopen%2Fooaf148" TargetMode="External" Type="http://schemas.openxmlformats.org/officeDocument/2006/relationships/hyperlink"/><Relationship Id="rId1940" Target="https%3A%2F%2Fwww.webofscience.com%2Fwos%2Fwoscc%2Ffull-record%2FWOS%3A001678942300002" TargetMode="External" Type="http://schemas.openxmlformats.org/officeDocument/2006/relationships/hyperlink"/><Relationship Id="rId1941" Target="http%3A%2F%2Fdx.doi.org%2F10.1108%2FJSTP-01-2025-0017" TargetMode="External" Type="http://schemas.openxmlformats.org/officeDocument/2006/relationships/hyperlink"/><Relationship Id="rId1942" Target="https%3A%2F%2Fwww.webofscience.com%2Fwos%2Fwoscc%2Ffull-record%2FWOS%3A001651635700001" TargetMode="External" Type="http://schemas.openxmlformats.org/officeDocument/2006/relationships/hyperlink"/><Relationship Id="rId1943" Target="http%3A%2F%2Fdx.doi.org%2F10.1007%2Fs00415-024-12328-x" TargetMode="External" Type="http://schemas.openxmlformats.org/officeDocument/2006/relationships/hyperlink"/><Relationship Id="rId1944" Target="https%3A%2F%2Fwww.webofscience.com%2Fwos%2Fwoscc%2Ffull-record%2FWOS%3A001196952600003" TargetMode="External" Type="http://schemas.openxmlformats.org/officeDocument/2006/relationships/hyperlink"/><Relationship Id="rId1945" Target="http%3A%2F%2Fdx.doi.org%2F10.2196%2F52270" TargetMode="External" Type="http://schemas.openxmlformats.org/officeDocument/2006/relationships/hyperlink"/><Relationship Id="rId1946" Target="https%3A%2F%2Fwww.webofscience.com%2Fwos%2Fwoscc%2Ffull-record%2FWOS%3A001390452700001" TargetMode="External" Type="http://schemas.openxmlformats.org/officeDocument/2006/relationships/hyperlink"/><Relationship Id="rId1947" Target="http%3A%2F%2Fdx.doi.org%2F10.23736%2FS2784-8671.23.07829-5" TargetMode="External" Type="http://schemas.openxmlformats.org/officeDocument/2006/relationships/hyperlink"/><Relationship Id="rId1948" Target="https%3A%2F%2Fwww.webofscience.com%2Fwos%2Fwoscc%2Ffull-record%2FWOS%3A001209125800011" TargetMode="External" Type="http://schemas.openxmlformats.org/officeDocument/2006/relationships/hyperlink"/><Relationship Id="rId1949" Target="http%3A%2F%2Fdx.doi.org%2F10.3390%2Fjcm14176307" TargetMode="External" Type="http://schemas.openxmlformats.org/officeDocument/2006/relationships/hyperlink"/><Relationship Id="rId195" Target="https%3A%2F%2Fwww.webofscience.com%2Fwos%2Fwoscc%2Ffull-record%2FWOS%3A001609608000001" TargetMode="External" Type="http://schemas.openxmlformats.org/officeDocument/2006/relationships/hyperlink"/><Relationship Id="rId1950" Target="https%3A%2F%2Fwww.webofscience.com%2Fwos%2Fwoscc%2Ffull-record%2FWOS%3A001569824000001" TargetMode="External" Type="http://schemas.openxmlformats.org/officeDocument/2006/relationships/hyperlink"/><Relationship Id="rId1951" Target="http%3A%2F%2Fdx.doi.org%2F10.1109%2FJIOT.2021.3122019" TargetMode="External" Type="http://schemas.openxmlformats.org/officeDocument/2006/relationships/hyperlink"/><Relationship Id="rId1952" Target="https%3A%2F%2Fwww.webofscience.com%2Fwos%2Fwoscc%2Ffull-record%2FWOS%3A000965692500001" TargetMode="External" Type="http://schemas.openxmlformats.org/officeDocument/2006/relationships/hyperlink"/><Relationship Id="rId1953" Target="http%3A%2F%2Fdx.doi.org%2F10.7759%2Fcureus.43975" TargetMode="External" Type="http://schemas.openxmlformats.org/officeDocument/2006/relationships/hyperlink"/><Relationship Id="rId1954" Target="https%3A%2F%2Fwww.webofscience.com%2Fwos%2Fwoscc%2Ffull-record%2FWOS%3A001065123000010" TargetMode="External" Type="http://schemas.openxmlformats.org/officeDocument/2006/relationships/hyperlink"/><Relationship Id="rId1955" Target="http%3A%2F%2Fdx.doi.org%2F10.1016%2Fj.jik.2025.100751" TargetMode="External" Type="http://schemas.openxmlformats.org/officeDocument/2006/relationships/hyperlink"/><Relationship Id="rId1956" Target="https%3A%2F%2Fwww.webofscience.com%2Fwos%2Fwoscc%2Ffull-record%2FWOS%3A001504899900001" TargetMode="External" Type="http://schemas.openxmlformats.org/officeDocument/2006/relationships/hyperlink"/><Relationship Id="rId1957" Target="http%3A%2F%2Fdx.doi.org%2F10.1108%2FJHTI-04-2024-0292" TargetMode="External" Type="http://schemas.openxmlformats.org/officeDocument/2006/relationships/hyperlink"/><Relationship Id="rId1958" Target="https%3A%2F%2Fwww.webofscience.com%2Fwos%2Fwoscc%2Ffull-record%2FWOS%3A001343688600001" TargetMode="External" Type="http://schemas.openxmlformats.org/officeDocument/2006/relationships/hyperlink"/><Relationship Id="rId1959" Target="http%3A%2F%2Fdx.doi.org%2F10.1177%2F02761467241286483" TargetMode="External" Type="http://schemas.openxmlformats.org/officeDocument/2006/relationships/hyperlink"/><Relationship Id="rId196" Target="http%3A%2F%2Fdx.doi.org%2F10.1093%2Fehjdh%2Fztaf090" TargetMode="External" Type="http://schemas.openxmlformats.org/officeDocument/2006/relationships/hyperlink"/><Relationship Id="rId1960" Target="https%3A%2F%2Fwww.webofscience.com%2Fwos%2Fwoscc%2Ffull-record%2FWOS%3A001345977300001" TargetMode="External" Type="http://schemas.openxmlformats.org/officeDocument/2006/relationships/hyperlink"/><Relationship Id="rId1961" Target="http%3A%2F%2Fdx.doi.org%2F10.1108%2FJM2-08-2025-0415" TargetMode="External" Type="http://schemas.openxmlformats.org/officeDocument/2006/relationships/hyperlink"/><Relationship Id="rId1962" Target="https%3A%2F%2Fwww.webofscience.com%2Fwos%2Fwoscc%2Ffull-record%2FWOS%3A001662012200001" TargetMode="External" Type="http://schemas.openxmlformats.org/officeDocument/2006/relationships/hyperlink"/><Relationship Id="rId1963" Target="http%3A%2F%2Fdx.doi.org%2F10.3390%2Finformatics13060091" TargetMode="External" Type="http://schemas.openxmlformats.org/officeDocument/2006/relationships/hyperlink"/><Relationship Id="rId1964" Target="https%3A%2F%2Fwww.webofscience.com%2Fwos%2Fwoscc%2Ffull-record%2FWOS%3A001802493600001" TargetMode="External" Type="http://schemas.openxmlformats.org/officeDocument/2006/relationships/hyperlink"/><Relationship Id="rId1965" Target="http%3A%2F%2Fdx.doi.org%2F10.1016%2Fj.techfore.2025.124304" TargetMode="External" Type="http://schemas.openxmlformats.org/officeDocument/2006/relationships/hyperlink"/><Relationship Id="rId1966" Target="https%3A%2F%2Fwww.webofscience.com%2Fwos%2Fwoscc%2Ffull-record%2FWOS%3A001582075500004" TargetMode="External" Type="http://schemas.openxmlformats.org/officeDocument/2006/relationships/hyperlink"/><Relationship Id="rId1967" Target="http%3A%2F%2Fdx.doi.org%2F10.1016%2Fj.maturitas.2025.108616" TargetMode="External" Type="http://schemas.openxmlformats.org/officeDocument/2006/relationships/hyperlink"/><Relationship Id="rId1968" Target="https%3A%2F%2Fwww.webofscience.com%2Fwos%2Fwoscc%2Ffull-record%2FWOS%3A001502754400001" TargetMode="External" Type="http://schemas.openxmlformats.org/officeDocument/2006/relationships/hyperlink"/><Relationship Id="rId1969" Target="http%3A%2F%2Fdx.doi.org%2F10.1038%2Fs42949-026-00394-1" TargetMode="External" Type="http://schemas.openxmlformats.org/officeDocument/2006/relationships/hyperlink"/><Relationship Id="rId197" Target="https%3A%2F%2Fwww.webofscience.com%2Fwos%2Fwoscc%2Ffull-record%2FWOS%3A001563706600001" TargetMode="External" Type="http://schemas.openxmlformats.org/officeDocument/2006/relationships/hyperlink"/><Relationship Id="rId1970" Target="https%3A%2F%2Fwww.webofscience.com%2Fwos%2Fwoscc%2Ffull-record%2FWOS%3A001809260300001" TargetMode="External" Type="http://schemas.openxmlformats.org/officeDocument/2006/relationships/hyperlink"/><Relationship Id="rId1971" Target="http%3A%2F%2Fdx.doi.org%2F10.1097%2FXCS.0000000000001834" TargetMode="External" Type="http://schemas.openxmlformats.org/officeDocument/2006/relationships/hyperlink"/><Relationship Id="rId1972" Target="https%3A%2F%2Fwww.webofscience.com%2Fwos%2Fwoscc%2Ffull-record%2FWOS%3A001792125800017" TargetMode="External" Type="http://schemas.openxmlformats.org/officeDocument/2006/relationships/hyperlink"/><Relationship Id="rId1973" Target="http%3A%2F%2Fdx.doi.org%2F10.2147%2FJHL.S550933" TargetMode="External" Type="http://schemas.openxmlformats.org/officeDocument/2006/relationships/hyperlink"/><Relationship Id="rId1974" Target="https%3A%2F%2Fwww.webofscience.com%2Fwos%2Fwoscc%2Ffull-record%2FWOS%3A001605497000001" TargetMode="External" Type="http://schemas.openxmlformats.org/officeDocument/2006/relationships/hyperlink"/><Relationship Id="rId1975" Target="http%3A%2F%2Fdx.doi.org%2F10.1093%2Fjamia%2Focag123" TargetMode="External" Type="http://schemas.openxmlformats.org/officeDocument/2006/relationships/hyperlink"/><Relationship Id="rId1976" Target="https%3A%2F%2Fwww.webofscience.com%2Fwos%2Fwoscc%2Ffull-record%2FWOS%3A001842094200001" TargetMode="External" Type="http://schemas.openxmlformats.org/officeDocument/2006/relationships/hyperlink"/><Relationship Id="rId1977" Target="http%3A%2F%2Fdx.doi.org%2F10.7759%2Fcureus.59799" TargetMode="External" Type="http://schemas.openxmlformats.org/officeDocument/2006/relationships/hyperlink"/><Relationship Id="rId1978" Target="https%3A%2F%2Fwww.webofscience.com%2Fwos%2Fwoscc%2Ffull-record%2FWOS%3A001235443700035" TargetMode="External" Type="http://schemas.openxmlformats.org/officeDocument/2006/relationships/hyperlink"/><Relationship Id="rId1979" Target="http%3A%2F%2Fdx.doi.org%2F10.2196%2F98949" TargetMode="External" Type="http://schemas.openxmlformats.org/officeDocument/2006/relationships/hyperlink"/><Relationship Id="rId198" Target="http%3A%2F%2Fdx.doi.org%2F10.1038%2Fs41598-025-25266-z" TargetMode="External" Type="http://schemas.openxmlformats.org/officeDocument/2006/relationships/hyperlink"/><Relationship Id="rId1980" Target="https%3A%2F%2Fwww.webofscience.com%2Fwos%2Fwoscc%2Ffull-record%2FWOS%3A001817242900003" TargetMode="External" Type="http://schemas.openxmlformats.org/officeDocument/2006/relationships/hyperlink"/><Relationship Id="rId1981" Target="http%3A%2F%2Fdx.doi.org%2F10.1177%2F20552076261452364" TargetMode="External" Type="http://schemas.openxmlformats.org/officeDocument/2006/relationships/hyperlink"/><Relationship Id="rId1982" Target="https%3A%2F%2Fwww.webofscience.com%2Fwos%2Fwoscc%2Ffull-record%2FWOS%3A001783078800001" TargetMode="External" Type="http://schemas.openxmlformats.org/officeDocument/2006/relationships/hyperlink"/><Relationship Id="rId1983" Target="http%3A%2F%2Fdx.doi.org%2F10.1109%2FJIOT.2025.3566403" TargetMode="External" Type="http://schemas.openxmlformats.org/officeDocument/2006/relationships/hyperlink"/><Relationship Id="rId1984" Target="https%3A%2F%2Fwww.webofscience.com%2Fwos%2Fwoscc%2Ffull-record%2FWOS%3A001696600200049" TargetMode="External" Type="http://schemas.openxmlformats.org/officeDocument/2006/relationships/hyperlink"/><Relationship Id="rId1985" Target="http%3A%2F%2Fdx.doi.org%2F10.1109%2FACCESS.2026.3674991" TargetMode="External" Type="http://schemas.openxmlformats.org/officeDocument/2006/relationships/hyperlink"/><Relationship Id="rId1986" Target="https%3A%2F%2Fwww.webofscience.com%2Fwos%2Fwoscc%2Ffull-record%2FWOS%3A001723045700045" TargetMode="External" Type="http://schemas.openxmlformats.org/officeDocument/2006/relationships/hyperlink"/><Relationship Id="rId1987" Target="http%3A%2F%2Fdx.doi.org%2F10.1109%2FTNNLS.2025.3528321" TargetMode="External" Type="http://schemas.openxmlformats.org/officeDocument/2006/relationships/hyperlink"/><Relationship Id="rId1988" Target="https%3A%2F%2Fwww.webofscience.com%2Fwos%2Fwoscc%2Ffull-record%2FWOS%3A001406000700001" TargetMode="External" Type="http://schemas.openxmlformats.org/officeDocument/2006/relationships/hyperlink"/><Relationship Id="rId1989" Target="http%3A%2F%2Fdx.doi.org%2F10.1016%2Fj.imavis.2026.106140" TargetMode="External" Type="http://schemas.openxmlformats.org/officeDocument/2006/relationships/hyperlink"/><Relationship Id="rId199" Target="https%3A%2F%2Fwww.webofscience.com%2Fwos%2Fwoscc%2Ffull-record%2FWOS%3A001647744500001" TargetMode="External" Type="http://schemas.openxmlformats.org/officeDocument/2006/relationships/hyperlink"/><Relationship Id="rId1990" Target="https%3A%2F%2Fwww.webofscience.com%2Fwos%2Fwoscc%2Ffull-record%2FWOS%3A001841850900001" TargetMode="External" Type="http://schemas.openxmlformats.org/officeDocument/2006/relationships/hyperlink"/><Relationship Id="rId1991" Target="http%3A%2F%2Fdx.doi.org%2F10.7717%2Fpeerj-cs.3832" TargetMode="External" Type="http://schemas.openxmlformats.org/officeDocument/2006/relationships/hyperlink"/><Relationship Id="rId1992" Target="https%3A%2F%2Fwww.webofscience.com%2Fwos%2Fwoscc%2Ffull-record%2FWOS%3A001778799200001" TargetMode="External" Type="http://schemas.openxmlformats.org/officeDocument/2006/relationships/hyperlink"/><Relationship Id="rId2" Target="https%3A%2F%2Fwww.webofscience.com%2Fwos%2Fwoscc%2Ffull-record%2FWOS%3A001783764800019" TargetMode="External" Type="http://schemas.openxmlformats.org/officeDocument/2006/relationships/hyperlink"/><Relationship Id="rId20" Target="https%3A%2F%2Fwww.webofscience.com%2Fwos%2Fwoscc%2Ffull-record%2FWOS%3A001288486700001" TargetMode="External" Type="http://schemas.openxmlformats.org/officeDocument/2006/relationships/hyperlink"/><Relationship Id="rId200" Target="http%3A%2F%2Fdx.doi.org%2F10.1007%2Fs40009-026-02283-8" TargetMode="External" Type="http://schemas.openxmlformats.org/officeDocument/2006/relationships/hyperlink"/><Relationship Id="rId201" Target="https%3A%2F%2Fwww.webofscience.com%2Fwos%2Fwoscc%2Ffull-record%2FWOS%3A001791923900001" TargetMode="External" Type="http://schemas.openxmlformats.org/officeDocument/2006/relationships/hyperlink"/><Relationship Id="rId202" Target="http%3A%2F%2Fdx.doi.org%2F10.3233%2FJIFS-235053" TargetMode="External" Type="http://schemas.openxmlformats.org/officeDocument/2006/relationships/hyperlink"/><Relationship Id="rId203" Target="https%3A%2F%2Fwww.webofscience.com%2Fwos%2Fwoscc%2Ffull-record%2FWOS%3A001163267400035" TargetMode="External" Type="http://schemas.openxmlformats.org/officeDocument/2006/relationships/hyperlink"/><Relationship Id="rId204" Target="http%3A%2F%2Fdx.doi.org%2F10.1371%2Fjournal.pgph.0005715" TargetMode="External" Type="http://schemas.openxmlformats.org/officeDocument/2006/relationships/hyperlink"/><Relationship Id="rId205" Target="https%3A%2F%2Fwww.webofscience.com%2Fwos%2Fwoscc%2Ffull-record%2FWOS%3A001660532200003" TargetMode="External" Type="http://schemas.openxmlformats.org/officeDocument/2006/relationships/hyperlink"/><Relationship Id="rId206" Target="http%3A%2F%2Fdx.doi.org%2F10.1016%2Fj.image.2025.117442" TargetMode="External" Type="http://schemas.openxmlformats.org/officeDocument/2006/relationships/hyperlink"/><Relationship Id="rId207" Target="https%3A%2F%2Fwww.webofscience.com%2Fwos%2Fwoscc%2Ffull-record%2FWOS%3A001632811000001" TargetMode="External" Type="http://schemas.openxmlformats.org/officeDocument/2006/relationships/hyperlink"/><Relationship Id="rId208" Target="http%3A%2F%2Fdx.doi.org%2F10.1186%2Fs12911-025-03315-x" TargetMode="External" Type="http://schemas.openxmlformats.org/officeDocument/2006/relationships/hyperlink"/><Relationship Id="rId209" Target="https%3A%2F%2Fwww.webofscience.com%2Fwos%2Fwoscc%2Ffull-record%2FWOS%3A001669066700002" TargetMode="External" Type="http://schemas.openxmlformats.org/officeDocument/2006/relationships/hyperlink"/><Relationship Id="rId21" Target="http%3A%2F%2Fdx.doi.org%2F10.1016%2Fj.jgeb.2026.100669" TargetMode="External" Type="http://schemas.openxmlformats.org/officeDocument/2006/relationships/hyperlink"/><Relationship Id="rId210" Target="http%3A%2F%2Fdx.doi.org%2F10.3389%2Ffpsyg.2023.1069426" TargetMode="External" Type="http://schemas.openxmlformats.org/officeDocument/2006/relationships/hyperlink"/><Relationship Id="rId211" Target="https%3A%2F%2Fwww.webofscience.com%2Fwos%2Fwoscc%2Ffull-record%2FWOS%3A000953371500001" TargetMode="External" Type="http://schemas.openxmlformats.org/officeDocument/2006/relationships/hyperlink"/><Relationship Id="rId212" Target="http%3A%2F%2Fdx.doi.org%2F10.3390%2Fapp16052514" TargetMode="External" Type="http://schemas.openxmlformats.org/officeDocument/2006/relationships/hyperlink"/><Relationship Id="rId213" Target="https%3A%2F%2Fwww.webofscience.com%2Fwos%2Fwoscc%2Ffull-record%2FWOS%3A001713352900001" TargetMode="External" Type="http://schemas.openxmlformats.org/officeDocument/2006/relationships/hyperlink"/><Relationship Id="rId214" Target="http%3A%2F%2Fdx.doi.org%2F10.1186%2Fs12880-025-01630-3" TargetMode="External" Type="http://schemas.openxmlformats.org/officeDocument/2006/relationships/hyperlink"/><Relationship Id="rId215" Target="https%3A%2F%2Fwww.webofscience.com%2Fwos%2Fwoscc%2Ffull-record%2FWOS%3A001451151700002" TargetMode="External" Type="http://schemas.openxmlformats.org/officeDocument/2006/relationships/hyperlink"/><Relationship Id="rId216" Target="http%3A%2F%2Fdx.doi.org%2F10.1109%2FACCESS.2024.3513893" TargetMode="External" Type="http://schemas.openxmlformats.org/officeDocument/2006/relationships/hyperlink"/><Relationship Id="rId217" Target="https%3A%2F%2Fwww.webofscience.com%2Fwos%2Fwoscc%2Ffull-record%2FWOS%3A001383061300048" TargetMode="External" Type="http://schemas.openxmlformats.org/officeDocument/2006/relationships/hyperlink"/><Relationship Id="rId218" Target="http%3A%2F%2Fdx.doi.org%2F10.3390%2Fbioengineering13050506" TargetMode="External" Type="http://schemas.openxmlformats.org/officeDocument/2006/relationships/hyperlink"/><Relationship Id="rId219" Target="https%3A%2F%2Fwww.webofscience.com%2Fwos%2Fwoscc%2Ffull-record%2FWOS%3A001774852900001" TargetMode="External" Type="http://schemas.openxmlformats.org/officeDocument/2006/relationships/hyperlink"/><Relationship Id="rId22" Target="https%3A%2F%2Fwww.webofscience.com%2Fwos%2Fwoscc%2Ffull-record%2FWOS%3A001714500300001" TargetMode="External" Type="http://schemas.openxmlformats.org/officeDocument/2006/relationships/hyperlink"/><Relationship Id="rId220" Target="http%3A%2F%2Fdx.doi.org%2F10.1016%2Fj.inffus.2024.102412" TargetMode="External" Type="http://schemas.openxmlformats.org/officeDocument/2006/relationships/hyperlink"/><Relationship Id="rId221" Target="https%3A%2F%2Fwww.webofscience.com%2Fwos%2Fwoscc%2Ffull-record%2FWOS%3A001227735900001" TargetMode="External" Type="http://schemas.openxmlformats.org/officeDocument/2006/relationships/hyperlink"/><Relationship Id="rId222" Target="http%3A%2F%2Fdx.doi.org%2F10.1038%2Fs41467-025-59532-5" TargetMode="External" Type="http://schemas.openxmlformats.org/officeDocument/2006/relationships/hyperlink"/><Relationship Id="rId223" Target="https%3A%2F%2Fwww.webofscience.com%2Fwos%2Fwoscc%2Ffull-record%2FWOS%3A001493131600017" TargetMode="External" Type="http://schemas.openxmlformats.org/officeDocument/2006/relationships/hyperlink"/><Relationship Id="rId224" Target="http%3A%2F%2Fdx.doi.org%2F10.1016%2Fj.puhe.2025.106050" TargetMode="External" Type="http://schemas.openxmlformats.org/officeDocument/2006/relationships/hyperlink"/><Relationship Id="rId225" Target="https%3A%2F%2Fwww.webofscience.com%2Fwos%2Fwoscc%2Ffull-record%2FWOS%3A001631680600002" TargetMode="External" Type="http://schemas.openxmlformats.org/officeDocument/2006/relationships/hyperlink"/><Relationship Id="rId226" Target="http%3A%2F%2Fdx.doi.org%2F10.1016%2Fj.asoc.2025.114386" TargetMode="External" Type="http://schemas.openxmlformats.org/officeDocument/2006/relationships/hyperlink"/><Relationship Id="rId227" Target="https%3A%2F%2Fwww.webofscience.com%2Fwos%2Fwoscc%2Ffull-record%2FWOS%3A001639084200001" TargetMode="External" Type="http://schemas.openxmlformats.org/officeDocument/2006/relationships/hyperlink"/><Relationship Id="rId228" Target="http%3A%2F%2Fdx.doi.org%2F10.1016%2Fj.bspc.2025.108361" TargetMode="External" Type="http://schemas.openxmlformats.org/officeDocument/2006/relationships/hyperlink"/><Relationship Id="rId229" Target="https%3A%2F%2Fwww.webofscience.com%2Fwos%2Fwoscc%2Ffull-record%2FWOS%3A001554241000001" TargetMode="External" Type="http://schemas.openxmlformats.org/officeDocument/2006/relationships/hyperlink"/><Relationship Id="rId23" Target="http%3A%2F%2Fdx.doi.org%2F10.1504%2FIJIMA.2022.10039953" TargetMode="External" Type="http://schemas.openxmlformats.org/officeDocument/2006/relationships/hyperlink"/><Relationship Id="rId230" Target="http%3A%2F%2Fdx.doi.org%2F10.1016%2Fj.mex.2025.103356" TargetMode="External" Type="http://schemas.openxmlformats.org/officeDocument/2006/relationships/hyperlink"/><Relationship Id="rId231" Target="https%3A%2F%2Fwww.webofscience.com%2Fwos%2Fwoscc%2Ffull-record%2FWOS%3A001492018000001" TargetMode="External" Type="http://schemas.openxmlformats.org/officeDocument/2006/relationships/hyperlink"/><Relationship Id="rId232" Target="http%3A%2F%2Fdx.doi.org%2F10.1007%2Fs13748-024-00357-6" TargetMode="External" Type="http://schemas.openxmlformats.org/officeDocument/2006/relationships/hyperlink"/><Relationship Id="rId233" Target="https%3A%2F%2Fwww.webofscience.com%2Fwos%2Fwoscc%2Ffull-record%2FWOS%3A001388221000001" TargetMode="External" Type="http://schemas.openxmlformats.org/officeDocument/2006/relationships/hyperlink"/><Relationship Id="rId234" Target="http%3A%2F%2Fdx.doi.org%2F10.1049%2Fhtl2.70014" TargetMode="External" Type="http://schemas.openxmlformats.org/officeDocument/2006/relationships/hyperlink"/><Relationship Id="rId235" Target="https%3A%2F%2Fwww.webofscience.com%2Fwos%2Fwoscc%2Ffull-record%2FWOS%3A001644586700022" TargetMode="External" Type="http://schemas.openxmlformats.org/officeDocument/2006/relationships/hyperlink"/><Relationship Id="rId236" Target="http%3A%2F%2Fdx.doi.org%2F10.2196%2F80028" TargetMode="External" Type="http://schemas.openxmlformats.org/officeDocument/2006/relationships/hyperlink"/><Relationship Id="rId237" Target="https%3A%2F%2Fwww.webofscience.com%2Fwos%2Fwoscc%2Ffull-record%2FWOS%3A001712476200008" TargetMode="External" Type="http://schemas.openxmlformats.org/officeDocument/2006/relationships/hyperlink"/><Relationship Id="rId238" Target="http%3A%2F%2Fdx.doi.org%2F10.1038%2Fs41598-025-33178-1" TargetMode="External" Type="http://schemas.openxmlformats.org/officeDocument/2006/relationships/hyperlink"/><Relationship Id="rId239" Target="https%3A%2F%2Fwww.webofscience.com%2Fwos%2Fwoscc%2Ffull-record%2FWOS%3A001674052400002" TargetMode="External" Type="http://schemas.openxmlformats.org/officeDocument/2006/relationships/hyperlink"/><Relationship Id="rId24" Target="https%3A%2F%2Fwww.webofscience.com%2Fwos%2Fwoscc%2Ffull-record%2FWOS%3A000904205300007" TargetMode="External" Type="http://schemas.openxmlformats.org/officeDocument/2006/relationships/hyperlink"/><Relationship Id="rId240" Target="http%3A%2F%2Fdx.doi.org%2F10.1016%2Fj.neucom.2024.128048" TargetMode="External" Type="http://schemas.openxmlformats.org/officeDocument/2006/relationships/hyperlink"/><Relationship Id="rId241" Target="https%3A%2F%2Fwww.webofscience.com%2Fwos%2Fwoscc%2Ffull-record%2FWOS%3A001262084200001" TargetMode="External" Type="http://schemas.openxmlformats.org/officeDocument/2006/relationships/hyperlink"/><Relationship Id="rId242" Target="http%3A%2F%2Fdx.doi.org%2F10.1007%2Fs13755-026-00449-8" TargetMode="External" Type="http://schemas.openxmlformats.org/officeDocument/2006/relationships/hyperlink"/><Relationship Id="rId243" Target="https%3A%2F%2Fwww.webofscience.com%2Fwos%2Fwoscc%2Ffull-record%2FWOS%3A001733205200001" TargetMode="External" Type="http://schemas.openxmlformats.org/officeDocument/2006/relationships/hyperlink"/><Relationship Id="rId244" Target="http%3A%2F%2Fdx.doi.org%2F10.1038%2Fs41467-023-42396-y" TargetMode="External" Type="http://schemas.openxmlformats.org/officeDocument/2006/relationships/hyperlink"/><Relationship Id="rId245" Target="https%3A%2F%2Fwww.webofscience.com%2Fwos%2Fwoscc%2Ffull-record%2FWOS%3A001100196000023" TargetMode="External" Type="http://schemas.openxmlformats.org/officeDocument/2006/relationships/hyperlink"/><Relationship Id="rId246" Target="http%3A%2F%2Fdx.doi.org%2F10.4018%2FJOEUC.388626" TargetMode="External" Type="http://schemas.openxmlformats.org/officeDocument/2006/relationships/hyperlink"/><Relationship Id="rId247" Target="https%3A%2F%2Fwww.webofscience.com%2Fwos%2Fwoscc%2Ffull-record%2FWOS%3A001585853900004" TargetMode="External" Type="http://schemas.openxmlformats.org/officeDocument/2006/relationships/hyperlink"/><Relationship Id="rId248" Target="http%3A%2F%2Fdx.doi.org%2F10.3390%2Fsystems14060709" TargetMode="External" Type="http://schemas.openxmlformats.org/officeDocument/2006/relationships/hyperlink"/><Relationship Id="rId249" Target="https%3A%2F%2Fwww.webofscience.com%2Fwos%2Fwoscc%2Ffull-record%2FWOS%3A001803551900001" TargetMode="External" Type="http://schemas.openxmlformats.org/officeDocument/2006/relationships/hyperlink"/><Relationship Id="rId25" Target="http%3A%2F%2Fdx.doi.org%2F10.1109%2FACCESS.2025.3555543" TargetMode="External" Type="http://schemas.openxmlformats.org/officeDocument/2006/relationships/hyperlink"/><Relationship Id="rId250" Target="http%3A%2F%2Fdx.doi.org%2F10.1016%2Fj.cmpb.2023.107492" TargetMode="External" Type="http://schemas.openxmlformats.org/officeDocument/2006/relationships/hyperlink"/><Relationship Id="rId251" Target="https%3A%2F%2Fwww.webofscience.com%2Fwos%2Fwoscc%2Ffull-record%2FWOS%3A000961293500001" TargetMode="External" Type="http://schemas.openxmlformats.org/officeDocument/2006/relationships/hyperlink"/><Relationship Id="rId252" Target="http%3A%2F%2Fdx.doi.org%2F10.3389%2Ffpubh.2026.1762346" TargetMode="External" Type="http://schemas.openxmlformats.org/officeDocument/2006/relationships/hyperlink"/><Relationship Id="rId253" Target="https%3A%2F%2Fwww.webofscience.com%2Fwos%2Fwoscc%2Ffull-record%2FWOS%3A001729591500001" TargetMode="External" Type="http://schemas.openxmlformats.org/officeDocument/2006/relationships/hyperlink"/><Relationship Id="rId254" Target="http%3A%2F%2Fdx.doi.org%2F10.1016%2Fj.eij.2026.100926" TargetMode="External" Type="http://schemas.openxmlformats.org/officeDocument/2006/relationships/hyperlink"/><Relationship Id="rId255" Target="https%3A%2F%2Fwww.webofscience.com%2Fwos%2Fwoscc%2Ffull-record%2FWOS%3A001710272400001" TargetMode="External" Type="http://schemas.openxmlformats.org/officeDocument/2006/relationships/hyperlink"/><Relationship Id="rId256" Target="http%3A%2F%2Fdx.doi.org%2F10.1109%2FACCESS.2024.3378516" TargetMode="External" Type="http://schemas.openxmlformats.org/officeDocument/2006/relationships/hyperlink"/><Relationship Id="rId257" Target="https%3A%2F%2Fwww.webofscience.com%2Fwos%2Fwoscc%2Ffull-record%2FWOS%3A001192230200001" TargetMode="External" Type="http://schemas.openxmlformats.org/officeDocument/2006/relationships/hyperlink"/><Relationship Id="rId258" Target="http%3A%2F%2Fdx.doi.org%2F10.2196%2F63809" TargetMode="External" Type="http://schemas.openxmlformats.org/officeDocument/2006/relationships/hyperlink"/><Relationship Id="rId259" Target="https%3A%2F%2Fwww.webofscience.com%2Fwos%2Fwoscc%2Ffull-record%2FWOS%3A001439594300001" TargetMode="External" Type="http://schemas.openxmlformats.org/officeDocument/2006/relationships/hyperlink"/><Relationship Id="rId26" Target="https%3A%2F%2Fwww.webofscience.com%2Fwos%2Fwoscc%2Ffull-record%2FWOS%3A001463546100030" TargetMode="External" Type="http://schemas.openxmlformats.org/officeDocument/2006/relationships/hyperlink"/><Relationship Id="rId260" Target="http%3A%2F%2Fdx.doi.org%2F10.2196%2F68030" TargetMode="External" Type="http://schemas.openxmlformats.org/officeDocument/2006/relationships/hyperlink"/><Relationship Id="rId261" Target="https%3A%2F%2Fwww.webofscience.com%2Fwos%2Fwoscc%2Ffull-record%2FWOS%3A001495307800008" TargetMode="External" Type="http://schemas.openxmlformats.org/officeDocument/2006/relationships/hyperlink"/><Relationship Id="rId262" Target="http%3A%2F%2Fdx.doi.org%2F10.1016%2Fj.mtsust.2026.101410" TargetMode="External" Type="http://schemas.openxmlformats.org/officeDocument/2006/relationships/hyperlink"/><Relationship Id="rId263" Target="https%3A%2F%2Fwww.webofscience.com%2Fwos%2Fwoscc%2Ffull-record%2FWOS%3A001818429100001" TargetMode="External" Type="http://schemas.openxmlformats.org/officeDocument/2006/relationships/hyperlink"/><Relationship Id="rId264" Target="http%3A%2F%2Fdx.doi.org%2F10.1038%2Fs41598-025-19905-8" TargetMode="External" Type="http://schemas.openxmlformats.org/officeDocument/2006/relationships/hyperlink"/><Relationship Id="rId265" Target="https%3A%2F%2Fwww.webofscience.com%2Fwos%2Fwoscc%2Ffull-record%2FWOS%3A001596279600032" TargetMode="External" Type="http://schemas.openxmlformats.org/officeDocument/2006/relationships/hyperlink"/><Relationship Id="rId266" Target="http%3A%2F%2Fdx.doi.org%2F10.1016%2Fj.mcpdig.2025.100294" TargetMode="External" Type="http://schemas.openxmlformats.org/officeDocument/2006/relationships/hyperlink"/><Relationship Id="rId267" Target="https%3A%2F%2Fwww.webofscience.com%2Fwos%2Fwoscc%2Ffull-record%2FWOS%3A001612123700001" TargetMode="External" Type="http://schemas.openxmlformats.org/officeDocument/2006/relationships/hyperlink"/><Relationship Id="rId268" Target="http%3A%2F%2Fdx.doi.org%2F10.1016%2Fj.bspc.2023.105646" TargetMode="External" Type="http://schemas.openxmlformats.org/officeDocument/2006/relationships/hyperlink"/><Relationship Id="rId269" Target="https%3A%2F%2Fwww.webofscience.com%2Fwos%2Fwoscc%2Ffull-record%2FWOS%3A001092845100001" TargetMode="External" Type="http://schemas.openxmlformats.org/officeDocument/2006/relationships/hyperlink"/><Relationship Id="rId27" Target="http%3A%2F%2Fdx.doi.org%2F10.1016%2Fj.wneu.2024.01.076" TargetMode="External" Type="http://schemas.openxmlformats.org/officeDocument/2006/relationships/hyperlink"/><Relationship Id="rId270" Target="http%3A%2F%2Fdx.doi.org%2F10.1080%2F17512433.2026.2682286" TargetMode="External" Type="http://schemas.openxmlformats.org/officeDocument/2006/relationships/hyperlink"/><Relationship Id="rId271" Target="https%3A%2F%2Fwww.webofscience.com%2Fwos%2Fwoscc%2Ffull-record%2FWOS%3A001782837500001" TargetMode="External" Type="http://schemas.openxmlformats.org/officeDocument/2006/relationships/hyperlink"/><Relationship Id="rId272" Target="http%3A%2F%2Fdx.doi.org%2F10.1016%2Fj.rineng.2026.109608" TargetMode="External" Type="http://schemas.openxmlformats.org/officeDocument/2006/relationships/hyperlink"/><Relationship Id="rId273" Target="https%3A%2F%2Fwww.webofscience.com%2Fwos%2Fwoscc%2Ffull-record%2FWOS%3A001699329700002" TargetMode="External" Type="http://schemas.openxmlformats.org/officeDocument/2006/relationships/hyperlink"/><Relationship Id="rId274" Target="http%3A%2F%2Fdx.doi.org%2F10.1038%2Fs41598-024-82501-9" TargetMode="External" Type="http://schemas.openxmlformats.org/officeDocument/2006/relationships/hyperlink"/><Relationship Id="rId275" Target="https%3A%2F%2Fwww.webofscience.com%2Fwos%2Fwoscc%2Ffull-record%2FWOS%3A001386530100002" TargetMode="External" Type="http://schemas.openxmlformats.org/officeDocument/2006/relationships/hyperlink"/><Relationship Id="rId276" Target="http%3A%2F%2Fdx.doi.org%2F10.1371%2Fjournal.pone.0324957" TargetMode="External" Type="http://schemas.openxmlformats.org/officeDocument/2006/relationships/hyperlink"/><Relationship Id="rId277" Target="https%3A%2F%2Fwww.webofscience.com%2Fwos%2Fwoscc%2Ffull-record%2FWOS%3A001554553900003" TargetMode="External" Type="http://schemas.openxmlformats.org/officeDocument/2006/relationships/hyperlink"/><Relationship Id="rId278" Target="http%3A%2F%2Fdx.doi.org%2F10.1109%2FACCESS.2024.3402818" TargetMode="External" Type="http://schemas.openxmlformats.org/officeDocument/2006/relationships/hyperlink"/><Relationship Id="rId279" Target="https%3A%2F%2Fwww.webofscience.com%2Fwos%2Fwoscc%2Ffull-record%2FWOS%3A001241545600001" TargetMode="External" Type="http://schemas.openxmlformats.org/officeDocument/2006/relationships/hyperlink"/><Relationship Id="rId28" Target="https%3A%2F%2Fwww.webofscience.com%2Fwos%2Fwoscc%2Ffull-record%2FWOS%3A001226673500001" TargetMode="External" Type="http://schemas.openxmlformats.org/officeDocument/2006/relationships/hyperlink"/><Relationship Id="rId280" Target="http%3A%2F%2Fdx.doi.org%2F10.1186%2Fs12245-026-01328-5" TargetMode="External" Type="http://schemas.openxmlformats.org/officeDocument/2006/relationships/hyperlink"/><Relationship Id="rId281" Target="https%3A%2F%2Fwww.webofscience.com%2Fwos%2Fwoscc%2Ffull-record%2FWOS%3A001841165800001" TargetMode="External" Type="http://schemas.openxmlformats.org/officeDocument/2006/relationships/hyperlink"/><Relationship Id="rId282" Target="http%3A%2F%2Fdx.doi.org%2F10.1016%2Fj.jrt.2026.100167" TargetMode="External" Type="http://schemas.openxmlformats.org/officeDocument/2006/relationships/hyperlink"/><Relationship Id="rId283" Target="https%3A%2F%2Fwww.webofscience.com%2Fwos%2Fwoscc%2Ffull-record%2FWOS%3A001764746900001" TargetMode="External" Type="http://schemas.openxmlformats.org/officeDocument/2006/relationships/hyperlink"/><Relationship Id="rId284" Target="http%3A%2F%2Fdx.doi.org%2F10.1109%2FTMLCN.2025.3596548" TargetMode="External" Type="http://schemas.openxmlformats.org/officeDocument/2006/relationships/hyperlink"/><Relationship Id="rId285" Target="https%3A%2F%2Fwww.webofscience.com%2Fwos%2Fwoscc%2Ffull-record%2FWOS%3A001551558600001" TargetMode="External" Type="http://schemas.openxmlformats.org/officeDocument/2006/relationships/hyperlink"/><Relationship Id="rId286" Target="http%3A%2F%2Fdx.doi.org%2F10.1109%2FACCESS.2025.3612957" TargetMode="External" Type="http://schemas.openxmlformats.org/officeDocument/2006/relationships/hyperlink"/><Relationship Id="rId287" Target="https%3A%2F%2Fwww.webofscience.com%2Fwos%2Fwoscc%2Ffull-record%2FWOS%3A001589952200030" TargetMode="External" Type="http://schemas.openxmlformats.org/officeDocument/2006/relationships/hyperlink"/><Relationship Id="rId288" Target="http%3A%2F%2Fdx.doi.org%2F10.1016%2Fj.diii.2025.05.006" TargetMode="External" Type="http://schemas.openxmlformats.org/officeDocument/2006/relationships/hyperlink"/><Relationship Id="rId289" Target="https%3A%2F%2Fwww.webofscience.com%2Fwos%2Fwoscc%2Ffull-record%2FWOS%3A001608346000004" TargetMode="External" Type="http://schemas.openxmlformats.org/officeDocument/2006/relationships/hyperlink"/><Relationship Id="rId29" Target="http%3A%2F%2Fdx.doi.org%2F10.1136%2Fjme-2022-108850" TargetMode="External" Type="http://schemas.openxmlformats.org/officeDocument/2006/relationships/hyperlink"/><Relationship Id="rId290" Target="http%3A%2F%2Fdx.doi.org%2F10.1109%2FJBHI.2025.3531294" TargetMode="External" Type="http://schemas.openxmlformats.org/officeDocument/2006/relationships/hyperlink"/><Relationship Id="rId291" Target="https%3A%2F%2Fwww.webofscience.com%2Fwos%2Fwoscc%2Ffull-record%2FWOS%3A001522930100049" TargetMode="External" Type="http://schemas.openxmlformats.org/officeDocument/2006/relationships/hyperlink"/><Relationship Id="rId292" Target="http%3A%2F%2Fdx.doi.org%2F10.37256%2Fcm.6520258031" TargetMode="External" Type="http://schemas.openxmlformats.org/officeDocument/2006/relationships/hyperlink"/><Relationship Id="rId293" Target="https%3A%2F%2Fwww.webofscience.com%2Fwos%2Fwoscc%2Ffull-record%2FWOS%3A001587331100005" TargetMode="External" Type="http://schemas.openxmlformats.org/officeDocument/2006/relationships/hyperlink"/><Relationship Id="rId294" Target="http%3A%2F%2Fdx.doi.org%2F10.37765%2Fajmc.2025.89737" TargetMode="External" Type="http://schemas.openxmlformats.org/officeDocument/2006/relationships/hyperlink"/><Relationship Id="rId295" Target="https%3A%2F%2Fwww.webofscience.com%2Fwos%2Fwoscc%2Ffull-record%2FWOS%3A001493676700001" TargetMode="External" Type="http://schemas.openxmlformats.org/officeDocument/2006/relationships/hyperlink"/><Relationship Id="rId296" Target="http%3A%2F%2Fdx.doi.org%2F10.1097%2FIAE.0000000000003325" TargetMode="External" Type="http://schemas.openxmlformats.org/officeDocument/2006/relationships/hyperlink"/><Relationship Id="rId297" Target="https%3A%2F%2Fwww.webofscience.com%2Fwos%2Fwoscc%2Ffull-record%2FWOS%3A000758305500013" TargetMode="External" Type="http://schemas.openxmlformats.org/officeDocument/2006/relationships/hyperlink"/><Relationship Id="rId298" Target="http%3A%2F%2Fdx.doi.org%2F10.1016%2Fj.eswa.2026.133048" TargetMode="External" Type="http://schemas.openxmlformats.org/officeDocument/2006/relationships/hyperlink"/><Relationship Id="rId299" Target="https%3A%2F%2Fwww.webofscience.com%2Fwos%2Fwoscc%2Ffull-record%2FWOS%3A001805049300001" TargetMode="External" Type="http://schemas.openxmlformats.org/officeDocument/2006/relationships/hyperlink"/><Relationship Id="rId3" Target="http%3A%2F%2Fdx.doi.org%2F10.1016%2Fj.inffus.2025.103709" TargetMode="External" Type="http://schemas.openxmlformats.org/officeDocument/2006/relationships/hyperlink"/><Relationship Id="rId30" Target="https%3A%2F%2Fwww.webofscience.com%2Fwos%2Fwoscc%2Ffull-record%2FWOS%3A000943794100001" TargetMode="External" Type="http://schemas.openxmlformats.org/officeDocument/2006/relationships/hyperlink"/><Relationship Id="rId300" Target="http%3A%2F%2Fdx.doi.org%2F10.1088%2F1402-4896%2Fadc49b" TargetMode="External" Type="http://schemas.openxmlformats.org/officeDocument/2006/relationships/hyperlink"/><Relationship Id="rId301" Target="https%3A%2F%2Fwww.webofscience.com%2Fwos%2Fwoscc%2Ffull-record%2FWOS%3A001457724400001" TargetMode="External" Type="http://schemas.openxmlformats.org/officeDocument/2006/relationships/hyperlink"/><Relationship Id="rId302" Target="http%3A%2F%2Fdx.doi.org%2F10.1186%2Fs40708-022-00165-5" TargetMode="External" Type="http://schemas.openxmlformats.org/officeDocument/2006/relationships/hyperlink"/><Relationship Id="rId303" Target="https%3A%2F%2Fwww.webofscience.com%2Fwos%2Fwoscc%2Ffull-record%2FWOS%3A001206545600005" TargetMode="External" Type="http://schemas.openxmlformats.org/officeDocument/2006/relationships/hyperlink"/><Relationship Id="rId304" Target="http%3A%2F%2Fdx.doi.org%2F10.3390%2Felectronics12010015" TargetMode="External" Type="http://schemas.openxmlformats.org/officeDocument/2006/relationships/hyperlink"/><Relationship Id="rId305" Target="https%3A%2F%2Fwww.webofscience.com%2Fwos%2Fwoscc%2Ffull-record%2FWOS%3A000909355900001" TargetMode="External" Type="http://schemas.openxmlformats.org/officeDocument/2006/relationships/hyperlink"/><Relationship Id="rId306" Target="http%3A%2F%2Fdx.doi.org%2F10.3390%2Fijerph19126988" TargetMode="External" Type="http://schemas.openxmlformats.org/officeDocument/2006/relationships/hyperlink"/><Relationship Id="rId307" Target="https%3A%2F%2Fwww.webofscience.com%2Fwos%2Fwoscc%2Ffull-record%2FWOS%3A000818199600001" TargetMode="External" Type="http://schemas.openxmlformats.org/officeDocument/2006/relationships/hyperlink"/><Relationship Id="rId308" Target="http%3A%2F%2Fdx.doi.org%2F10.3390%2Fcomputers15010033" TargetMode="External" Type="http://schemas.openxmlformats.org/officeDocument/2006/relationships/hyperlink"/><Relationship Id="rId309" Target="https%3A%2F%2Fwww.webofscience.com%2Fwos%2Fwoscc%2Ffull-record%2FWOS%3A001670136400001" TargetMode="External" Type="http://schemas.openxmlformats.org/officeDocument/2006/relationships/hyperlink"/><Relationship Id="rId31" Target="http%3A%2F%2Fdx.doi.org%2F10.1016%2Fj.jrras.2025.101676" TargetMode="External" Type="http://schemas.openxmlformats.org/officeDocument/2006/relationships/hyperlink"/><Relationship Id="rId310" Target="http%3A%2F%2Fdx.doi.org%2F10.3390%2Fclockssleep7020019" TargetMode="External" Type="http://schemas.openxmlformats.org/officeDocument/2006/relationships/hyperlink"/><Relationship Id="rId311" Target="https%3A%2F%2Fwww.webofscience.com%2Fwos%2Fwoscc%2Ffull-record%2FWOS%3A001514719900001" TargetMode="External" Type="http://schemas.openxmlformats.org/officeDocument/2006/relationships/hyperlink"/><Relationship Id="rId312" Target="http%3A%2F%2Fdx.doi.org%2F10.1007%2Fs00417-026-07284-3" TargetMode="External" Type="http://schemas.openxmlformats.org/officeDocument/2006/relationships/hyperlink"/><Relationship Id="rId313" Target="https%3A%2F%2Fwww.webofscience.com%2Fwos%2Fwoscc%2Ffull-record%2FWOS%3A001773061300001" TargetMode="External" Type="http://schemas.openxmlformats.org/officeDocument/2006/relationships/hyperlink"/><Relationship Id="rId314" Target="http%3A%2F%2Fdx.doi.org%2F10.1109%2FACCESS.2025.3620762" TargetMode="External" Type="http://schemas.openxmlformats.org/officeDocument/2006/relationships/hyperlink"/><Relationship Id="rId315" Target="https%3A%2F%2Fwww.webofscience.com%2Fwos%2Fwoscc%2Ffull-record%2FWOS%3A001600745900043" TargetMode="External" Type="http://schemas.openxmlformats.org/officeDocument/2006/relationships/hyperlink"/><Relationship Id="rId316" Target="http%3A%2F%2Fdx.doi.org%2F10.1007%2Fs11220-026-00803-w" TargetMode="External" Type="http://schemas.openxmlformats.org/officeDocument/2006/relationships/hyperlink"/><Relationship Id="rId317" Target="https%3A%2F%2Fwww.webofscience.com%2Fwos%2Fwoscc%2Ffull-record%2FWOS%3A001776365300001" TargetMode="External" Type="http://schemas.openxmlformats.org/officeDocument/2006/relationships/hyperlink"/><Relationship Id="rId318" Target="http%3A%2F%2Fdx.doi.org%2F10.1016%2Fj.bspc.2024.107395" TargetMode="External" Type="http://schemas.openxmlformats.org/officeDocument/2006/relationships/hyperlink"/><Relationship Id="rId319" Target="https%3A%2F%2Fwww.webofscience.com%2Fwos%2Fwoscc%2Ffull-record%2FWOS%3A001397695100001" TargetMode="External" Type="http://schemas.openxmlformats.org/officeDocument/2006/relationships/hyperlink"/><Relationship Id="rId32" Target="https%3A%2F%2Fwww.webofscience.com%2Fwos%2Fwoscc%2Ffull-record%2FWOS%3A001517361700001" TargetMode="External" Type="http://schemas.openxmlformats.org/officeDocument/2006/relationships/hyperlink"/><Relationship Id="rId320" Target="http%3A%2F%2Fdx.doi.org%2F10.3390%2Fneurolint17080121" TargetMode="External" Type="http://schemas.openxmlformats.org/officeDocument/2006/relationships/hyperlink"/><Relationship Id="rId321" Target="https%3A%2F%2Fwww.webofscience.com%2Fwos%2Fwoscc%2Ffull-record%2FWOS%3A001558061500001" TargetMode="External" Type="http://schemas.openxmlformats.org/officeDocument/2006/relationships/hyperlink"/><Relationship Id="rId322" Target="http%3A%2F%2Fdx.doi.org%2F10.1016%2Fj.cmpb.2025.108599" TargetMode="External" Type="http://schemas.openxmlformats.org/officeDocument/2006/relationships/hyperlink"/><Relationship Id="rId323" Target="https%3A%2F%2Fwww.webofscience.com%2Fwos%2Fwoscc%2Ffull-record%2FWOS%3A001413748200001" TargetMode="External" Type="http://schemas.openxmlformats.org/officeDocument/2006/relationships/hyperlink"/><Relationship Id="rId324" Target="http%3A%2F%2Fdx.doi.org%2F10.1088%2F2631-8695%2Fae6f88" TargetMode="External" Type="http://schemas.openxmlformats.org/officeDocument/2006/relationships/hyperlink"/><Relationship Id="rId325" Target="https%3A%2F%2Fwww.webofscience.com%2Fwos%2Fwoscc%2Ffull-record%2FWOS%3A001828287600001" TargetMode="External" Type="http://schemas.openxmlformats.org/officeDocument/2006/relationships/hyperlink"/><Relationship Id="rId326" Target="http%3A%2F%2Fdx.doi.org%2F10.3390%2Fai5040100" TargetMode="External" Type="http://schemas.openxmlformats.org/officeDocument/2006/relationships/hyperlink"/><Relationship Id="rId327" Target="https%3A%2F%2Fwww.webofscience.com%2Fwos%2Fwoscc%2Ffull-record%2FWOS%3A001384107000001" TargetMode="External" Type="http://schemas.openxmlformats.org/officeDocument/2006/relationships/hyperlink"/><Relationship Id="rId328" Target="http%3A%2F%2Fdx.doi.org%2F10.3390%2Fa16090435" TargetMode="External" Type="http://schemas.openxmlformats.org/officeDocument/2006/relationships/hyperlink"/><Relationship Id="rId329" Target="https%3A%2F%2Fwww.webofscience.com%2Fwos%2Fwoscc%2Ffull-record%2FWOS%3A001076566900001" TargetMode="External" Type="http://schemas.openxmlformats.org/officeDocument/2006/relationships/hyperlink"/><Relationship Id="rId33" Target="http%3A%2F%2Fdx.doi.org%2F10.1080%2F17483107.2025.2507684" TargetMode="External" Type="http://schemas.openxmlformats.org/officeDocument/2006/relationships/hyperlink"/><Relationship Id="rId330" Target="http%3A%2F%2Fdx.doi.org%2F10.3389%2Ffpubh.2025.1693397" TargetMode="External" Type="http://schemas.openxmlformats.org/officeDocument/2006/relationships/hyperlink"/><Relationship Id="rId331" Target="https%3A%2F%2Fwww.webofscience.com%2Fwos%2Fwoscc%2Ffull-record%2FWOS%3A001630974300001" TargetMode="External" Type="http://schemas.openxmlformats.org/officeDocument/2006/relationships/hyperlink"/><Relationship Id="rId332" Target="http%3A%2F%2Fdx.doi.org%2F10.4258%2Fhir.2026.32.2.134" TargetMode="External" Type="http://schemas.openxmlformats.org/officeDocument/2006/relationships/hyperlink"/><Relationship Id="rId333" Target="https%3A%2F%2Fwww.webofscience.com%2Fwos%2Fwoscc%2Ffull-record%2FWOS%3A001768334000004" TargetMode="External" Type="http://schemas.openxmlformats.org/officeDocument/2006/relationships/hyperlink"/><Relationship Id="rId334" Target="http%3A%2F%2Fdx.doi.org%2F10.1007%2Fs10796-026-10741-3" TargetMode="External" Type="http://schemas.openxmlformats.org/officeDocument/2006/relationships/hyperlink"/><Relationship Id="rId335" Target="https%3A%2F%2Fwww.webofscience.com%2Fwos%2Fwoscc%2Ffull-record%2FWOS%3A001762623500001" TargetMode="External" Type="http://schemas.openxmlformats.org/officeDocument/2006/relationships/hyperlink"/><Relationship Id="rId336" Target="http%3A%2F%2Fdx.doi.org%2F10.1093%2Fjmp%2Fjhab036" TargetMode="External" Type="http://schemas.openxmlformats.org/officeDocument/2006/relationships/hyperlink"/><Relationship Id="rId337" Target="https%3A%2F%2Fwww.webofscience.com%2Fwos%2Fwoscc%2Ffull-record%2FWOS%3A000753115200009" TargetMode="External" Type="http://schemas.openxmlformats.org/officeDocument/2006/relationships/hyperlink"/><Relationship Id="rId338" Target="http%3A%2F%2Fdx.doi.org%2F10.1177%2F08944393261419809" TargetMode="External" Type="http://schemas.openxmlformats.org/officeDocument/2006/relationships/hyperlink"/><Relationship Id="rId339" Target="https%3A%2F%2Fwww.webofscience.com%2Fwos%2Fwoscc%2Ffull-record%2FWOS%3A001667834900001" TargetMode="External" Type="http://schemas.openxmlformats.org/officeDocument/2006/relationships/hyperlink"/><Relationship Id="rId34" Target="https%3A%2F%2Fwww.webofscience.com%2Fwos%2Fwoscc%2Ffull-record%2FWOS%3A001497387400001" TargetMode="External" Type="http://schemas.openxmlformats.org/officeDocument/2006/relationships/hyperlink"/><Relationship Id="rId340" Target="http%3A%2F%2Fdx.doi.org%2F10.1155%2Facis%2F8886728" TargetMode="External" Type="http://schemas.openxmlformats.org/officeDocument/2006/relationships/hyperlink"/><Relationship Id="rId341" Target="https%3A%2F%2Fwww.webofscience.com%2Fwos%2Fwoscc%2Ffull-record%2FWOS%3A001604161500001" TargetMode="External" Type="http://schemas.openxmlformats.org/officeDocument/2006/relationships/hyperlink"/><Relationship Id="rId342" Target="http%3A%2F%2Fdx.doi.org%2F10.1155%2Fjotm%2F1709439" TargetMode="External" Type="http://schemas.openxmlformats.org/officeDocument/2006/relationships/hyperlink"/><Relationship Id="rId343" Target="https%3A%2F%2Fwww.webofscience.com%2Fwos%2Fwoscc%2Ffull-record%2FWOS%3A001637566600001" TargetMode="External" Type="http://schemas.openxmlformats.org/officeDocument/2006/relationships/hyperlink"/><Relationship Id="rId344" Target="http%3A%2F%2Fdx.doi.org%2F10.3390%2Fdiagnostics13233495" TargetMode="External" Type="http://schemas.openxmlformats.org/officeDocument/2006/relationships/hyperlink"/><Relationship Id="rId345" Target="https%3A%2F%2Fwww.webofscience.com%2Fwos%2Fwoscc%2Ffull-record%2FWOS%3A001116032800001" TargetMode="External" Type="http://schemas.openxmlformats.org/officeDocument/2006/relationships/hyperlink"/><Relationship Id="rId346" Target="http%3A%2F%2Fdx.doi.org%2F10.1016%2Fj.radi.2025.103194" TargetMode="External" Type="http://schemas.openxmlformats.org/officeDocument/2006/relationships/hyperlink"/><Relationship Id="rId347" Target="https%3A%2F%2Fwww.webofscience.com%2Fwos%2Fwoscc%2Ffull-record%2FWOS%3A001597839400001" TargetMode="External" Type="http://schemas.openxmlformats.org/officeDocument/2006/relationships/hyperlink"/><Relationship Id="rId348" Target="http%3A%2F%2Fdx.doi.org%2F10.1159%2F000538424" TargetMode="External" Type="http://schemas.openxmlformats.org/officeDocument/2006/relationships/hyperlink"/><Relationship Id="rId349" Target="https%3A%2F%2Fwww.webofscience.com%2Fwos%2Fwoscc%2Ffull-record%2FWOS%3A001242116800001" TargetMode="External" Type="http://schemas.openxmlformats.org/officeDocument/2006/relationships/hyperlink"/><Relationship Id="rId35" Target="http%3A%2F%2Fdx.doi.org%2F10.1080%2F07853890.2025.2499960" TargetMode="External" Type="http://schemas.openxmlformats.org/officeDocument/2006/relationships/hyperlink"/><Relationship Id="rId350" Target="http%3A%2F%2Fdx.doi.org%2F10.55730%2F1300-0632.3924" TargetMode="External" Type="http://schemas.openxmlformats.org/officeDocument/2006/relationships/hyperlink"/><Relationship Id="rId351" Target="https%3A%2F%2Fwww.webofscience.com%2Fwos%2Fwoscc%2Ffull-record%2FWOS%3A000884407400004" TargetMode="External" Type="http://schemas.openxmlformats.org/officeDocument/2006/relationships/hyperlink"/><Relationship Id="rId352" Target="http%3A%2F%2Fdx.doi.org%2F10.1109%2FACCESS.2024.3448219" TargetMode="External" Type="http://schemas.openxmlformats.org/officeDocument/2006/relationships/hyperlink"/><Relationship Id="rId353" Target="https%3A%2F%2Fwww.webofscience.com%2Fwos%2Fwoscc%2Ffull-record%2FWOS%3A001303311700001" TargetMode="External" Type="http://schemas.openxmlformats.org/officeDocument/2006/relationships/hyperlink"/><Relationship Id="rId354" Target="http%3A%2F%2Fdx.doi.org%2F10.1016%2Fj.compmedimag.2026.102730" TargetMode="External" Type="http://schemas.openxmlformats.org/officeDocument/2006/relationships/hyperlink"/><Relationship Id="rId355" Target="https%3A%2F%2Fwww.webofscience.com%2Fwos%2Fwoscc%2Ffull-record%2FWOS%3A001702833500001" TargetMode="External" Type="http://schemas.openxmlformats.org/officeDocument/2006/relationships/hyperlink"/><Relationship Id="rId356" Target="http%3A%2F%2Fdx.doi.org%2F10.1016%2Fj.smhl.2024.100478" TargetMode="External" Type="http://schemas.openxmlformats.org/officeDocument/2006/relationships/hyperlink"/><Relationship Id="rId357" Target="https%3A%2F%2Fwww.webofscience.com%2Fwos%2Fwoscc%2Ffull-record%2FWOS%3A001612143600023" TargetMode="External" Type="http://schemas.openxmlformats.org/officeDocument/2006/relationships/hyperlink"/><Relationship Id="rId358" Target="http%3A%2F%2Fdx.doi.org%2F10.1038%2Fs41746-026-02782-4" TargetMode="External" Type="http://schemas.openxmlformats.org/officeDocument/2006/relationships/hyperlink"/><Relationship Id="rId359" Target="https%3A%2F%2Fwww.webofscience.com%2Fwos%2Fwoscc%2Ffull-record%2FWOS%3A001854058100001" TargetMode="External" Type="http://schemas.openxmlformats.org/officeDocument/2006/relationships/hyperlink"/><Relationship Id="rId36" Target="https%3A%2F%2Fwww.webofscience.com%2Fwos%2Fwoscc%2Ffull-record%2FWOS%3A001481957000001" TargetMode="External" Type="http://schemas.openxmlformats.org/officeDocument/2006/relationships/hyperlink"/><Relationship Id="rId360" Target="http%3A%2F%2Fdx.doi.org%2F10.3390%2Fjcm14144934" TargetMode="External" Type="http://schemas.openxmlformats.org/officeDocument/2006/relationships/hyperlink"/><Relationship Id="rId361" Target="https%3A%2F%2Fwww.webofscience.com%2Fwos%2Fwoscc%2Ffull-record%2FWOS%3A001535757400001" TargetMode="External" Type="http://schemas.openxmlformats.org/officeDocument/2006/relationships/hyperlink"/><Relationship Id="rId362" Target="http%3A%2F%2Fdx.doi.org%2F10.3390%2Fhealthcare11030410" TargetMode="External" Type="http://schemas.openxmlformats.org/officeDocument/2006/relationships/hyperlink"/><Relationship Id="rId363" Target="https%3A%2F%2Fwww.webofscience.com%2Fwos%2Fwoscc%2Ffull-record%2FWOS%3A000930253100001" TargetMode="External" Type="http://schemas.openxmlformats.org/officeDocument/2006/relationships/hyperlink"/><Relationship Id="rId364" Target="http%3A%2F%2Fdx.doi.org%2F10.1177%2F16094069251404344" TargetMode="External" Type="http://schemas.openxmlformats.org/officeDocument/2006/relationships/hyperlink"/><Relationship Id="rId365" Target="https%3A%2F%2Fwww.webofscience.com%2Fwos%2Fwoscc%2Ffull-record%2FWOS%3A001657825900001" TargetMode="External" Type="http://schemas.openxmlformats.org/officeDocument/2006/relationships/hyperlink"/><Relationship Id="rId366" Target="http%3A%2F%2Fdx.doi.org%2F10.1097%2FXCS.0000000000000242" TargetMode="External" Type="http://schemas.openxmlformats.org/officeDocument/2006/relationships/hyperlink"/><Relationship Id="rId367" Target="https%3A%2F%2Fwww.webofscience.com%2Fwos%2Fwoscc%2Ffull-record%2FWOS%3A000825796900017" TargetMode="External" Type="http://schemas.openxmlformats.org/officeDocument/2006/relationships/hyperlink"/><Relationship Id="rId368" Target="http%3A%2F%2Fdx.doi.org%2F10.1109%2FACCESS.2025.3608083" TargetMode="External" Type="http://schemas.openxmlformats.org/officeDocument/2006/relationships/hyperlink"/><Relationship Id="rId369" Target="https%3A%2F%2Fwww.webofscience.com%2Fwos%2Fwoscc%2Ffull-record%2FWOS%3A001574191400001" TargetMode="External" Type="http://schemas.openxmlformats.org/officeDocument/2006/relationships/hyperlink"/><Relationship Id="rId37" Target="http%3A%2F%2Fdx.doi.org%2F10.1186%2Fs12910-026-01496-2" TargetMode="External" Type="http://schemas.openxmlformats.org/officeDocument/2006/relationships/hyperlink"/><Relationship Id="rId370" Target="http%3A%2F%2Fdx.doi.org%2F10.1016%2Fj.cmpb.2025.108653" TargetMode="External" Type="http://schemas.openxmlformats.org/officeDocument/2006/relationships/hyperlink"/><Relationship Id="rId371" Target="https%3A%2F%2Fwww.webofscience.com%2Fwos%2Fwoscc%2Ffull-record%2FWOS%3A001428785600001" TargetMode="External" Type="http://schemas.openxmlformats.org/officeDocument/2006/relationships/hyperlink"/><Relationship Id="rId372" Target="http%3A%2F%2Fdx.doi.org%2F10.3390%2Fdiagnostics16142226" TargetMode="External" Type="http://schemas.openxmlformats.org/officeDocument/2006/relationships/hyperlink"/><Relationship Id="rId373" Target="https%3A%2F%2Fwww.webofscience.com%2Fwos%2Fwoscc%2Ffull-record%2FWOS%3A001833274300001" TargetMode="External" Type="http://schemas.openxmlformats.org/officeDocument/2006/relationships/hyperlink"/><Relationship Id="rId374" Target="http%3A%2F%2Fdx.doi.org%2F10.1167%2Ftvst.14.10.31" TargetMode="External" Type="http://schemas.openxmlformats.org/officeDocument/2006/relationships/hyperlink"/><Relationship Id="rId375" Target="https%3A%2F%2Fwww.webofscience.com%2Fwos%2Fwoscc%2Ffull-record%2FWOS%3A001631855600001" TargetMode="External" Type="http://schemas.openxmlformats.org/officeDocument/2006/relationships/hyperlink"/><Relationship Id="rId376" Target="http%3A%2F%2Fdx.doi.org%2F10.3390%2Fdiagnostics14232675" TargetMode="External" Type="http://schemas.openxmlformats.org/officeDocument/2006/relationships/hyperlink"/><Relationship Id="rId377" Target="https%3A%2F%2Fwww.webofscience.com%2Fwos%2Fwoscc%2Ffull-record%2FWOS%3A001376970800001" TargetMode="External" Type="http://schemas.openxmlformats.org/officeDocument/2006/relationships/hyperlink"/><Relationship Id="rId378" Target="http%3A%2F%2Fdx.doi.org%2F10.1038%2Fs41598-024-58121-8" TargetMode="External" Type="http://schemas.openxmlformats.org/officeDocument/2006/relationships/hyperlink"/><Relationship Id="rId379" Target="https%3A%2F%2Fwww.webofscience.com%2Fwos%2Fwoscc%2Ffull-record%2FWOS%3A001273086800060" TargetMode="External" Type="http://schemas.openxmlformats.org/officeDocument/2006/relationships/hyperlink"/><Relationship Id="rId38" Target="https%3A%2F%2Fwww.webofscience.com%2Fwos%2Fwoscc%2Ffull-record%2FWOS%3A001825285300001" TargetMode="External" Type="http://schemas.openxmlformats.org/officeDocument/2006/relationships/hyperlink"/><Relationship Id="rId380" Target="http%3A%2F%2Fdx.doi.org%2F10.1016%2Fj.compbiolchem.2023.107990" TargetMode="External" Type="http://schemas.openxmlformats.org/officeDocument/2006/relationships/hyperlink"/><Relationship Id="rId381" Target="https%3A%2F%2Fwww.webofscience.com%2Fwos%2Fwoscc%2Ffull-record%2FWOS%3A001125321300001" TargetMode="External" Type="http://schemas.openxmlformats.org/officeDocument/2006/relationships/hyperlink"/><Relationship Id="rId382" Target="http%3A%2F%2Fdx.doi.org%2F10.1111%2Fjep.70216" TargetMode="External" Type="http://schemas.openxmlformats.org/officeDocument/2006/relationships/hyperlink"/><Relationship Id="rId383" Target="https%3A%2F%2Fwww.webofscience.com%2Fwos%2Fwoscc%2Ffull-record%2FWOS%3A001561313900042" TargetMode="External" Type="http://schemas.openxmlformats.org/officeDocument/2006/relationships/hyperlink"/><Relationship Id="rId384" Target="http%3A%2F%2Fdx.doi.org%2F10.1016%2Fj.socscimed.2026.119270" TargetMode="External" Type="http://schemas.openxmlformats.org/officeDocument/2006/relationships/hyperlink"/><Relationship Id="rId385" Target="https%3A%2F%2Fwww.webofscience.com%2Fwos%2Fwoscc%2Ffull-record%2FWOS%3A001745121300001" TargetMode="External" Type="http://schemas.openxmlformats.org/officeDocument/2006/relationships/hyperlink"/><Relationship Id="rId386" Target="http%3A%2F%2Fdx.doi.org%2F10.1097%2FMD.0000000000042667" TargetMode="External" Type="http://schemas.openxmlformats.org/officeDocument/2006/relationships/hyperlink"/><Relationship Id="rId387" Target="https%3A%2F%2Fwww.webofscience.com%2Fwos%2Fwoscc%2Ffull-record%2FWOS%3A001498916000013" TargetMode="External" Type="http://schemas.openxmlformats.org/officeDocument/2006/relationships/hyperlink"/><Relationship Id="rId388" Target="http%3A%2F%2Fdx.doi.org%2F10.2196%2F51706" TargetMode="External" Type="http://schemas.openxmlformats.org/officeDocument/2006/relationships/hyperlink"/><Relationship Id="rId389" Target="https%3A%2F%2Fwww.webofscience.com%2Fwos%2Fwoscc%2Ffull-record%2FWOS%3A001305996500003" TargetMode="External" Type="http://schemas.openxmlformats.org/officeDocument/2006/relationships/hyperlink"/><Relationship Id="rId39" Target="http%3A%2F%2Fdx.doi.org%2F10.1016%2Fj.jbi.2024.104600" TargetMode="External" Type="http://schemas.openxmlformats.org/officeDocument/2006/relationships/hyperlink"/><Relationship Id="rId390" Target="http%3A%2F%2Fdx.doi.org%2F10.1177%2F08927790261441731" TargetMode="External" Type="http://schemas.openxmlformats.org/officeDocument/2006/relationships/hyperlink"/><Relationship Id="rId391" Target="https%3A%2F%2Fwww.webofscience.com%2Fwos%2Fwoscc%2Ffull-record%2FWOS%3A001740678800001" TargetMode="External" Type="http://schemas.openxmlformats.org/officeDocument/2006/relationships/hyperlink"/><Relationship Id="rId392" Target="http%3A%2F%2Fdx.doi.org%2F10.2463%2Fmrms.mp.2025-0107" TargetMode="External" Type="http://schemas.openxmlformats.org/officeDocument/2006/relationships/hyperlink"/><Relationship Id="rId393" Target="https%3A%2F%2Fwww.webofscience.com%2Fwos%2Fwoscc%2Ffull-record%2FWOS%3A001687016400001" TargetMode="External" Type="http://schemas.openxmlformats.org/officeDocument/2006/relationships/hyperlink"/><Relationship Id="rId394" Target="http%3A%2F%2Fdx.doi.org%2F10.1371%2Fjournal.pone.0322607" TargetMode="External" Type="http://schemas.openxmlformats.org/officeDocument/2006/relationships/hyperlink"/><Relationship Id="rId395" Target="https%3A%2F%2Fwww.webofscience.com%2Fwos%2Fwoscc%2Ffull-record%2FWOS%3A001494468100014" TargetMode="External" Type="http://schemas.openxmlformats.org/officeDocument/2006/relationships/hyperlink"/><Relationship Id="rId396" Target="http%3A%2F%2Fdx.doi.org%2F10.1109%2FTCE.2026.3651019" TargetMode="External" Type="http://schemas.openxmlformats.org/officeDocument/2006/relationships/hyperlink"/><Relationship Id="rId397" Target="https%3A%2F%2Fwww.webofscience.com%2Fwos%2Fwoscc%2Ffull-record%2FWOS%3A001723038400002" TargetMode="External" Type="http://schemas.openxmlformats.org/officeDocument/2006/relationships/hyperlink"/><Relationship Id="rId398" Target="http%3A%2F%2Fdx.doi.org%2F10.1093%2Fhaschl%2Fqxag128" TargetMode="External" Type="http://schemas.openxmlformats.org/officeDocument/2006/relationships/hyperlink"/><Relationship Id="rId399" Target="https%3A%2F%2Fwww.webofscience.com%2Fwos%2Fwoscc%2Ffull-record%2FWOS%3A001783765500001" TargetMode="External" Type="http://schemas.openxmlformats.org/officeDocument/2006/relationships/hyperlink"/><Relationship Id="rId4" Target="https%3A%2F%2Fwww.webofscience.com%2Fwos%2Fwoscc%2Ffull-record%2FWOS%3A001591442300003" TargetMode="External" Type="http://schemas.openxmlformats.org/officeDocument/2006/relationships/hyperlink"/><Relationship Id="rId40" Target="https%3A%2F%2Fwww.webofscience.com%2Fwos%2Fwoscc%2Ffull-record%2FWOS%3A001182332600001" TargetMode="External" Type="http://schemas.openxmlformats.org/officeDocument/2006/relationships/hyperlink"/><Relationship Id="rId400" Target="http%3A%2F%2Fdx.doi.org%2F10.1002%2Fmp.17635" TargetMode="External" Type="http://schemas.openxmlformats.org/officeDocument/2006/relationships/hyperlink"/><Relationship Id="rId401" Target="https%3A%2F%2Fwww.webofscience.com%2Fwos%2Fwoscc%2Ffull-record%2FWOS%3A001408184500001" TargetMode="External" Type="http://schemas.openxmlformats.org/officeDocument/2006/relationships/hyperlink"/><Relationship Id="rId402" Target="http%3A%2F%2Fdx.doi.org%2F10.1016%2Fj.clinimag.2026.110745" TargetMode="External" Type="http://schemas.openxmlformats.org/officeDocument/2006/relationships/hyperlink"/><Relationship Id="rId403" Target="https%3A%2F%2Fwww.webofscience.com%2Fwos%2Fwoscc%2Ffull-record%2FWOS%3A001689434500001" TargetMode="External" Type="http://schemas.openxmlformats.org/officeDocument/2006/relationships/hyperlink"/><Relationship Id="rId404" Target="http%3A%2F%2Fdx.doi.org%2F10.1016%2Fj.bspc.2025.108426" TargetMode="External" Type="http://schemas.openxmlformats.org/officeDocument/2006/relationships/hyperlink"/><Relationship Id="rId405" Target="https%3A%2F%2Fwww.webofscience.com%2Fwos%2Fwoscc%2Ffull-record%2FWOS%3A001551462100001" TargetMode="External" Type="http://schemas.openxmlformats.org/officeDocument/2006/relationships/hyperlink"/><Relationship Id="rId406" Target="http%3A%2F%2Fdx.doi.org%2F10.1007%2Fs10700-022-09384-1" TargetMode="External" Type="http://schemas.openxmlformats.org/officeDocument/2006/relationships/hyperlink"/><Relationship Id="rId407" Target="https%3A%2F%2Fwww.webofscience.com%2Fwos%2Fwoscc%2Ffull-record%2FWOS%3A000763214500001" TargetMode="External" Type="http://schemas.openxmlformats.org/officeDocument/2006/relationships/hyperlink"/><Relationship Id="rId408" Target="http%3A%2F%2Fdx.doi.org%2F10.3389%2Ffmed.2026.1824069" TargetMode="External" Type="http://schemas.openxmlformats.org/officeDocument/2006/relationships/hyperlink"/><Relationship Id="rId409" Target="https%3A%2F%2Fwww.webofscience.com%2Fwos%2Fwoscc%2Ffull-record%2FWOS%3A001784434600001" TargetMode="External" Type="http://schemas.openxmlformats.org/officeDocument/2006/relationships/hyperlink"/><Relationship Id="rId41" Target="http%3A%2F%2Fdx.doi.org%2F10.1002%2Fmp.17940" TargetMode="External" Type="http://schemas.openxmlformats.org/officeDocument/2006/relationships/hyperlink"/><Relationship Id="rId410" Target="http%3A%2F%2Fdx.doi.org%2F10.1186%2Fs12911-025-03051-2" TargetMode="External" Type="http://schemas.openxmlformats.org/officeDocument/2006/relationships/hyperlink"/><Relationship Id="rId411" Target="https%3A%2F%2Fwww.webofscience.com%2Fwos%2Fwoscc%2Ffull-record%2FWOS%3A001522890500026" TargetMode="External" Type="http://schemas.openxmlformats.org/officeDocument/2006/relationships/hyperlink"/><Relationship Id="rId412" Target="http%3A%2F%2Fdx.doi.org%2F10.1016%2Fj.ijnurstu.2026.105623" TargetMode="External" Type="http://schemas.openxmlformats.org/officeDocument/2006/relationships/hyperlink"/><Relationship Id="rId413" Target="https%3A%2F%2Fwww.webofscience.com%2Fwos%2Fwoscc%2Ffull-record%2FWOS%3A001812105400001" TargetMode="External" Type="http://schemas.openxmlformats.org/officeDocument/2006/relationships/hyperlink"/><Relationship Id="rId414" Target="http%3A%2F%2Fdx.doi.org%2F10.1108%2FJEIM-12-2025-1253" TargetMode="External" Type="http://schemas.openxmlformats.org/officeDocument/2006/relationships/hyperlink"/><Relationship Id="rId415" Target="https%3A%2F%2Fwww.webofscience.com%2Fwos%2Fwoscc%2Ffull-record%2FWOS%3A001702003600001" TargetMode="External" Type="http://schemas.openxmlformats.org/officeDocument/2006/relationships/hyperlink"/><Relationship Id="rId416" Target="http%3A%2F%2Fdx.doi.org%2F10.2196%2F63937" TargetMode="External" Type="http://schemas.openxmlformats.org/officeDocument/2006/relationships/hyperlink"/><Relationship Id="rId417" Target="https%3A%2F%2Fwww.webofscience.com%2Fwos%2Fwoscc%2Ffull-record%2FWOS%3A001469638600006" TargetMode="External" Type="http://schemas.openxmlformats.org/officeDocument/2006/relationships/hyperlink"/><Relationship Id="rId418" Target="http%3A%2F%2Fdx.doi.org%2F10.3390%2Fmake7040168" TargetMode="External" Type="http://schemas.openxmlformats.org/officeDocument/2006/relationships/hyperlink"/><Relationship Id="rId419" Target="https%3A%2F%2Fwww.webofscience.com%2Fwos%2Fwoscc%2Ffull-record%2FWOS%3A001647011200001" TargetMode="External" Type="http://schemas.openxmlformats.org/officeDocument/2006/relationships/hyperlink"/><Relationship Id="rId42" Target="https%3A%2F%2Fwww.webofscience.com%2Fwos%2Fwoscc%2Ffull-record%2FWOS%3A001561978000041" TargetMode="External" Type="http://schemas.openxmlformats.org/officeDocument/2006/relationships/hyperlink"/><Relationship Id="rId420" Target="http%3A%2F%2Fdx.doi.org%2F10.1186%2Fs40001-024-01988-0" TargetMode="External" Type="http://schemas.openxmlformats.org/officeDocument/2006/relationships/hyperlink"/><Relationship Id="rId421" Target="https%3A%2F%2Fwww.webofscience.com%2Fwos%2Fwoscc%2Ffull-record%2FWOS%3A001277681800003" TargetMode="External" Type="http://schemas.openxmlformats.org/officeDocument/2006/relationships/hyperlink"/><Relationship Id="rId422" Target="http%3A%2F%2Fdx.doi.org%2F10.3390%2Fsystems14060651" TargetMode="External" Type="http://schemas.openxmlformats.org/officeDocument/2006/relationships/hyperlink"/><Relationship Id="rId423" Target="https%3A%2F%2Fwww.webofscience.com%2Fwos%2Fwoscc%2Ffull-record%2FWOS%3A001803476600001" TargetMode="External" Type="http://schemas.openxmlformats.org/officeDocument/2006/relationships/hyperlink"/><Relationship Id="rId424" Target="http%3A%2F%2Fdx.doi.org%2F10.1922%2Fejprd.v34i4s.1445" TargetMode="External" Type="http://schemas.openxmlformats.org/officeDocument/2006/relationships/hyperlink"/><Relationship Id="rId425" Target="https%3A%2F%2Fwww.webofscience.com%2Fwos%2Fwoscc%2Ffull-record%2FWOS%3A001825910100017" TargetMode="External" Type="http://schemas.openxmlformats.org/officeDocument/2006/relationships/hyperlink"/><Relationship Id="rId426" Target="http%3A%2F%2Fdx.doi.org%2F10.3389%2Ffpubh.2026.1691449" TargetMode="External" Type="http://schemas.openxmlformats.org/officeDocument/2006/relationships/hyperlink"/><Relationship Id="rId427" Target="https%3A%2F%2Fwww.webofscience.com%2Fwos%2Fwoscc%2Ffull-record%2FWOS%3A001778611700001" TargetMode="External" Type="http://schemas.openxmlformats.org/officeDocument/2006/relationships/hyperlink"/><Relationship Id="rId428" Target="http%3A%2F%2Fdx.doi.org%2F10.1007%2Fs41060-025-00806-y" TargetMode="External" Type="http://schemas.openxmlformats.org/officeDocument/2006/relationships/hyperlink"/><Relationship Id="rId429" Target="https%3A%2F%2Fwww.webofscience.com%2Fwos%2Fwoscc%2Ffull-record%2FWOS%3A001499177100001" TargetMode="External" Type="http://schemas.openxmlformats.org/officeDocument/2006/relationships/hyperlink"/><Relationship Id="rId43" Target="http%3A%2F%2Fdx.doi.org%2F10.3390%2Fjpm12040607" TargetMode="External" Type="http://schemas.openxmlformats.org/officeDocument/2006/relationships/hyperlink"/><Relationship Id="rId430" Target="http%3A%2F%2Fdx.doi.org%2F10.1016%2Fj.smhl.2023.100429" TargetMode="External" Type="http://schemas.openxmlformats.org/officeDocument/2006/relationships/hyperlink"/><Relationship Id="rId431" Target="https%3A%2F%2Fwww.webofscience.com%2Fwos%2Fwoscc%2Ffull-record%2FWOS%3A001610630900002" TargetMode="External" Type="http://schemas.openxmlformats.org/officeDocument/2006/relationships/hyperlink"/><Relationship Id="rId432" Target="http%3A%2F%2Fdx.doi.org%2F10.1016%2Fj.artmed.2024.102962" TargetMode="External" Type="http://schemas.openxmlformats.org/officeDocument/2006/relationships/hyperlink"/><Relationship Id="rId433" Target="https%3A%2F%2Fwww.webofscience.com%2Fwos%2Fwoscc%2Ffull-record%2FWOS%3A001301468500001" TargetMode="External" Type="http://schemas.openxmlformats.org/officeDocument/2006/relationships/hyperlink"/><Relationship Id="rId434" Target="http%3A%2F%2Fdx.doi.org%2F10.1080%2F21622965.2026.2654718" TargetMode="External" Type="http://schemas.openxmlformats.org/officeDocument/2006/relationships/hyperlink"/><Relationship Id="rId435" Target="https%3A%2F%2Fwww.webofscience.com%2Fwos%2Fwoscc%2Ffull-record%2FWOS%3A001753715600001" TargetMode="External" Type="http://schemas.openxmlformats.org/officeDocument/2006/relationships/hyperlink"/><Relationship Id="rId436" Target="http%3A%2F%2Fdx.doi.org%2F10.1186%2Fs12911-026-03602-1" TargetMode="External" Type="http://schemas.openxmlformats.org/officeDocument/2006/relationships/hyperlink"/><Relationship Id="rId437" Target="https%3A%2F%2Fwww.webofscience.com%2Fwos%2Fwoscc%2Ffull-record%2FWOS%3A001812881500001" TargetMode="External" Type="http://schemas.openxmlformats.org/officeDocument/2006/relationships/hyperlink"/><Relationship Id="rId438" Target="http%3A%2F%2Fdx.doi.org%2F10.3390%2Fa15100353" TargetMode="External" Type="http://schemas.openxmlformats.org/officeDocument/2006/relationships/hyperlink"/><Relationship Id="rId439" Target="https%3A%2F%2Fwww.webofscience.com%2Fwos%2Fwoscc%2Ffull-record%2FWOS%3A000871996900001" TargetMode="External" Type="http://schemas.openxmlformats.org/officeDocument/2006/relationships/hyperlink"/><Relationship Id="rId44" Target="https%3A%2F%2Fwww.webofscience.com%2Fwos%2Fwoscc%2Ffull-record%2FWOS%3A000787515700001" TargetMode="External" Type="http://schemas.openxmlformats.org/officeDocument/2006/relationships/hyperlink"/><Relationship Id="rId440" Target="https%3A%2F%2Fwww.webofscience.com%2Fwos%2Fwoscc%2Ffull-record%2FWOS%3A001690437400001" TargetMode="External" Type="http://schemas.openxmlformats.org/officeDocument/2006/relationships/hyperlink"/><Relationship Id="rId441" Target="http%3A%2F%2Fdx.doi.org%2F10.1007%2Fs11760-025-03866-6" TargetMode="External" Type="http://schemas.openxmlformats.org/officeDocument/2006/relationships/hyperlink"/><Relationship Id="rId442" Target="https%3A%2F%2Fwww.webofscience.com%2Fwos%2Fwoscc%2Ffull-record%2FWOS%3A001427696600003" TargetMode="External" Type="http://schemas.openxmlformats.org/officeDocument/2006/relationships/hyperlink"/><Relationship Id="rId443" Target="http%3A%2F%2Fdx.doi.org%2F10.3390%2Fdiagnostics15222890" TargetMode="External" Type="http://schemas.openxmlformats.org/officeDocument/2006/relationships/hyperlink"/><Relationship Id="rId444" Target="https%3A%2F%2Fwww.webofscience.com%2Fwos%2Fwoscc%2Ffull-record%2FWOS%3A001624653600001" TargetMode="External" Type="http://schemas.openxmlformats.org/officeDocument/2006/relationships/hyperlink"/><Relationship Id="rId445" Target="http%3A%2F%2Fdx.doi.org%2F10.1049%2Fhtl2.12122" TargetMode="External" Type="http://schemas.openxmlformats.org/officeDocument/2006/relationships/hyperlink"/><Relationship Id="rId446" Target="https%3A%2F%2Fwww.webofscience.com%2Fwos%2Fwoscc%2Ffull-record%2FWOS%3A001401251900001" TargetMode="External" Type="http://schemas.openxmlformats.org/officeDocument/2006/relationships/hyperlink"/><Relationship Id="rId447" Target="http%3A%2F%2Fdx.doi.org%2F10.1016%2Fj.sleep.2023.12.013" TargetMode="External" Type="http://schemas.openxmlformats.org/officeDocument/2006/relationships/hyperlink"/><Relationship Id="rId448" Target="https%3A%2F%2Fwww.webofscience.com%2Fwos%2Fwoscc%2Ffull-record%2FWOS%3A001154736000001" TargetMode="External" Type="http://schemas.openxmlformats.org/officeDocument/2006/relationships/hyperlink"/><Relationship Id="rId449" Target="http%3A%2F%2Fdx.doi.org%2F10.1088%2F1361-6560%2Fad8857" TargetMode="External" Type="http://schemas.openxmlformats.org/officeDocument/2006/relationships/hyperlink"/><Relationship Id="rId45" Target="http%3A%2F%2Fdx.doi.org%2F10.1007%2Fs10916-021-01790-z" TargetMode="External" Type="http://schemas.openxmlformats.org/officeDocument/2006/relationships/hyperlink"/><Relationship Id="rId450" Target="https%3A%2F%2Fwww.webofscience.com%2Fwos%2Fwoscc%2Ffull-record%2FWOS%3A001345829500001" TargetMode="External" Type="http://schemas.openxmlformats.org/officeDocument/2006/relationships/hyperlink"/><Relationship Id="rId451" Target="http%3A%2F%2Fdx.doi.org%2F10.1038%2Fs41598-025-13619-7" TargetMode="External" Type="http://schemas.openxmlformats.org/officeDocument/2006/relationships/hyperlink"/><Relationship Id="rId452" Target="https%3A%2F%2Fwww.webofscience.com%2Fwos%2Fwoscc%2Ffull-record%2FWOS%3A001559642200019" TargetMode="External" Type="http://schemas.openxmlformats.org/officeDocument/2006/relationships/hyperlink"/><Relationship Id="rId453" Target="http%3A%2F%2Fdx.doi.org%2F10.2196%2F83790" TargetMode="External" Type="http://schemas.openxmlformats.org/officeDocument/2006/relationships/hyperlink"/><Relationship Id="rId454" Target="https%3A%2F%2Fwww.webofscience.com%2Fwos%2Fwoscc%2Ffull-record%2FWOS%3A001814621800005" TargetMode="External" Type="http://schemas.openxmlformats.org/officeDocument/2006/relationships/hyperlink"/><Relationship Id="rId455" Target="http%3A%2F%2Fdx.doi.org%2F10.1007%2Fs11547-023-01634-5" TargetMode="External" Type="http://schemas.openxmlformats.org/officeDocument/2006/relationships/hyperlink"/><Relationship Id="rId456" Target="https%3A%2F%2Fwww.webofscience.com%2Fwos%2Fwoscc%2Ffull-record%2FWOS%3A000983924400001" TargetMode="External" Type="http://schemas.openxmlformats.org/officeDocument/2006/relationships/hyperlink"/><Relationship Id="rId457" Target="http%3A%2F%2Fdx.doi.org%2F10.1038%2Fs41598-025-06019-4" TargetMode="External" Type="http://schemas.openxmlformats.org/officeDocument/2006/relationships/hyperlink"/><Relationship Id="rId458" Target="https%3A%2F%2Fwww.webofscience.com%2Fwos%2Fwoscc%2Ffull-record%2FWOS%3A001523022200006" TargetMode="External" Type="http://schemas.openxmlformats.org/officeDocument/2006/relationships/hyperlink"/><Relationship Id="rId459" Target="http%3A%2F%2Fdx.doi.org%2F10.1016%2Fj.ijhcs.2022.102839" TargetMode="External" Type="http://schemas.openxmlformats.org/officeDocument/2006/relationships/hyperlink"/><Relationship Id="rId46" Target="https%3A%2F%2Fwww.webofscience.com%2Fwos%2Fwoscc%2Ffull-record%2FWOS%3A000742000100001" TargetMode="External" Type="http://schemas.openxmlformats.org/officeDocument/2006/relationships/hyperlink"/><Relationship Id="rId460" Target="https%3A%2F%2Fwww.webofscience.com%2Fwos%2Fwoscc%2Ffull-record%2FWOS%3A000798705200001" TargetMode="External" Type="http://schemas.openxmlformats.org/officeDocument/2006/relationships/hyperlink"/><Relationship Id="rId461" Target="http%3A%2F%2Fdx.doi.org%2F10.1021%2Facsnano.6c00119" TargetMode="External" Type="http://schemas.openxmlformats.org/officeDocument/2006/relationships/hyperlink"/><Relationship Id="rId462" Target="https%3A%2F%2Fwww.webofscience.com%2Fwos%2Fwoscc%2Ffull-record%2FWOS%3A001741484100001" TargetMode="External" Type="http://schemas.openxmlformats.org/officeDocument/2006/relationships/hyperlink"/><Relationship Id="rId463" Target="http%3A%2F%2Fdx.doi.org%2F10.3390%2Fbrainsci15080782" TargetMode="External" Type="http://schemas.openxmlformats.org/officeDocument/2006/relationships/hyperlink"/><Relationship Id="rId464" Target="https%3A%2F%2Fwww.webofscience.com%2Fwos%2Fwoscc%2Ffull-record%2FWOS%3A001557826300001" TargetMode="External" Type="http://schemas.openxmlformats.org/officeDocument/2006/relationships/hyperlink"/><Relationship Id="rId465" Target="http%3A%2F%2Fdx.doi.org%2F10.1186%2Fs12889-025-22705-4" TargetMode="External" Type="http://schemas.openxmlformats.org/officeDocument/2006/relationships/hyperlink"/><Relationship Id="rId466" Target="https%3A%2F%2Fwww.webofscience.com%2Fwos%2Fwoscc%2Ffull-record%2FWOS%3A001475406600007" TargetMode="External" Type="http://schemas.openxmlformats.org/officeDocument/2006/relationships/hyperlink"/><Relationship Id="rId467" Target="http%3A%2F%2Fdx.doi.org%2F10.1016%2Fj.cmpb.2025.108950" TargetMode="External" Type="http://schemas.openxmlformats.org/officeDocument/2006/relationships/hyperlink"/><Relationship Id="rId468" Target="https%3A%2F%2Fwww.webofscience.com%2Fwos%2Fwoscc%2Ffull-record%2FWOS%3A001536314600002" TargetMode="External" Type="http://schemas.openxmlformats.org/officeDocument/2006/relationships/hyperlink"/><Relationship Id="rId469" Target="http%3A%2F%2Fdx.doi.org%2F10.1186%2Fs43055-026-01841-w" TargetMode="External" Type="http://schemas.openxmlformats.org/officeDocument/2006/relationships/hyperlink"/><Relationship Id="rId47" Target="http%3A%2F%2Fdx.doi.org%2F10.1183%2F13993003.01720-2022" TargetMode="External" Type="http://schemas.openxmlformats.org/officeDocument/2006/relationships/hyperlink"/><Relationship Id="rId470" Target="https%3A%2F%2Fwww.webofscience.com%2Fwos%2Fwoscc%2Ffull-record%2FWOS%3A001850291000003" TargetMode="External" Type="http://schemas.openxmlformats.org/officeDocument/2006/relationships/hyperlink"/><Relationship Id="rId471" Target="http%3A%2F%2Fdx.doi.org%2F10.3390%2Finfo17060516" TargetMode="External" Type="http://schemas.openxmlformats.org/officeDocument/2006/relationships/hyperlink"/><Relationship Id="rId472" Target="https%3A%2F%2Fwww.webofscience.com%2Fwos%2Fwoscc%2Ffull-record%2FWOS%3A001802465500001" TargetMode="External" Type="http://schemas.openxmlformats.org/officeDocument/2006/relationships/hyperlink"/><Relationship Id="rId473" Target="http%3A%2F%2Fdx.doi.org%2F10.3390%2Fdiagnostics16020212" TargetMode="External" Type="http://schemas.openxmlformats.org/officeDocument/2006/relationships/hyperlink"/><Relationship Id="rId474" Target="https%3A%2F%2Fwww.webofscience.com%2Fwos%2Fwoscc%2Ffull-record%2FWOS%3A001671436800001" TargetMode="External" Type="http://schemas.openxmlformats.org/officeDocument/2006/relationships/hyperlink"/><Relationship Id="rId475" Target="http%3A%2F%2Fdx.doi.org%2F10.1038%2Fs41598-026-45770-0" TargetMode="External" Type="http://schemas.openxmlformats.org/officeDocument/2006/relationships/hyperlink"/><Relationship Id="rId476" Target="https%3A%2F%2Fwww.webofscience.com%2Fwos%2Fwoscc%2Ffull-record%2FWOS%3A001784520300002" TargetMode="External" Type="http://schemas.openxmlformats.org/officeDocument/2006/relationships/hyperlink"/><Relationship Id="rId477" Target="http%3A%2F%2Fdx.doi.org%2F10.1080%2F20502877.2025.2482282" TargetMode="External" Type="http://schemas.openxmlformats.org/officeDocument/2006/relationships/hyperlink"/><Relationship Id="rId478" Target="https%3A%2F%2Fwww.webofscience.com%2Fwos%2Fwoscc%2Ffull-record%2FWOS%3A001454339600001" TargetMode="External" Type="http://schemas.openxmlformats.org/officeDocument/2006/relationships/hyperlink"/><Relationship Id="rId479" Target="http%3A%2F%2Fdx.doi.org%2F10.1016%2Fj.eswa.2023.121226" TargetMode="External" Type="http://schemas.openxmlformats.org/officeDocument/2006/relationships/hyperlink"/><Relationship Id="rId48" Target="https%3A%2F%2Fwww.webofscience.com%2Fwos%2Fwoscc%2Ffull-record%2FWOS%3A000999507000009" TargetMode="External" Type="http://schemas.openxmlformats.org/officeDocument/2006/relationships/hyperlink"/><Relationship Id="rId480" Target="https%3A%2F%2Fwww.webofscience.com%2Fwos%2Fwoscc%2Ffull-record%2FWOS%3A001082839300001" TargetMode="External" Type="http://schemas.openxmlformats.org/officeDocument/2006/relationships/hyperlink"/><Relationship Id="rId481" Target="http%3A%2F%2Fdx.doi.org%2F10.1109%2FACCESS.2024.3522862" TargetMode="External" Type="http://schemas.openxmlformats.org/officeDocument/2006/relationships/hyperlink"/><Relationship Id="rId482" Target="https%3A%2F%2Fwww.webofscience.com%2Fwos%2Fwoscc%2Ffull-record%2FWOS%3A001389554800043" TargetMode="External" Type="http://schemas.openxmlformats.org/officeDocument/2006/relationships/hyperlink"/><Relationship Id="rId483" Target="http%3A%2F%2Fdx.doi.org%2F10.3390%2Fjimaging12050211" TargetMode="External" Type="http://schemas.openxmlformats.org/officeDocument/2006/relationships/hyperlink"/><Relationship Id="rId484" Target="https%3A%2F%2Fwww.webofscience.com%2Fwos%2Fwoscc%2Ffull-record%2FWOS%3A001774724400001" TargetMode="External" Type="http://schemas.openxmlformats.org/officeDocument/2006/relationships/hyperlink"/><Relationship Id="rId485" Target="http%3A%2F%2Fdx.doi.org%2F10.1177%2F18724981251391747" TargetMode="External" Type="http://schemas.openxmlformats.org/officeDocument/2006/relationships/hyperlink"/><Relationship Id="rId486" Target="https%3A%2F%2Fwww.webofscience.com%2Fwos%2Fwoscc%2Ffull-record%2FWOS%3A001614528300001" TargetMode="External" Type="http://schemas.openxmlformats.org/officeDocument/2006/relationships/hyperlink"/><Relationship Id="rId487" Target="http%3A%2F%2Fdx.doi.org%2F10.1080%2F17538157.2026.2628838" TargetMode="External" Type="http://schemas.openxmlformats.org/officeDocument/2006/relationships/hyperlink"/><Relationship Id="rId488" Target="https%3A%2F%2Fwww.webofscience.com%2Fwos%2Fwoscc%2Ffull-record%2FWOS%3A001692014600001" TargetMode="External" Type="http://schemas.openxmlformats.org/officeDocument/2006/relationships/hyperlink"/><Relationship Id="rId489" Target="http%3A%2F%2Fdx.doi.org%2F10.1016%2Fj.icte.2024.09.008" TargetMode="External" Type="http://schemas.openxmlformats.org/officeDocument/2006/relationships/hyperlink"/><Relationship Id="rId49" Target="http%3A%2F%2Fdx.doi.org%2F10.3389%2Ffpubh.2026.1881829" TargetMode="External" Type="http://schemas.openxmlformats.org/officeDocument/2006/relationships/hyperlink"/><Relationship Id="rId490" Target="https%3A%2F%2Fwww.webofscience.com%2Fwos%2Fwoscc%2Ffull-record%2FWOS%3A001406999900001" TargetMode="External" Type="http://schemas.openxmlformats.org/officeDocument/2006/relationships/hyperlink"/><Relationship Id="rId491" Target="http%3A%2F%2Fdx.doi.org%2F10.1016%2Fj.archger.2023.105317" TargetMode="External" Type="http://schemas.openxmlformats.org/officeDocument/2006/relationships/hyperlink"/><Relationship Id="rId492" Target="https%3A%2F%2Fwww.webofscience.com%2Fwos%2Fwoscc%2Ffull-record%2FWOS%3A001154098800001" TargetMode="External" Type="http://schemas.openxmlformats.org/officeDocument/2006/relationships/hyperlink"/><Relationship Id="rId493" Target="http%3A%2F%2Fdx.doi.org%2F10.1016%2Fj.actpsy.2025.105945" TargetMode="External" Type="http://schemas.openxmlformats.org/officeDocument/2006/relationships/hyperlink"/><Relationship Id="rId494" Target="https%3A%2F%2Fwww.webofscience.com%2Fwos%2Fwoscc%2Ffull-record%2FWOS%3A001626098000001" TargetMode="External" Type="http://schemas.openxmlformats.org/officeDocument/2006/relationships/hyperlink"/><Relationship Id="rId495" Target="http%3A%2F%2Fdx.doi.org%2F10.1007%2Fs10278-024-01367-5" TargetMode="External" Type="http://schemas.openxmlformats.org/officeDocument/2006/relationships/hyperlink"/><Relationship Id="rId496" Target="https%3A%2F%2Fwww.webofscience.com%2Fwos%2Fwoscc%2Ffull-record%2FWOS%3A001431094600001" TargetMode="External" Type="http://schemas.openxmlformats.org/officeDocument/2006/relationships/hyperlink"/><Relationship Id="rId497" Target="http%3A%2F%2Fdx.doi.org%2F10.3389%2Ffcomp.2023.1071174" TargetMode="External" Type="http://schemas.openxmlformats.org/officeDocument/2006/relationships/hyperlink"/><Relationship Id="rId498" Target="https%3A%2F%2Fwww.webofscience.com%2Fwos%2Fwoscc%2Ffull-record%2FWOS%3A000941089400001" TargetMode="External" Type="http://schemas.openxmlformats.org/officeDocument/2006/relationships/hyperlink"/><Relationship Id="rId499" Target="http%3A%2F%2Fdx.doi.org%2F10.3390%2Fmedicina61030405" TargetMode="External" Type="http://schemas.openxmlformats.org/officeDocument/2006/relationships/hyperlink"/><Relationship Id="rId5" Target="http%3A%2F%2Fdx.doi.org%2F10.1016%2Fj.patcog.2024.110309" TargetMode="External" Type="http://schemas.openxmlformats.org/officeDocument/2006/relationships/hyperlink"/><Relationship Id="rId50" Target="https%3A%2F%2Fwww.webofscience.com%2Fwos%2Fwoscc%2Ffull-record%2FWOS%3A001819606200001" TargetMode="External" Type="http://schemas.openxmlformats.org/officeDocument/2006/relationships/hyperlink"/><Relationship Id="rId500" Target="https%3A%2F%2Fwww.webofscience.com%2Fwos%2Fwoscc%2Ffull-record%2FWOS%3A001452719200001" TargetMode="External" Type="http://schemas.openxmlformats.org/officeDocument/2006/relationships/hyperlink"/><Relationship Id="rId501" Target="http%3A%2F%2Fdx.doi.org%2F10.2196%2F50373" TargetMode="External" Type="http://schemas.openxmlformats.org/officeDocument/2006/relationships/hyperlink"/><Relationship Id="rId502" Target="https%3A%2F%2Fwww.webofscience.com%2Fwos%2Fwoscc%2Ffull-record%2FWOS%3A001146163200001" TargetMode="External" Type="http://schemas.openxmlformats.org/officeDocument/2006/relationships/hyperlink"/><Relationship Id="rId503" Target="http%3A%2F%2Fdx.doi.org%2F10.3389%2Ffdgth.2026.1852739" TargetMode="External" Type="http://schemas.openxmlformats.org/officeDocument/2006/relationships/hyperlink"/><Relationship Id="rId504" Target="https%3A%2F%2Fwww.webofscience.com%2Fwos%2Fwoscc%2Ffull-record%2FWOS%3A001845695400001" TargetMode="External" Type="http://schemas.openxmlformats.org/officeDocument/2006/relationships/hyperlink"/><Relationship Id="rId505" Target="http%3A%2F%2Fdx.doi.org%2F10.1007%2Fs00146-026-02980-4" TargetMode="External" Type="http://schemas.openxmlformats.org/officeDocument/2006/relationships/hyperlink"/><Relationship Id="rId506" Target="https%3A%2F%2Fwww.webofscience.com%2Fwos%2Fwoscc%2Ffull-record%2FWOS%3A001719082500001" TargetMode="External" Type="http://schemas.openxmlformats.org/officeDocument/2006/relationships/hyperlink"/><Relationship Id="rId507" Target="http%3A%2F%2Fdx.doi.org%2F10.1142%2FS0219720025500210" TargetMode="External" Type="http://schemas.openxmlformats.org/officeDocument/2006/relationships/hyperlink"/><Relationship Id="rId508" Target="https%3A%2F%2Fwww.webofscience.com%2Fwos%2Fwoscc%2Ffull-record%2FWOS%3A001642306400003" TargetMode="External" Type="http://schemas.openxmlformats.org/officeDocument/2006/relationships/hyperlink"/><Relationship Id="rId509" Target="http%3A%2F%2Fdx.doi.org%2F10.1088%2F2057-1976%2Fae34b4" TargetMode="External" Type="http://schemas.openxmlformats.org/officeDocument/2006/relationships/hyperlink"/><Relationship Id="rId51" Target="http%3A%2F%2Fdx.doi.org%2F10.7717%2Fpeerj-cs.4053" TargetMode="External" Type="http://schemas.openxmlformats.org/officeDocument/2006/relationships/hyperlink"/><Relationship Id="rId510" Target="https%3A%2F%2Fwww.webofscience.com%2Fwos%2Fwoscc%2Ffull-record%2FWOS%3A001661915000001" TargetMode="External" Type="http://schemas.openxmlformats.org/officeDocument/2006/relationships/hyperlink"/><Relationship Id="rId511" Target="https%3A%2F%2Fwww.webofscience.com%2Fwos%2Fwoscc%2Ffull-record%2FWOS%3A001277730000001" TargetMode="External" Type="http://schemas.openxmlformats.org/officeDocument/2006/relationships/hyperlink"/><Relationship Id="rId512" Target="http%3A%2F%2Fdx.doi.org%2F10.3389%2Ffneur.2025.1617446" TargetMode="External" Type="http://schemas.openxmlformats.org/officeDocument/2006/relationships/hyperlink"/><Relationship Id="rId513" Target="https%3A%2F%2Fwww.webofscience.com%2Fwos%2Fwoscc%2Ffull-record%2FWOS%3A001670230000001" TargetMode="External" Type="http://schemas.openxmlformats.org/officeDocument/2006/relationships/hyperlink"/><Relationship Id="rId514" Target="http%3A%2F%2Fdx.doi.org%2F10.1016%2Fj.media.2026.104122" TargetMode="External" Type="http://schemas.openxmlformats.org/officeDocument/2006/relationships/hyperlink"/><Relationship Id="rId515" Target="https%3A%2F%2Fwww.webofscience.com%2Fwos%2Fwoscc%2Ffull-record%2FWOS%3A001765051000001" TargetMode="External" Type="http://schemas.openxmlformats.org/officeDocument/2006/relationships/hyperlink"/><Relationship Id="rId516" Target="http%3A%2F%2Fdx.doi.org%2F10.1007%2Fs40846-025-00949-0" TargetMode="External" Type="http://schemas.openxmlformats.org/officeDocument/2006/relationships/hyperlink"/><Relationship Id="rId517" Target="https%3A%2F%2Fwww.webofscience.com%2Fwos%2Fwoscc%2Ffull-record%2FWOS%3A001471192100001" TargetMode="External" Type="http://schemas.openxmlformats.org/officeDocument/2006/relationships/hyperlink"/><Relationship Id="rId518" Target="http%3A%2F%2Fdx.doi.org%2F10.1038%2Fs41598-025-27934-6" TargetMode="External" Type="http://schemas.openxmlformats.org/officeDocument/2006/relationships/hyperlink"/><Relationship Id="rId519" Target="https%3A%2F%2Fwww.webofscience.com%2Fwos%2Fwoscc%2Ffull-record%2FWOS%3A001643674900019" TargetMode="External" Type="http://schemas.openxmlformats.org/officeDocument/2006/relationships/hyperlink"/><Relationship Id="rId52" Target="https%3A%2F%2Fwww.webofscience.com%2Fwos%2Fwoscc%2Ffull-record%2FWOS%3A001844805800001" TargetMode="External" Type="http://schemas.openxmlformats.org/officeDocument/2006/relationships/hyperlink"/><Relationship Id="rId520" Target="http%3A%2F%2Fdx.doi.org%2F10.2196%2F80754" TargetMode="External" Type="http://schemas.openxmlformats.org/officeDocument/2006/relationships/hyperlink"/><Relationship Id="rId521" Target="https%3A%2F%2Fwww.webofscience.com%2Fwos%2Fwoscc%2Ffull-record%2FWOS%3A001681962700001" TargetMode="External" Type="http://schemas.openxmlformats.org/officeDocument/2006/relationships/hyperlink"/><Relationship Id="rId522" Target="http%3A%2F%2Fdx.doi.org%2F10.3389%2Ffendo.2025.1689312" TargetMode="External" Type="http://schemas.openxmlformats.org/officeDocument/2006/relationships/hyperlink"/><Relationship Id="rId523" Target="https%3A%2F%2Fwww.webofscience.com%2Fwos%2Fwoscc%2Ffull-record%2FWOS%3A001604858400001" TargetMode="External" Type="http://schemas.openxmlformats.org/officeDocument/2006/relationships/hyperlink"/><Relationship Id="rId524" Target="http%3A%2F%2Fdx.doi.org%2F10.3390%2Fcancers17152428" TargetMode="External" Type="http://schemas.openxmlformats.org/officeDocument/2006/relationships/hyperlink"/><Relationship Id="rId525" Target="https%3A%2F%2Fwww.webofscience.com%2Fwos%2Fwoscc%2Ffull-record%2FWOS%3A001548732600001" TargetMode="External" Type="http://schemas.openxmlformats.org/officeDocument/2006/relationships/hyperlink"/><Relationship Id="rId526" Target="http%3A%2F%2Fdx.doi.org%2F10.3390%2Fcancers15225386" TargetMode="External" Type="http://schemas.openxmlformats.org/officeDocument/2006/relationships/hyperlink"/><Relationship Id="rId527" Target="https%3A%2F%2Fwww.webofscience.com%2Fwos%2Fwoscc%2Ffull-record%2FWOS%3A001115887900001" TargetMode="External" Type="http://schemas.openxmlformats.org/officeDocument/2006/relationships/hyperlink"/><Relationship Id="rId528" Target="http%3A%2F%2Fdx.doi.org%2F10.3390%2Felectronics14071294" TargetMode="External" Type="http://schemas.openxmlformats.org/officeDocument/2006/relationships/hyperlink"/><Relationship Id="rId529" Target="https%3A%2F%2Fwww.webofscience.com%2Fwos%2Fwoscc%2Ffull-record%2FWOS%3A001465649500001" TargetMode="External" Type="http://schemas.openxmlformats.org/officeDocument/2006/relationships/hyperlink"/><Relationship Id="rId53" Target="http%3A%2F%2Fdx.doi.org%2F10.3389%2Ffrai.2025.1559302" TargetMode="External" Type="http://schemas.openxmlformats.org/officeDocument/2006/relationships/hyperlink"/><Relationship Id="rId530" Target="http%3A%2F%2Fdx.doi.org%2F10.1016%2Fj.engappai.2025.112657" TargetMode="External" Type="http://schemas.openxmlformats.org/officeDocument/2006/relationships/hyperlink"/><Relationship Id="rId531" Target="https%3A%2F%2Fwww.webofscience.com%2Fwos%2Fwoscc%2Ffull-record%2FWOS%3A001597551700001" TargetMode="External" Type="http://schemas.openxmlformats.org/officeDocument/2006/relationships/hyperlink"/><Relationship Id="rId532" Target="http%3A%2F%2Fdx.doi.org%2F10.31083%2Fj.fbl2906220" TargetMode="External" Type="http://schemas.openxmlformats.org/officeDocument/2006/relationships/hyperlink"/><Relationship Id="rId533" Target="https%3A%2F%2Fwww.webofscience.com%2Fwos%2Fwoscc%2Ffull-record%2FWOS%3A001261057800029" TargetMode="External" Type="http://schemas.openxmlformats.org/officeDocument/2006/relationships/hyperlink"/><Relationship Id="rId534" Target="http%3A%2F%2Fdx.doi.org%2F10.3390%2Fmetabo13121204" TargetMode="External" Type="http://schemas.openxmlformats.org/officeDocument/2006/relationships/hyperlink"/><Relationship Id="rId535" Target="https%3A%2F%2Fwww.webofscience.com%2Fwos%2Fwoscc%2Ffull-record%2FWOS%3A001130571500001" TargetMode="External" Type="http://schemas.openxmlformats.org/officeDocument/2006/relationships/hyperlink"/><Relationship Id="rId536" Target="http%3A%2F%2Fdx.doi.org%2F10.1016%2Fj.ijmedinf.2026.106321" TargetMode="External" Type="http://schemas.openxmlformats.org/officeDocument/2006/relationships/hyperlink"/><Relationship Id="rId537" Target="https%3A%2F%2Fwww.webofscience.com%2Fwos%2Fwoscc%2Ffull-record%2FWOS%3A001686404300001" TargetMode="External" Type="http://schemas.openxmlformats.org/officeDocument/2006/relationships/hyperlink"/><Relationship Id="rId538" Target="http%3A%2F%2Fdx.doi.org%2F10.3389%2Ffmolb.2024.1389325" TargetMode="External" Type="http://schemas.openxmlformats.org/officeDocument/2006/relationships/hyperlink"/><Relationship Id="rId539" Target="https%3A%2F%2Fwww.webofscience.com%2Fwos%2Fwoscc%2Ffull-record%2FWOS%3A001247224700001" TargetMode="External" Type="http://schemas.openxmlformats.org/officeDocument/2006/relationships/hyperlink"/><Relationship Id="rId54" Target="https%3A%2F%2Fwww.webofscience.com%2Fwos%2Fwoscc%2Ffull-record%2FWOS%3A001616205300001" TargetMode="External" Type="http://schemas.openxmlformats.org/officeDocument/2006/relationships/hyperlink"/><Relationship Id="rId540" Target="http%3A%2F%2Fdx.doi.org%2F10.1038%2Fs41598-026-59740-z" TargetMode="External" Type="http://schemas.openxmlformats.org/officeDocument/2006/relationships/hyperlink"/><Relationship Id="rId541" Target="https%3A%2F%2Fwww.webofscience.com%2Fwos%2Fwoscc%2Ffull-record%2FWOS%3A001837740000006" TargetMode="External" Type="http://schemas.openxmlformats.org/officeDocument/2006/relationships/hyperlink"/><Relationship Id="rId542" Target="http%3A%2F%2Fdx.doi.org%2F10.1016%2Fj.bspc.2025.109085" TargetMode="External" Type="http://schemas.openxmlformats.org/officeDocument/2006/relationships/hyperlink"/><Relationship Id="rId543" Target="https%3A%2F%2Fwww.webofscience.com%2Fwos%2Fwoscc%2Ffull-record%2FWOS%3A001616529000010" TargetMode="External" Type="http://schemas.openxmlformats.org/officeDocument/2006/relationships/hyperlink"/><Relationship Id="rId544" Target="http%3A%2F%2Fdx.doi.org%2F10.1038%2Fs41598-026-37169-8" TargetMode="External" Type="http://schemas.openxmlformats.org/officeDocument/2006/relationships/hyperlink"/><Relationship Id="rId545" Target="https%3A%2F%2Fwww.webofscience.com%2Fwos%2Fwoscc%2Ffull-record%2FWOS%3A001724057900038" TargetMode="External" Type="http://schemas.openxmlformats.org/officeDocument/2006/relationships/hyperlink"/><Relationship Id="rId546" Target="http%3A%2F%2Fdx.doi.org%2F10.1007%2Fs10815-024-03178-7" TargetMode="External" Type="http://schemas.openxmlformats.org/officeDocument/2006/relationships/hyperlink"/><Relationship Id="rId547" Target="https%3A%2F%2Fwww.webofscience.com%2Fwos%2Fwoscc%2Ffull-record%2FWOS%3A001263054900003" TargetMode="External" Type="http://schemas.openxmlformats.org/officeDocument/2006/relationships/hyperlink"/><Relationship Id="rId548" Target="http%3A%2F%2Fdx.doi.org%2F10.1007%2Fs10916-025-02249-1" TargetMode="External" Type="http://schemas.openxmlformats.org/officeDocument/2006/relationships/hyperlink"/><Relationship Id="rId549" Target="https%3A%2F%2Fwww.webofscience.com%2Fwos%2Fwoscc%2Ffull-record%2FWOS%3A001585620900001" TargetMode="External" Type="http://schemas.openxmlformats.org/officeDocument/2006/relationships/hyperlink"/><Relationship Id="rId55" Target="http%3A%2F%2Fdx.doi.org%2F10.1038%2Fs41598-024-82931-5" TargetMode="External" Type="http://schemas.openxmlformats.org/officeDocument/2006/relationships/hyperlink"/><Relationship Id="rId550" Target="http%3A%2F%2Fdx.doi.org%2F10.1016%2Fj.nicl.2026.104007" TargetMode="External" Type="http://schemas.openxmlformats.org/officeDocument/2006/relationships/hyperlink"/><Relationship Id="rId551" Target="https%3A%2F%2Fwww.webofscience.com%2Fwos%2Fwoscc%2Ffull-record%2FWOS%3A001787215700001" TargetMode="External" Type="http://schemas.openxmlformats.org/officeDocument/2006/relationships/hyperlink"/><Relationship Id="rId552" Target="http%3A%2F%2Fdx.doi.org%2F10.1016%2Fj.compbiolchem.2023.107867" TargetMode="External" Type="http://schemas.openxmlformats.org/officeDocument/2006/relationships/hyperlink"/><Relationship Id="rId553" Target="https%3A%2F%2Fwww.webofscience.com%2Fwos%2Fwoscc%2Ffull-record%2FWOS%3A000976374900001" TargetMode="External" Type="http://schemas.openxmlformats.org/officeDocument/2006/relationships/hyperlink"/><Relationship Id="rId554" Target="http%3A%2F%2Fdx.doi.org%2F10.1016%2Fj.outlook.2025.102395" TargetMode="External" Type="http://schemas.openxmlformats.org/officeDocument/2006/relationships/hyperlink"/><Relationship Id="rId555" Target="https%3A%2F%2Fwww.webofscience.com%2Fwos%2Fwoscc%2Ffull-record%2FWOS%3A001487597200001" TargetMode="External" Type="http://schemas.openxmlformats.org/officeDocument/2006/relationships/hyperlink"/><Relationship Id="rId556" Target="http%3A%2F%2Fdx.doi.org%2F10.1002%2Fansa.70072" TargetMode="External" Type="http://schemas.openxmlformats.org/officeDocument/2006/relationships/hyperlink"/><Relationship Id="rId557" Target="https%3A%2F%2Fwww.webofscience.com%2Fwos%2Fwoscc%2Ffull-record%2FWOS%3A001705455700001" TargetMode="External" Type="http://schemas.openxmlformats.org/officeDocument/2006/relationships/hyperlink"/><Relationship Id="rId558" Target="http%3A%2F%2Fdx.doi.org%2F10.1007%2Fs10462-025-11147-4" TargetMode="External" Type="http://schemas.openxmlformats.org/officeDocument/2006/relationships/hyperlink"/><Relationship Id="rId559" Target="https%3A%2F%2Fwww.webofscience.com%2Fwos%2Fwoscc%2Ffull-record%2FWOS%3A001480703000010" TargetMode="External" Type="http://schemas.openxmlformats.org/officeDocument/2006/relationships/hyperlink"/><Relationship Id="rId56" Target="https%3A%2F%2Fwww.webofscience.com%2Fwos%2Fwoscc%2Ffull-record%2FWOS%3A001385891300049" TargetMode="External" Type="http://schemas.openxmlformats.org/officeDocument/2006/relationships/hyperlink"/><Relationship Id="rId560" Target="http%3A%2F%2Fdx.doi.org%2F10.1109%2FOJCS.2026.3718448" TargetMode="External" Type="http://schemas.openxmlformats.org/officeDocument/2006/relationships/hyperlink"/><Relationship Id="rId561" Target="https%3A%2F%2Fwww.webofscience.com%2Fwos%2Fwoscc%2Ffull-record%2FWOS%3A001850092600002" TargetMode="External" Type="http://schemas.openxmlformats.org/officeDocument/2006/relationships/hyperlink"/><Relationship Id="rId562" Target="http%3A%2F%2Fdx.doi.org%2F10.3390%2Finfo15010004" TargetMode="External" Type="http://schemas.openxmlformats.org/officeDocument/2006/relationships/hyperlink"/><Relationship Id="rId563" Target="https%3A%2F%2Fwww.webofscience.com%2Fwos%2Fwoscc%2Ffull-record%2FWOS%3A001151235200001" TargetMode="External" Type="http://schemas.openxmlformats.org/officeDocument/2006/relationships/hyperlink"/><Relationship Id="rId564" Target="http%3A%2F%2Fdx.doi.org%2F10.1038%2Fs41598-025-08080-5" TargetMode="External" Type="http://schemas.openxmlformats.org/officeDocument/2006/relationships/hyperlink"/><Relationship Id="rId565" Target="https%3A%2F%2Fwww.webofscience.com%2Fwos%2Fwoscc%2Ffull-record%2FWOS%3A001522003700015" TargetMode="External" Type="http://schemas.openxmlformats.org/officeDocument/2006/relationships/hyperlink"/><Relationship Id="rId566" Target="http%3A%2F%2Fdx.doi.org%2F10.1038%2Fs41746-024-01200-x" TargetMode="External" Type="http://schemas.openxmlformats.org/officeDocument/2006/relationships/hyperlink"/><Relationship Id="rId567" Target="https%3A%2F%2Fwww.webofscience.com%2Fwos%2Fwoscc%2Ffull-record%2FWOS%3A001282760400001" TargetMode="External" Type="http://schemas.openxmlformats.org/officeDocument/2006/relationships/hyperlink"/><Relationship Id="rId568" Target="http%3A%2F%2Fdx.doi.org%2F10.1504%2FIJIEI.2024.10065857" TargetMode="External" Type="http://schemas.openxmlformats.org/officeDocument/2006/relationships/hyperlink"/><Relationship Id="rId569" Target="https%3A%2F%2Fwww.webofscience.com%2Fwos%2Fwoscc%2Ffull-record%2FWOS%3A001348104400001" TargetMode="External" Type="http://schemas.openxmlformats.org/officeDocument/2006/relationships/hyperlink"/><Relationship Id="rId57" Target="http%3A%2F%2Fdx.doi.org%2F10.3389%2Ffmed.2026.1759016" TargetMode="External" Type="http://schemas.openxmlformats.org/officeDocument/2006/relationships/hyperlink"/><Relationship Id="rId570" Target="http%3A%2F%2Fdx.doi.org%2F10.3389%2Ffpsyt.2023.1219479" TargetMode="External" Type="http://schemas.openxmlformats.org/officeDocument/2006/relationships/hyperlink"/><Relationship Id="rId571" Target="https%3A%2F%2Fwww.webofscience.com%2Fwos%2Fwoscc%2Ffull-record%2FWOS%3A001128811400001" TargetMode="External" Type="http://schemas.openxmlformats.org/officeDocument/2006/relationships/hyperlink"/><Relationship Id="rId572" Target="http%3A%2F%2Fdx.doi.org%2F10.7717%2Fpeerj-cs.2839" TargetMode="External" Type="http://schemas.openxmlformats.org/officeDocument/2006/relationships/hyperlink"/><Relationship Id="rId573" Target="https%3A%2F%2Fwww.webofscience.com%2Fwos%2Fwoscc%2Ffull-record%2FWOS%3A001480517000001" TargetMode="External" Type="http://schemas.openxmlformats.org/officeDocument/2006/relationships/hyperlink"/><Relationship Id="rId574" Target="http%3A%2F%2Fdx.doi.org%2F10.1080%2F19490976.2025.2543124" TargetMode="External" Type="http://schemas.openxmlformats.org/officeDocument/2006/relationships/hyperlink"/><Relationship Id="rId575" Target="https%3A%2F%2Fwww.webofscience.com%2Fwos%2Fwoscc%2Ffull-record%2FWOS%3A001544723400001" TargetMode="External" Type="http://schemas.openxmlformats.org/officeDocument/2006/relationships/hyperlink"/><Relationship Id="rId576" Target="http%3A%2F%2Fdx.doi.org%2F10.1007%2Fs00146-021-01336-4" TargetMode="External" Type="http://schemas.openxmlformats.org/officeDocument/2006/relationships/hyperlink"/><Relationship Id="rId577" Target="https%3A%2F%2Fwww.webofscience.com%2Fwos%2Fwoscc%2Ffull-record%2FWOS%3A000737750800001" TargetMode="External" Type="http://schemas.openxmlformats.org/officeDocument/2006/relationships/hyperlink"/><Relationship Id="rId578" Target="http%3A%2F%2Fdx.doi.org%2F10.1038%2Fs41746-026-02835-8" TargetMode="External" Type="http://schemas.openxmlformats.org/officeDocument/2006/relationships/hyperlink"/><Relationship Id="rId579" Target="https%3A%2F%2Fwww.webofscience.com%2Fwos%2Fwoscc%2Ffull-record%2FWOS%3A001804185600001" TargetMode="External" Type="http://schemas.openxmlformats.org/officeDocument/2006/relationships/hyperlink"/><Relationship Id="rId58" Target="https%3A%2F%2Fwww.webofscience.com%2Fwos%2Fwoscc%2Ffull-record%2FWOS%3A001755973000001" TargetMode="External" Type="http://schemas.openxmlformats.org/officeDocument/2006/relationships/hyperlink"/><Relationship Id="rId580" Target="http%3A%2F%2Fdx.doi.org%2F10.1186%2Fs40635-025-00816-x" TargetMode="External" Type="http://schemas.openxmlformats.org/officeDocument/2006/relationships/hyperlink"/><Relationship Id="rId581" Target="https%3A%2F%2Fwww.webofscience.com%2Fwos%2Fwoscc%2Ffull-record%2FWOS%3A001599884000002" TargetMode="External" Type="http://schemas.openxmlformats.org/officeDocument/2006/relationships/hyperlink"/><Relationship Id="rId582" Target="http%3A%2F%2Fdx.doi.org%2F10.3390%2Fdiagnostics15010001" TargetMode="External" Type="http://schemas.openxmlformats.org/officeDocument/2006/relationships/hyperlink"/><Relationship Id="rId583" Target="https%3A%2F%2Fwww.webofscience.com%2Fwos%2Fwoscc%2Ffull-record%2FWOS%3A001393926100001" TargetMode="External" Type="http://schemas.openxmlformats.org/officeDocument/2006/relationships/hyperlink"/><Relationship Id="rId584" Target="http%3A%2F%2Fdx.doi.org%2F10.1186%2Fs13040-026-00570-0" TargetMode="External" Type="http://schemas.openxmlformats.org/officeDocument/2006/relationships/hyperlink"/><Relationship Id="rId585" Target="https%3A%2F%2Fwww.webofscience.com%2Fwos%2Fwoscc%2Ffull-record%2FWOS%3A001849371200001" TargetMode="External" Type="http://schemas.openxmlformats.org/officeDocument/2006/relationships/hyperlink"/><Relationship Id="rId586" Target="http%3A%2F%2Fdx.doi.org%2F10.2174%2F0123520965334135241115064754" TargetMode="External" Type="http://schemas.openxmlformats.org/officeDocument/2006/relationships/hyperlink"/><Relationship Id="rId587" Target="https%3A%2F%2Fwww.webofscience.com%2Fwos%2Fwoscc%2Ffull-record%2FWOS%3A001544328100006" TargetMode="External" Type="http://schemas.openxmlformats.org/officeDocument/2006/relationships/hyperlink"/><Relationship Id="rId588" Target="http%3A%2F%2Fdx.doi.org%2F10.1038%2Fs41598-025-26297-2" TargetMode="External" Type="http://schemas.openxmlformats.org/officeDocument/2006/relationships/hyperlink"/><Relationship Id="rId589" Target="https%3A%2F%2Fwww.webofscience.com%2Fwos%2Fwoscc%2Ffull-record%2FWOS%3A001627622000039" TargetMode="External" Type="http://schemas.openxmlformats.org/officeDocument/2006/relationships/hyperlink"/><Relationship Id="rId59" Target="http%3A%2F%2Fdx.doi.org%2F10.5599%2Fadmet.3321" TargetMode="External" Type="http://schemas.openxmlformats.org/officeDocument/2006/relationships/hyperlink"/><Relationship Id="rId590" Target="http%3A%2F%2Fdx.doi.org%2F10.1038%2Fs41598-026-62761-3" TargetMode="External" Type="http://schemas.openxmlformats.org/officeDocument/2006/relationships/hyperlink"/><Relationship Id="rId591" Target="https%3A%2F%2Fwww.webofscience.com%2Fwos%2Fwoscc%2Ffull-record%2FWOS%3A001826701100004" TargetMode="External" Type="http://schemas.openxmlformats.org/officeDocument/2006/relationships/hyperlink"/><Relationship Id="rId592" Target="http%3A%2F%2Fdx.doi.org%2F10.3390%2Fdiagnostics15243118" TargetMode="External" Type="http://schemas.openxmlformats.org/officeDocument/2006/relationships/hyperlink"/><Relationship Id="rId593" Target="https%3A%2F%2Fwww.webofscience.com%2Fwos%2Fwoscc%2Ffull-record%2FWOS%3A001647369600001" TargetMode="External" Type="http://schemas.openxmlformats.org/officeDocument/2006/relationships/hyperlink"/><Relationship Id="rId594" Target="http%3A%2F%2Fdx.doi.org%2F10.1016%2Fj.rdc.2026.03.005" TargetMode="External" Type="http://schemas.openxmlformats.org/officeDocument/2006/relationships/hyperlink"/><Relationship Id="rId595" Target="https%3A%2F%2Fwww.webofscience.com%2Fwos%2Fwoscc%2Ffull-record%2FWOS%3A001820870500001" TargetMode="External" Type="http://schemas.openxmlformats.org/officeDocument/2006/relationships/hyperlink"/><Relationship Id="rId596" Target="http%3A%2F%2Fdx.doi.org%2F10.1038%2Fs41598-024-56656-4" TargetMode="External" Type="http://schemas.openxmlformats.org/officeDocument/2006/relationships/hyperlink"/><Relationship Id="rId597" Target="https%3A%2F%2Fwww.webofscience.com%2Fwos%2Fwoscc%2Ffull-record%2FWOS%3A001185588800038" TargetMode="External" Type="http://schemas.openxmlformats.org/officeDocument/2006/relationships/hyperlink"/><Relationship Id="rId598" Target="http%3A%2F%2Fdx.doi.org%2F10.1109%2FACCESS.2022.3163311" TargetMode="External" Type="http://schemas.openxmlformats.org/officeDocument/2006/relationships/hyperlink"/><Relationship Id="rId599" Target="https%3A%2F%2Fwww.webofscience.com%2Fwos%2Fwoscc%2Ffull-record%2FWOS%3A000787479900001" TargetMode="External" Type="http://schemas.openxmlformats.org/officeDocument/2006/relationships/hyperlink"/><Relationship Id="rId6" Target="https%3A%2F%2Fwww.webofscience.com%2Fwos%2Fwoscc%2Ffull-record%2FWOS%3A001183736900001" TargetMode="External" Type="http://schemas.openxmlformats.org/officeDocument/2006/relationships/hyperlink"/><Relationship Id="rId60" Target="https%3A%2F%2Fwww.webofscience.com%2Fwos%2Fwoscc%2Ffull-record%2FWOS%3A001759087600001" TargetMode="External" Type="http://schemas.openxmlformats.org/officeDocument/2006/relationships/hyperlink"/><Relationship Id="rId600" Target="http%3A%2F%2Fdx.doi.org%2F10.1016%2Fj.ijrobp.2023.06.019" TargetMode="External" Type="http://schemas.openxmlformats.org/officeDocument/2006/relationships/hyperlink"/><Relationship Id="rId601" Target="https%3A%2F%2Fwww.webofscience.com%2Fwos%2Fwoscc%2Ffull-record%2FWOS%3A001114605000001" TargetMode="External" Type="http://schemas.openxmlformats.org/officeDocument/2006/relationships/hyperlink"/><Relationship Id="rId602" Target="http%3A%2F%2Fdx.doi.org%2F10.1504%2FIJGUC.2025.145181" TargetMode="External" Type="http://schemas.openxmlformats.org/officeDocument/2006/relationships/hyperlink"/><Relationship Id="rId603" Target="https%3A%2F%2Fwww.webofscience.com%2Fwos%2Fwoscc%2Ffull-record%2FWOS%3A001452487000004" TargetMode="External" Type="http://schemas.openxmlformats.org/officeDocument/2006/relationships/hyperlink"/><Relationship Id="rId604" Target="http%3A%2F%2Fdx.doi.org%2F10.3390%2Fhealthcare10101923" TargetMode="External" Type="http://schemas.openxmlformats.org/officeDocument/2006/relationships/hyperlink"/><Relationship Id="rId605" Target="https%3A%2F%2Fwww.webofscience.com%2Fwos%2Fwoscc%2Ffull-record%2FWOS%3A000872853100001" TargetMode="External" Type="http://schemas.openxmlformats.org/officeDocument/2006/relationships/hyperlink"/><Relationship Id="rId606" Target="http%3A%2F%2Fdx.doi.org%2F10.25038%2Fam.v0i28.639" TargetMode="External" Type="http://schemas.openxmlformats.org/officeDocument/2006/relationships/hyperlink"/><Relationship Id="rId607" Target="https%3A%2F%2Fwww.webofscience.com%2Fwos%2Fwoscc%2Ffull-record%2FWOS%3A001633404600005" TargetMode="External" Type="http://schemas.openxmlformats.org/officeDocument/2006/relationships/hyperlink"/><Relationship Id="rId608" Target="http%3A%2F%2Fdx.doi.org%2F10.3390%2Fbiology14080909" TargetMode="External" Type="http://schemas.openxmlformats.org/officeDocument/2006/relationships/hyperlink"/><Relationship Id="rId609" Target="https%3A%2F%2Fwww.webofscience.com%2Fwos%2Fwoscc%2Ffull-record%2FWOS%3A001557948800001" TargetMode="External" Type="http://schemas.openxmlformats.org/officeDocument/2006/relationships/hyperlink"/><Relationship Id="rId61" Target="http%3A%2F%2Fdx.doi.org%2F10.1088%2F2631-8695%2Fae3ed1" TargetMode="External" Type="http://schemas.openxmlformats.org/officeDocument/2006/relationships/hyperlink"/><Relationship Id="rId610" Target="http%3A%2F%2Fdx.doi.org%2F10.3389%2Ffdgth.2026.1871438" TargetMode="External" Type="http://schemas.openxmlformats.org/officeDocument/2006/relationships/hyperlink"/><Relationship Id="rId611" Target="https%3A%2F%2Fwww.webofscience.com%2Fwos%2Fwoscc%2Ffull-record%2FWOS%3A001825461000001" TargetMode="External" Type="http://schemas.openxmlformats.org/officeDocument/2006/relationships/hyperlink"/><Relationship Id="rId612" Target="http%3A%2F%2Fdx.doi.org%2F10.1088%2F1873-4030%2Fae8546" TargetMode="External" Type="http://schemas.openxmlformats.org/officeDocument/2006/relationships/hyperlink"/><Relationship Id="rId613" Target="https%3A%2F%2Fwww.webofscience.com%2Fwos%2Fwoscc%2Ffull-record%2FWOS%3A001819835000001" TargetMode="External" Type="http://schemas.openxmlformats.org/officeDocument/2006/relationships/hyperlink"/><Relationship Id="rId614" Target="http%3A%2F%2Fdx.doi.org%2F10.1007%2Fs13755-025-00412-z" TargetMode="External" Type="http://schemas.openxmlformats.org/officeDocument/2006/relationships/hyperlink"/><Relationship Id="rId615" Target="https%3A%2F%2Fwww.webofscience.com%2Fwos%2Fwoscc%2Ffull-record%2FWOS%3A001647581900001" TargetMode="External" Type="http://schemas.openxmlformats.org/officeDocument/2006/relationships/hyperlink"/><Relationship Id="rId616" Target="http%3A%2F%2Fdx.doi.org%2F10.1016%2Fj.bspc.2026.110743" TargetMode="External" Type="http://schemas.openxmlformats.org/officeDocument/2006/relationships/hyperlink"/><Relationship Id="rId617" Target="https%3A%2F%2Fwww.webofscience.com%2Fwos%2Fwoscc%2Ffull-record%2FWOS%3A001794481200001" TargetMode="External" Type="http://schemas.openxmlformats.org/officeDocument/2006/relationships/hyperlink"/><Relationship Id="rId618" Target="http%3A%2F%2Fdx.doi.org%2F10.1038%2Fs41598-024-66481-4" TargetMode="External" Type="http://schemas.openxmlformats.org/officeDocument/2006/relationships/hyperlink"/><Relationship Id="rId619" Target="https%3A%2F%2Fwww.webofscience.com%2Fwos%2Fwoscc%2Ffull-record%2FWOS%3A001271178000086" TargetMode="External" Type="http://schemas.openxmlformats.org/officeDocument/2006/relationships/hyperlink"/><Relationship Id="rId62" Target="https%3A%2F%2Fwww.webofscience.com%2Fwos%2Fwoscc%2Ffull-record%2FWOS%3A001687167700001" TargetMode="External" Type="http://schemas.openxmlformats.org/officeDocument/2006/relationships/hyperlink"/><Relationship Id="rId620" Target="http%3A%2F%2Fdx.doi.org%2F10.1016%2Fj.bspc.2026.110173" TargetMode="External" Type="http://schemas.openxmlformats.org/officeDocument/2006/relationships/hyperlink"/><Relationship Id="rId621" Target="https%3A%2F%2Fwww.webofscience.com%2Fwos%2Fwoscc%2Ffull-record%2FWOS%3A001733013600001" TargetMode="External" Type="http://schemas.openxmlformats.org/officeDocument/2006/relationships/hyperlink"/><Relationship Id="rId622" Target="http%3A%2F%2Fdx.doi.org%2F10.1038%2Fs41598-025-31874-6" TargetMode="External" Type="http://schemas.openxmlformats.org/officeDocument/2006/relationships/hyperlink"/><Relationship Id="rId623" Target="https%3A%2F%2Fwww.webofscience.com%2Fwos%2Fwoscc%2Ffull-record%2FWOS%3A001665490800001" TargetMode="External" Type="http://schemas.openxmlformats.org/officeDocument/2006/relationships/hyperlink"/><Relationship Id="rId624" Target="http%3A%2F%2Fdx.doi.org%2F10.1038%2Fs41598-024-71893-3" TargetMode="External" Type="http://schemas.openxmlformats.org/officeDocument/2006/relationships/hyperlink"/><Relationship Id="rId625" Target="https%3A%2F%2Fwww.webofscience.com%2Fwos%2Fwoscc%2Ffull-record%2FWOS%3A001328801300019" TargetMode="External" Type="http://schemas.openxmlformats.org/officeDocument/2006/relationships/hyperlink"/><Relationship Id="rId626" Target="http%3A%2F%2Fdx.doi.org%2F10.1109%2FTCSVT.2025.3603409" TargetMode="External" Type="http://schemas.openxmlformats.org/officeDocument/2006/relationships/hyperlink"/><Relationship Id="rId627" Target="https%3A%2F%2Fwww.webofscience.com%2Fwos%2Fwoscc%2Ffull-record%2FWOS%3A001687411500038" TargetMode="External" Type="http://schemas.openxmlformats.org/officeDocument/2006/relationships/hyperlink"/><Relationship Id="rId628" Target="http%3A%2F%2Fdx.doi.org%2F10.5755%2Fj01.itc.54.2.39443" TargetMode="External" Type="http://schemas.openxmlformats.org/officeDocument/2006/relationships/hyperlink"/><Relationship Id="rId629" Target="https%3A%2F%2Fwww.webofscience.com%2Fwos%2Fwoscc%2Ffull-record%2FWOS%3A001615962900001" TargetMode="External" Type="http://schemas.openxmlformats.org/officeDocument/2006/relationships/hyperlink"/><Relationship Id="rId63" Target="http%3A%2F%2Fdx.doi.org%2F10.1016%2Fj.rineng.2025.104320" TargetMode="External" Type="http://schemas.openxmlformats.org/officeDocument/2006/relationships/hyperlink"/><Relationship Id="rId630" Target="http%3A%2F%2Fdx.doi.org%2F10.2196%2F74196" TargetMode="External" Type="http://schemas.openxmlformats.org/officeDocument/2006/relationships/hyperlink"/><Relationship Id="rId631" Target="https%3A%2F%2Fwww.webofscience.com%2Fwos%2Fwoscc%2Ffull-record%2FWOS%3A001695184700002" TargetMode="External" Type="http://schemas.openxmlformats.org/officeDocument/2006/relationships/hyperlink"/><Relationship Id="rId632" Target="http%3A%2F%2Fdx.doi.org%2F10.3390%2Fdiagnostics16060866" TargetMode="External" Type="http://schemas.openxmlformats.org/officeDocument/2006/relationships/hyperlink"/><Relationship Id="rId633" Target="https%3A%2F%2Fwww.webofscience.com%2Fwos%2Fwoscc%2Ffull-record%2FWOS%3A001726311000001" TargetMode="External" Type="http://schemas.openxmlformats.org/officeDocument/2006/relationships/hyperlink"/><Relationship Id="rId634" Target="http%3A%2F%2Fdx.doi.org%2F10.1038%2Fs41746-025-02069-0" TargetMode="External" Type="http://schemas.openxmlformats.org/officeDocument/2006/relationships/hyperlink"/><Relationship Id="rId635" Target="https%3A%2F%2Fwww.webofscience.com%2Fwos%2Fwoscc%2Ffull-record%2FWOS%3A001620479800003" TargetMode="External" Type="http://schemas.openxmlformats.org/officeDocument/2006/relationships/hyperlink"/><Relationship Id="rId636" Target="http%3A%2F%2Fdx.doi.org%2F10.1177%2F15271544251381228" TargetMode="External" Type="http://schemas.openxmlformats.org/officeDocument/2006/relationships/hyperlink"/><Relationship Id="rId637" Target="https%3A%2F%2Fwww.webofscience.com%2Fwos%2Fwoscc%2Ffull-record%2FWOS%3A001637905100003" TargetMode="External" Type="http://schemas.openxmlformats.org/officeDocument/2006/relationships/hyperlink"/><Relationship Id="rId638" Target="http%3A%2F%2Fdx.doi.org%2F10.1002%2Fima.23214" TargetMode="External" Type="http://schemas.openxmlformats.org/officeDocument/2006/relationships/hyperlink"/><Relationship Id="rId639" Target="https%3A%2F%2Fwww.webofscience.com%2Fwos%2Fwoscc%2Ffull-record%2FWOS%3A001368669300001" TargetMode="External" Type="http://schemas.openxmlformats.org/officeDocument/2006/relationships/hyperlink"/><Relationship Id="rId64" Target="https%3A%2F%2Fwww.webofscience.com%2Fwos%2Fwoscc%2Ffull-record%2FWOS%3A001426789500001" TargetMode="External" Type="http://schemas.openxmlformats.org/officeDocument/2006/relationships/hyperlink"/><Relationship Id="rId640" Target="http%3A%2F%2Fdx.doi.org%2F10.3390%2Finfo15070394" TargetMode="External" Type="http://schemas.openxmlformats.org/officeDocument/2006/relationships/hyperlink"/><Relationship Id="rId641" Target="https%3A%2F%2Fwww.webofscience.com%2Fwos%2Fwoscc%2Ffull-record%2FWOS%3A001277566100001" TargetMode="External" Type="http://schemas.openxmlformats.org/officeDocument/2006/relationships/hyperlink"/><Relationship Id="rId642" Target="http%3A%2F%2Fdx.doi.org%2F10.1016%2Fj.jbc.2026.113234" TargetMode="External" Type="http://schemas.openxmlformats.org/officeDocument/2006/relationships/hyperlink"/><Relationship Id="rId643" Target="https%3A%2F%2Fwww.webofscience.com%2Fwos%2Fwoscc%2Ffull-record%2FWOS%3A001813600700001" TargetMode="External" Type="http://schemas.openxmlformats.org/officeDocument/2006/relationships/hyperlink"/><Relationship Id="rId644" Target="http%3A%2F%2Fdx.doi.org%2F10.1049%2Fhtl2.12039" TargetMode="External" Type="http://schemas.openxmlformats.org/officeDocument/2006/relationships/hyperlink"/><Relationship Id="rId645" Target="https%3A%2F%2Fwww.webofscience.com%2Fwos%2Fwoscc%2Ffull-record%2FWOS%3A000898017600001" TargetMode="External" Type="http://schemas.openxmlformats.org/officeDocument/2006/relationships/hyperlink"/><Relationship Id="rId646" Target="http%3A%2F%2Fdx.doi.org%2F10.3389%2Ffrai.2026.1827586" TargetMode="External" Type="http://schemas.openxmlformats.org/officeDocument/2006/relationships/hyperlink"/><Relationship Id="rId647" Target="https%3A%2F%2Fwww.webofscience.com%2Fwos%2Fwoscc%2Ffull-record%2FWOS%3A001782225600001" TargetMode="External" Type="http://schemas.openxmlformats.org/officeDocument/2006/relationships/hyperlink"/><Relationship Id="rId648" Target="http%3A%2F%2Fdx.doi.org%2F10.1007%2Fs10796-026-10712-8" TargetMode="External" Type="http://schemas.openxmlformats.org/officeDocument/2006/relationships/hyperlink"/><Relationship Id="rId649" Target="https%3A%2F%2Fwww.webofscience.com%2Fwos%2Fwoscc%2Ffull-record%2FWOS%3A001741963600001" TargetMode="External" Type="http://schemas.openxmlformats.org/officeDocument/2006/relationships/hyperlink"/><Relationship Id="rId65" Target="http%3A%2F%2Fdx.doi.org%2F10.1007%2Fs10462-025-11179-w" TargetMode="External" Type="http://schemas.openxmlformats.org/officeDocument/2006/relationships/hyperlink"/><Relationship Id="rId650" Target="http%3A%2F%2Fdx.doi.org%2F10.1093%2Fnar%2Fgkac1212" TargetMode="External" Type="http://schemas.openxmlformats.org/officeDocument/2006/relationships/hyperlink"/><Relationship Id="rId651" Target="https%3A%2F%2Fwww.webofscience.com%2Fwos%2Fwoscc%2Ffull-record%2FWOS%3A000910082400001" TargetMode="External" Type="http://schemas.openxmlformats.org/officeDocument/2006/relationships/hyperlink"/><Relationship Id="rId652" Target="http%3A%2F%2Fdx.doi.org%2F10.1038%2Fs41746-025-02143-7" TargetMode="External" Type="http://schemas.openxmlformats.org/officeDocument/2006/relationships/hyperlink"/><Relationship Id="rId653" Target="https%3A%2F%2Fwww.webofscience.com%2Fwos%2Fwoscc%2Ffull-record%2FWOS%3A001632438600002" TargetMode="External" Type="http://schemas.openxmlformats.org/officeDocument/2006/relationships/hyperlink"/><Relationship Id="rId654" Target="http%3A%2F%2Fdx.doi.org%2F10.1002%2Fhsr2.73042" TargetMode="External" Type="http://schemas.openxmlformats.org/officeDocument/2006/relationships/hyperlink"/><Relationship Id="rId655" Target="https%3A%2F%2Fwww.webofscience.com%2Fwos%2Fwoscc%2Ffull-record%2FWOS%3A001848544900001" TargetMode="External" Type="http://schemas.openxmlformats.org/officeDocument/2006/relationships/hyperlink"/><Relationship Id="rId656" Target="http%3A%2F%2Fdx.doi.org%2F10.1016%2Fj.simpa.2023.100478" TargetMode="External" Type="http://schemas.openxmlformats.org/officeDocument/2006/relationships/hyperlink"/><Relationship Id="rId657" Target="https%3A%2F%2Fwww.webofscience.com%2Fwos%2Fwoscc%2Ffull-record%2FWOS%3A000944864400001" TargetMode="External" Type="http://schemas.openxmlformats.org/officeDocument/2006/relationships/hyperlink"/><Relationship Id="rId658" Target="http%3A%2F%2Fdx.doi.org%2F10.1016%2Fj.asoc.2024.112225" TargetMode="External" Type="http://schemas.openxmlformats.org/officeDocument/2006/relationships/hyperlink"/><Relationship Id="rId659" Target="https%3A%2F%2Fwww.webofscience.com%2Fwos%2Fwoscc%2Ffull-record%2FWOS%3A001322564500001" TargetMode="External" Type="http://schemas.openxmlformats.org/officeDocument/2006/relationships/hyperlink"/><Relationship Id="rId66" Target="https%3A%2F%2Fwww.webofscience.com%2Fwos%2Fwoscc%2Ffull-record%2FWOS%3A001451024500001" TargetMode="External" Type="http://schemas.openxmlformats.org/officeDocument/2006/relationships/hyperlink"/><Relationship Id="rId660" Target="http%3A%2F%2Fdx.doi.org%2F10.3389%2Ffcomp.2025.1633916" TargetMode="External" Type="http://schemas.openxmlformats.org/officeDocument/2006/relationships/hyperlink"/><Relationship Id="rId661" Target="https%3A%2F%2Fwww.webofscience.com%2Fwos%2Fwoscc%2Ffull-record%2FWOS%3A001555632700001" TargetMode="External" Type="http://schemas.openxmlformats.org/officeDocument/2006/relationships/hyperlink"/><Relationship Id="rId662" Target="http%3A%2F%2Fdx.doi.org%2F10.3389%2Ffphar.2025.1654681" TargetMode="External" Type="http://schemas.openxmlformats.org/officeDocument/2006/relationships/hyperlink"/><Relationship Id="rId663" Target="https%3A%2F%2Fwww.webofscience.com%2Fwos%2Fwoscc%2Ffull-record%2FWOS%3A001648759800001" TargetMode="External" Type="http://schemas.openxmlformats.org/officeDocument/2006/relationships/hyperlink"/><Relationship Id="rId664" Target="http%3A%2F%2Fdx.doi.org%2F10.1016%2Fj.technovation.2025.103315" TargetMode="External" Type="http://schemas.openxmlformats.org/officeDocument/2006/relationships/hyperlink"/><Relationship Id="rId665" Target="https%3A%2F%2Fwww.webofscience.com%2Fwos%2Fwoscc%2Ffull-record%2FWOS%3A001534153000001" TargetMode="External" Type="http://schemas.openxmlformats.org/officeDocument/2006/relationships/hyperlink"/><Relationship Id="rId666" Target="http%3A%2F%2Fdx.doi.org%2F10.1186%2Fs12910-025-01243-z" TargetMode="External" Type="http://schemas.openxmlformats.org/officeDocument/2006/relationships/hyperlink"/><Relationship Id="rId667" Target="https%3A%2F%2Fwww.webofscience.com%2Fwos%2Fwoscc%2Ffull-record%2FWOS%3A001524669100001" TargetMode="External" Type="http://schemas.openxmlformats.org/officeDocument/2006/relationships/hyperlink"/><Relationship Id="rId668" Target="http%3A%2F%2Fdx.doi.org%2F10.1016%2Fj.compbiolchem.2024.108333" TargetMode="External" Type="http://schemas.openxmlformats.org/officeDocument/2006/relationships/hyperlink"/><Relationship Id="rId669" Target="https%3A%2F%2Fwww.webofscience.com%2Fwos%2Fwoscc%2Ffull-record%2FWOS%3A001412437500001" TargetMode="External" Type="http://schemas.openxmlformats.org/officeDocument/2006/relationships/hyperlink"/><Relationship Id="rId67" Target="http%3A%2F%2Fdx.doi.org%2F10.1002%2Fhsr2.72280" TargetMode="External" Type="http://schemas.openxmlformats.org/officeDocument/2006/relationships/hyperlink"/><Relationship Id="rId670" Target="http%3A%2F%2Fdx.doi.org%2F10.1111%2Fdom.70058" TargetMode="External" Type="http://schemas.openxmlformats.org/officeDocument/2006/relationships/hyperlink"/><Relationship Id="rId671" Target="https%3A%2F%2Fwww.webofscience.com%2Fwos%2Fwoscc%2Ffull-record%2FWOS%3A001562159100001" TargetMode="External" Type="http://schemas.openxmlformats.org/officeDocument/2006/relationships/hyperlink"/><Relationship Id="rId672" Target="http%3A%2F%2Fdx.doi.org%2F10.3390%2Fbios12030167" TargetMode="External" Type="http://schemas.openxmlformats.org/officeDocument/2006/relationships/hyperlink"/><Relationship Id="rId673" Target="https%3A%2F%2Fwww.webofscience.com%2Fwos%2Fwoscc%2Ffull-record%2FWOS%3A000776014800001" TargetMode="External" Type="http://schemas.openxmlformats.org/officeDocument/2006/relationships/hyperlink"/><Relationship Id="rId674" Target="http%3A%2F%2Fdx.doi.org%2F10.1093%2Fnarcan%2Fzcaf029" TargetMode="External" Type="http://schemas.openxmlformats.org/officeDocument/2006/relationships/hyperlink"/><Relationship Id="rId675" Target="https%3A%2F%2Fwww.webofscience.com%2Fwos%2Fwoscc%2Ffull-record%2FWOS%3A001565289700001" TargetMode="External" Type="http://schemas.openxmlformats.org/officeDocument/2006/relationships/hyperlink"/><Relationship Id="rId676" Target="http%3A%2F%2Fdx.doi.org%2F10.3389%2Ffpsyt.2026.1751654" TargetMode="External" Type="http://schemas.openxmlformats.org/officeDocument/2006/relationships/hyperlink"/><Relationship Id="rId677" Target="https%3A%2F%2Fwww.webofscience.com%2Fwos%2Fwoscc%2Ffull-record%2FWOS%3A001729632900001" TargetMode="External" Type="http://schemas.openxmlformats.org/officeDocument/2006/relationships/hyperlink"/><Relationship Id="rId678" Target="http%3A%2F%2Fdx.doi.org%2F10.1007%2Fs00464-024-10681-6" TargetMode="External" Type="http://schemas.openxmlformats.org/officeDocument/2006/relationships/hyperlink"/><Relationship Id="rId679" Target="https%3A%2F%2Fwww.webofscience.com%2Fwos%2Fwoscc%2Ffull-record%2FWOS%3A001156360600003" TargetMode="External" Type="http://schemas.openxmlformats.org/officeDocument/2006/relationships/hyperlink"/><Relationship Id="rId68" Target="https%3A%2F%2Fwww.webofscience.com%2Fwos%2Fwoscc%2Ffull-record%2FWOS%3A001733290600001" TargetMode="External" Type="http://schemas.openxmlformats.org/officeDocument/2006/relationships/hyperlink"/><Relationship Id="rId680" Target="http%3A%2F%2Fdx.doi.org%2F10.1038%2Fs41598-023-32899-5" TargetMode="External" Type="http://schemas.openxmlformats.org/officeDocument/2006/relationships/hyperlink"/><Relationship Id="rId681" Target="https%3A%2F%2Fwww.webofscience.com%2Fwos%2Fwoscc%2Ffull-record%2FWOS%3A001010944600019" TargetMode="External" Type="http://schemas.openxmlformats.org/officeDocument/2006/relationships/hyperlink"/><Relationship Id="rId682" Target="http%3A%2F%2Fdx.doi.org%2F10.1109%2FACCESS.2025.3582191" TargetMode="External" Type="http://schemas.openxmlformats.org/officeDocument/2006/relationships/hyperlink"/><Relationship Id="rId683" Target="https%3A%2F%2Fwww.webofscience.com%2Fwos%2Fwoscc%2Ffull-record%2FWOS%3A001521568200042" TargetMode="External" Type="http://schemas.openxmlformats.org/officeDocument/2006/relationships/hyperlink"/><Relationship Id="rId684" Target="http%3A%2F%2Fdx.doi.org%2F10.1016%2Fj.dib.2022.108382" TargetMode="External" Type="http://schemas.openxmlformats.org/officeDocument/2006/relationships/hyperlink"/><Relationship Id="rId685" Target="https%3A%2F%2Fwww.webofscience.com%2Fwos%2Fwoscc%2Ffull-record%2FWOS%3A000832310400017" TargetMode="External" Type="http://schemas.openxmlformats.org/officeDocument/2006/relationships/hyperlink"/><Relationship Id="rId686" Target="http%3A%2F%2Fdx.doi.org%2F10.2196%2F65923" TargetMode="External" Type="http://schemas.openxmlformats.org/officeDocument/2006/relationships/hyperlink"/><Relationship Id="rId687" Target="https%3A%2F%2Fwww.webofscience.com%2Fwos%2Fwoscc%2Ffull-record%2FWOS%3A001427096700001" TargetMode="External" Type="http://schemas.openxmlformats.org/officeDocument/2006/relationships/hyperlink"/><Relationship Id="rId688" Target="http%3A%2F%2Fdx.doi.org%2F10.1016%2Fj.scs.2024.105889" TargetMode="External" Type="http://schemas.openxmlformats.org/officeDocument/2006/relationships/hyperlink"/><Relationship Id="rId689" Target="https%3A%2F%2Fwww.webofscience.com%2Fwos%2Fwoscc%2Ffull-record%2FWOS%3A001353658000001" TargetMode="External" Type="http://schemas.openxmlformats.org/officeDocument/2006/relationships/hyperlink"/><Relationship Id="rId69" Target="http%3A%2F%2Fdx.doi.org%2F10.3390%2Fdiagnostics15162063" TargetMode="External" Type="http://schemas.openxmlformats.org/officeDocument/2006/relationships/hyperlink"/><Relationship Id="rId690" Target="http%3A%2F%2Fdx.doi.org%2F10.3390%2Finfo13110536" TargetMode="External" Type="http://schemas.openxmlformats.org/officeDocument/2006/relationships/hyperlink"/><Relationship Id="rId691" Target="https%3A%2F%2Fwww.webofscience.com%2Fwos%2Fwoscc%2Ffull-record%2FWOS%3A000895081200001" TargetMode="External" Type="http://schemas.openxmlformats.org/officeDocument/2006/relationships/hyperlink"/><Relationship Id="rId692" Target="http%3A%2F%2Fdx.doi.org%2F10.3390%2Fmedicina61040581" TargetMode="External" Type="http://schemas.openxmlformats.org/officeDocument/2006/relationships/hyperlink"/><Relationship Id="rId693" Target="https%3A%2F%2Fwww.webofscience.com%2Fwos%2Fwoscc%2Ffull-record%2FWOS%3A001475112800001" TargetMode="External" Type="http://schemas.openxmlformats.org/officeDocument/2006/relationships/hyperlink"/><Relationship Id="rId694" Target="http%3A%2F%2Fdx.doi.org%2F10.1038%2Fs41746-026-02714-2" TargetMode="External" Type="http://schemas.openxmlformats.org/officeDocument/2006/relationships/hyperlink"/><Relationship Id="rId695" Target="https%3A%2F%2Fwww.webofscience.com%2Fwos%2Fwoscc%2Ffull-record%2FWOS%3A001823916200002" TargetMode="External" Type="http://schemas.openxmlformats.org/officeDocument/2006/relationships/hyperlink"/><Relationship Id="rId696" Target="http%3A%2F%2Fdx.doi.org%2F10.1016%2Fj.pscychresns.2025.111969" TargetMode="External" Type="http://schemas.openxmlformats.org/officeDocument/2006/relationships/hyperlink"/><Relationship Id="rId697" Target="https%3A%2F%2Fwww.webofscience.com%2Fwos%2Fwoscc%2Ffull-record%2FWOS%3A001449916300001" TargetMode="External" Type="http://schemas.openxmlformats.org/officeDocument/2006/relationships/hyperlink"/><Relationship Id="rId698" Target="http%3A%2F%2Fdx.doi.org%2F10.1109%2FACCESS.2024.3449704" TargetMode="External" Type="http://schemas.openxmlformats.org/officeDocument/2006/relationships/hyperlink"/><Relationship Id="rId699" Target="https%3A%2F%2Fwww.webofscience.com%2Fwos%2Fwoscc%2Ffull-record%2FWOS%3A001306631300001" TargetMode="External" Type="http://schemas.openxmlformats.org/officeDocument/2006/relationships/hyperlink"/><Relationship Id="rId7" Target="http%3A%2F%2Fdx.doi.org%2F10.1007%2Fs11227-022-04631-z" TargetMode="External" Type="http://schemas.openxmlformats.org/officeDocument/2006/relationships/hyperlink"/><Relationship Id="rId70" Target="https%3A%2F%2Fwww.webofscience.com%2Fwos%2Fwoscc%2Ffull-record%2FWOS%3A001558469900001" TargetMode="External" Type="http://schemas.openxmlformats.org/officeDocument/2006/relationships/hyperlink"/><Relationship Id="rId700" Target="http%3A%2F%2Fdx.doi.org%2F10.1007%2Fs12530-025-09664-2" TargetMode="External" Type="http://schemas.openxmlformats.org/officeDocument/2006/relationships/hyperlink"/><Relationship Id="rId701" Target="https%3A%2F%2Fwww.webofscience.com%2Fwos%2Fwoscc%2Ffull-record%2FWOS%3A001415075100003" TargetMode="External" Type="http://schemas.openxmlformats.org/officeDocument/2006/relationships/hyperlink"/><Relationship Id="rId702" Target="http%3A%2F%2Fdx.doi.org%2F10.1142%2FS0219649226500486" TargetMode="External" Type="http://schemas.openxmlformats.org/officeDocument/2006/relationships/hyperlink"/><Relationship Id="rId703" Target="https%3A%2F%2Fwww.webofscience.com%2Fwos%2Fwoscc%2Ffull-record%2FWOS%3A001825104900001" TargetMode="External" Type="http://schemas.openxmlformats.org/officeDocument/2006/relationships/hyperlink"/><Relationship Id="rId704" Target="http%3A%2F%2Fdx.doi.org%2F10.2196%2F81460" TargetMode="External" Type="http://schemas.openxmlformats.org/officeDocument/2006/relationships/hyperlink"/><Relationship Id="rId705" Target="https%3A%2F%2Fwww.webofscience.com%2Fwos%2Fwoscc%2Ffull-record%2FWOS%3A001759470800001" TargetMode="External" Type="http://schemas.openxmlformats.org/officeDocument/2006/relationships/hyperlink"/><Relationship Id="rId706" Target="http%3A%2F%2Fdx.doi.org%2F10.1016%2Fj.bspc.2022.104144" TargetMode="External" Type="http://schemas.openxmlformats.org/officeDocument/2006/relationships/hyperlink"/><Relationship Id="rId707" Target="https%3A%2F%2Fwww.webofscience.com%2Fwos%2Fwoscc%2Ffull-record%2FWOS%3A000868136200005" TargetMode="External" Type="http://schemas.openxmlformats.org/officeDocument/2006/relationships/hyperlink"/><Relationship Id="rId708" Target="http%3A%2F%2Fdx.doi.org%2F10.1680%2Fjinam.23.00033" TargetMode="External" Type="http://schemas.openxmlformats.org/officeDocument/2006/relationships/hyperlink"/><Relationship Id="rId709" Target="https%3A%2F%2Fwww.webofscience.com%2Fwos%2Fwoscc%2Ffull-record%2FWOS%3A001320352000001" TargetMode="External" Type="http://schemas.openxmlformats.org/officeDocument/2006/relationships/hyperlink"/><Relationship Id="rId71" Target="http%3A%2F%2Fdx.doi.org%2F10.1109%2FOJCOMS.2025.3608784" TargetMode="External" Type="http://schemas.openxmlformats.org/officeDocument/2006/relationships/hyperlink"/><Relationship Id="rId710" Target="http%3A%2F%2Fdx.doi.org%2F10.1038%2Fs41598-025-31234-4" TargetMode="External" Type="http://schemas.openxmlformats.org/officeDocument/2006/relationships/hyperlink"/><Relationship Id="rId711" Target="https%3A%2F%2Fwww.webofscience.com%2Fwos%2Fwoscc%2Ffull-record%2FWOS%3A001662921600002" TargetMode="External" Type="http://schemas.openxmlformats.org/officeDocument/2006/relationships/hyperlink"/><Relationship Id="rId712" Target="http%3A%2F%2Fdx.doi.org%2F10.1007%2Fs12553-026-01064-z" TargetMode="External" Type="http://schemas.openxmlformats.org/officeDocument/2006/relationships/hyperlink"/><Relationship Id="rId713" Target="https%3A%2F%2Fwww.webofscience.com%2Fwos%2Fwoscc%2Ffull-record%2FWOS%3A001715773600001" TargetMode="External" Type="http://schemas.openxmlformats.org/officeDocument/2006/relationships/hyperlink"/><Relationship Id="rId714" Target="http%3A%2F%2Fdx.doi.org%2F10.1109%2FACCESS.2023.3274851" TargetMode="External" Type="http://schemas.openxmlformats.org/officeDocument/2006/relationships/hyperlink"/><Relationship Id="rId715" Target="https%3A%2F%2Fwww.webofscience.com%2Fwos%2Fwoscc%2Ffull-record%2FWOS%3A001010107400001" TargetMode="External" Type="http://schemas.openxmlformats.org/officeDocument/2006/relationships/hyperlink"/><Relationship Id="rId716" Target="http%3A%2F%2Fdx.doi.org%2F10.3837%2Ftiis.2026.03.006" TargetMode="External" Type="http://schemas.openxmlformats.org/officeDocument/2006/relationships/hyperlink"/><Relationship Id="rId717" Target="https%3A%2F%2Fwww.webofscience.com%2Fwos%2Fwoscc%2Ffull-record%2FWOS%3A001733493400006" TargetMode="External" Type="http://schemas.openxmlformats.org/officeDocument/2006/relationships/hyperlink"/><Relationship Id="rId718" Target="http%3A%2F%2Fdx.doi.org%2F10.1080%2F00365521.2022.2163185" TargetMode="External" Type="http://schemas.openxmlformats.org/officeDocument/2006/relationships/hyperlink"/><Relationship Id="rId719" Target="https%3A%2F%2Fwww.webofscience.com%2Fwos%2Fwoscc%2Ffull-record%2FWOS%3A000909825800001" TargetMode="External" Type="http://schemas.openxmlformats.org/officeDocument/2006/relationships/hyperlink"/><Relationship Id="rId72" Target="https%3A%2F%2Fwww.webofscience.com%2Fwos%2Fwoscc%2Ffull-record%2FWOS%3A001591651000003" TargetMode="External" Type="http://schemas.openxmlformats.org/officeDocument/2006/relationships/hyperlink"/><Relationship Id="rId720" Target="http%3A%2F%2Fdx.doi.org%2F10.1016%2Fj.bspc.2026.110989" TargetMode="External" Type="http://schemas.openxmlformats.org/officeDocument/2006/relationships/hyperlink"/><Relationship Id="rId721" Target="https%3A%2F%2Fwww.webofscience.com%2Fwos%2Fwoscc%2Ffull-record%2FWOS%3A001823622300001" TargetMode="External" Type="http://schemas.openxmlformats.org/officeDocument/2006/relationships/hyperlink"/><Relationship Id="rId722" Target="http%3A%2F%2Fdx.doi.org%2F10.3390%2Fs24061940" TargetMode="External" Type="http://schemas.openxmlformats.org/officeDocument/2006/relationships/hyperlink"/><Relationship Id="rId723" Target="https%3A%2F%2Fwww.webofscience.com%2Fwos%2Fwoscc%2Ffull-record%2FWOS%3A001192717000001" TargetMode="External" Type="http://schemas.openxmlformats.org/officeDocument/2006/relationships/hyperlink"/><Relationship Id="rId724" Target="http%3A%2F%2Fdx.doi.org%2F10.1093%2Fjamia%2Focaf039" TargetMode="External" Type="http://schemas.openxmlformats.org/officeDocument/2006/relationships/hyperlink"/><Relationship Id="rId725" Target="https%3A%2F%2Fwww.webofscience.com%2Fwos%2Fwoscc%2Ffull-record%2FWOS%3A001443595500001" TargetMode="External" Type="http://schemas.openxmlformats.org/officeDocument/2006/relationships/hyperlink"/><Relationship Id="rId726" Target="http%3A%2F%2Fdx.doi.org%2F10.1007%2Fs41649-024-00292-7" TargetMode="External" Type="http://schemas.openxmlformats.org/officeDocument/2006/relationships/hyperlink"/><Relationship Id="rId727" Target="https%3A%2F%2Fwww.webofscience.com%2Fwos%2Fwoscc%2Ffull-record%2FWOS%3A001243869500001" TargetMode="External" Type="http://schemas.openxmlformats.org/officeDocument/2006/relationships/hyperlink"/><Relationship Id="rId728" Target="http%3A%2F%2Fdx.doi.org%2F10.1007%2Fs40995-025-01851-9" TargetMode="External" Type="http://schemas.openxmlformats.org/officeDocument/2006/relationships/hyperlink"/><Relationship Id="rId729" Target="https%3A%2F%2Fwww.webofscience.com%2Fwos%2Fwoscc%2Ffull-record%2FWOS%3A001532905100001" TargetMode="External" Type="http://schemas.openxmlformats.org/officeDocument/2006/relationships/hyperlink"/><Relationship Id="rId73" Target="http%3A%2F%2Fdx.doi.org%2F10.1109%2FACCESS.2025.3636046" TargetMode="External" Type="http://schemas.openxmlformats.org/officeDocument/2006/relationships/hyperlink"/><Relationship Id="rId730" Target="http%3A%2F%2Fdx.doi.org%2F10.3390%2Fdiagnostics16010007" TargetMode="External" Type="http://schemas.openxmlformats.org/officeDocument/2006/relationships/hyperlink"/><Relationship Id="rId731" Target="https%3A%2F%2Fwww.webofscience.com%2Fwos%2Fwoscc%2Ffull-record%2FWOS%3A001657663800001" TargetMode="External" Type="http://schemas.openxmlformats.org/officeDocument/2006/relationships/hyperlink"/><Relationship Id="rId732" Target="http%3A%2F%2Fdx.doi.org%2F10.3390%2Fcancers15041118" TargetMode="External" Type="http://schemas.openxmlformats.org/officeDocument/2006/relationships/hyperlink"/><Relationship Id="rId733" Target="https%3A%2F%2Fwww.webofscience.com%2Fwos%2Fwoscc%2Ffull-record%2FWOS%3A000938929900001" TargetMode="External" Type="http://schemas.openxmlformats.org/officeDocument/2006/relationships/hyperlink"/><Relationship Id="rId734" Target="http%3A%2F%2Fdx.doi.org%2F10.3390%2Fani15020126" TargetMode="External" Type="http://schemas.openxmlformats.org/officeDocument/2006/relationships/hyperlink"/><Relationship Id="rId735" Target="https%3A%2F%2Fwww.webofscience.com%2Fwos%2Fwoscc%2Ffull-record%2FWOS%3A001404017900001" TargetMode="External" Type="http://schemas.openxmlformats.org/officeDocument/2006/relationships/hyperlink"/><Relationship Id="rId736" Target="http%3A%2F%2Fdx.doi.org%2F10.3390%2Fdiagnostics13111932" TargetMode="External" Type="http://schemas.openxmlformats.org/officeDocument/2006/relationships/hyperlink"/><Relationship Id="rId737" Target="https%3A%2F%2Fwww.webofscience.com%2Fwos%2Fwoscc%2Ffull-record%2FWOS%3A001004033100001" TargetMode="External" Type="http://schemas.openxmlformats.org/officeDocument/2006/relationships/hyperlink"/><Relationship Id="rId738" Target="http%3A%2F%2Fdx.doi.org%2F10.3390%2Fcancers15102794" TargetMode="External" Type="http://schemas.openxmlformats.org/officeDocument/2006/relationships/hyperlink"/><Relationship Id="rId739" Target="https%3A%2F%2Fwww.webofscience.com%2Fwos%2Fwoscc%2Ffull-record%2FWOS%3A000997657800001" TargetMode="External" Type="http://schemas.openxmlformats.org/officeDocument/2006/relationships/hyperlink"/><Relationship Id="rId74" Target="https%3A%2F%2Fwww.webofscience.com%2Fwos%2Fwoscc%2Ffull-record%2FWOS%3A001627693200026" TargetMode="External" Type="http://schemas.openxmlformats.org/officeDocument/2006/relationships/hyperlink"/><Relationship Id="rId740" Target="http%3A%2F%2Fdx.doi.org%2F10.1093%2Fjamiaopen%2Fooaf064" TargetMode="External" Type="http://schemas.openxmlformats.org/officeDocument/2006/relationships/hyperlink"/><Relationship Id="rId741" Target="https%3A%2F%2Fwww.webofscience.com%2Fwos%2Fwoscc%2Ffull-record%2FWOS%3A001538870500001" TargetMode="External" Type="http://schemas.openxmlformats.org/officeDocument/2006/relationships/hyperlink"/><Relationship Id="rId742" Target="http%3A%2F%2Fdx.doi.org%2F10.1093%2Fjamia%2Focaf065" TargetMode="External" Type="http://schemas.openxmlformats.org/officeDocument/2006/relationships/hyperlink"/><Relationship Id="rId743" Target="https%3A%2F%2Fwww.webofscience.com%2Fwos%2Fwoscc%2Ffull-record%2FWOS%3A001481084400001" TargetMode="External" Type="http://schemas.openxmlformats.org/officeDocument/2006/relationships/hyperlink"/><Relationship Id="rId744" Target="http%3A%2F%2Fdx.doi.org%2F10.1016%2Fj.bjps.2025.12.029" TargetMode="External" Type="http://schemas.openxmlformats.org/officeDocument/2006/relationships/hyperlink"/><Relationship Id="rId745" Target="https%3A%2F%2Fwww.webofscience.com%2Fwos%2Fwoscc%2Ffull-record%2FWOS%3A001680016500001" TargetMode="External" Type="http://schemas.openxmlformats.org/officeDocument/2006/relationships/hyperlink"/><Relationship Id="rId746" Target="http%3A%2F%2Fdx.doi.org%2F10.1109%2FTBME.2023.3282840" TargetMode="External" Type="http://schemas.openxmlformats.org/officeDocument/2006/relationships/hyperlink"/><Relationship Id="rId747" Target="https%3A%2F%2Fwww.webofscience.com%2Fwos%2Fwoscc%2Ffull-record%2FWOS%3A001123725100024" TargetMode="External" Type="http://schemas.openxmlformats.org/officeDocument/2006/relationships/hyperlink"/><Relationship Id="rId748" Target="http%3A%2F%2Fdx.doi.org%2F10.1016%2Fj.rineng.2026.110453" TargetMode="External" Type="http://schemas.openxmlformats.org/officeDocument/2006/relationships/hyperlink"/><Relationship Id="rId749" Target="https%3A%2F%2Fwww.webofscience.com%2Fwos%2Fwoscc%2Ffull-record%2FWOS%3A001759440400001" TargetMode="External" Type="http://schemas.openxmlformats.org/officeDocument/2006/relationships/hyperlink"/><Relationship Id="rId75" Target="http%3A%2F%2Fdx.doi.org%2F10.3389%2Ffpubh.2026.1784189" TargetMode="External" Type="http://schemas.openxmlformats.org/officeDocument/2006/relationships/hyperlink"/><Relationship Id="rId750" Target="http%3A%2F%2Fdx.doi.org%2F10.3389%2Ffneur.2026.1766089" TargetMode="External" Type="http://schemas.openxmlformats.org/officeDocument/2006/relationships/hyperlink"/><Relationship Id="rId751" Target="https%3A%2F%2Fwww.webofscience.com%2Fwos%2Fwoscc%2Ffull-record%2FWOS%3A001708737700001" TargetMode="External" Type="http://schemas.openxmlformats.org/officeDocument/2006/relationships/hyperlink"/><Relationship Id="rId752" Target="http%3A%2F%2Fdx.doi.org%2F10.3389%2Ffrsip.2026.1893420" TargetMode="External" Type="http://schemas.openxmlformats.org/officeDocument/2006/relationships/hyperlink"/><Relationship Id="rId753" Target="https%3A%2F%2Fwww.webofscience.com%2Fwos%2Fwoscc%2Ffull-record%2FWOS%3A001853616100001" TargetMode="External" Type="http://schemas.openxmlformats.org/officeDocument/2006/relationships/hyperlink"/><Relationship Id="rId754" Target="http%3A%2F%2Fdx.doi.org%2F10.1007%2Fs10462-026-11518-5" TargetMode="External" Type="http://schemas.openxmlformats.org/officeDocument/2006/relationships/hyperlink"/><Relationship Id="rId755" Target="https%3A%2F%2Fwww.webofscience.com%2Fwos%2Fwoscc%2Ffull-record%2FWOS%3A001733650100002" TargetMode="External" Type="http://schemas.openxmlformats.org/officeDocument/2006/relationships/hyperlink"/><Relationship Id="rId756" Target="http%3A%2F%2Fdx.doi.org%2F10.1007%2Fs11042-023-17828-y" TargetMode="External" Type="http://schemas.openxmlformats.org/officeDocument/2006/relationships/hyperlink"/><Relationship Id="rId757" Target="https%3A%2F%2Fwww.webofscience.com%2Fwos%2Fwoscc%2Ffull-record%2FWOS%3A001129308400001" TargetMode="External" Type="http://schemas.openxmlformats.org/officeDocument/2006/relationships/hyperlink"/><Relationship Id="rId758" Target="http%3A%2F%2Fdx.doi.org%2F10.3390%2Fdiagnostics15212709" TargetMode="External" Type="http://schemas.openxmlformats.org/officeDocument/2006/relationships/hyperlink"/><Relationship Id="rId759" Target="https%3A%2F%2Fwww.webofscience.com%2Fwos%2Fwoscc%2Ffull-record%2FWOS%3A001613043200001" TargetMode="External" Type="http://schemas.openxmlformats.org/officeDocument/2006/relationships/hyperlink"/><Relationship Id="rId76" Target="https%3A%2F%2Fwww.webofscience.com%2Fwos%2Fwoscc%2Ffull-record%2FWOS%3A001748998500001" TargetMode="External" Type="http://schemas.openxmlformats.org/officeDocument/2006/relationships/hyperlink"/><Relationship Id="rId760" Target="http%3A%2F%2Fdx.doi.org%2F10.4274%2Fdir.2024.232604" TargetMode="External" Type="http://schemas.openxmlformats.org/officeDocument/2006/relationships/hyperlink"/><Relationship Id="rId761" Target="https%3A%2F%2Fwww.webofscience.com%2Fwos%2Fwoscc%2Ffull-record%2FWOS%3A001321499000004" TargetMode="External" Type="http://schemas.openxmlformats.org/officeDocument/2006/relationships/hyperlink"/><Relationship Id="rId762" Target="http%3A%2F%2Fdx.doi.org%2F10.1007%2Fs12559-026-10599-2" TargetMode="External" Type="http://schemas.openxmlformats.org/officeDocument/2006/relationships/hyperlink"/><Relationship Id="rId763" Target="https%3A%2F%2Fwww.webofscience.com%2Fwos%2Fwoscc%2Ffull-record%2FWOS%3A001777922200002" TargetMode="External" Type="http://schemas.openxmlformats.org/officeDocument/2006/relationships/hyperlink"/><Relationship Id="rId764" Target="https%3A%2F%2Fwww.webofscience.com%2Fwos%2Fwoscc%2Ffull-record%2FWOS%3A001046850300019" TargetMode="External" Type="http://schemas.openxmlformats.org/officeDocument/2006/relationships/hyperlink"/><Relationship Id="rId765" Target="http%3A%2F%2Fdx.doi.org%2F10.1177%2F00220345241271160" TargetMode="External" Type="http://schemas.openxmlformats.org/officeDocument/2006/relationships/hyperlink"/><Relationship Id="rId766" Target="https%3A%2F%2Fwww.webofscience.com%2Fwos%2Fwoscc%2Ffull-record%2FWOS%3A001320288000001" TargetMode="External" Type="http://schemas.openxmlformats.org/officeDocument/2006/relationships/hyperlink"/><Relationship Id="rId767" Target="http%3A%2F%2Fdx.doi.org%2F10.3389%2Ffmed.2025.1596726" TargetMode="External" Type="http://schemas.openxmlformats.org/officeDocument/2006/relationships/hyperlink"/><Relationship Id="rId768" Target="https%3A%2F%2Fwww.webofscience.com%2Fwos%2Fwoscc%2Ffull-record%2FWOS%3A001529333100001" TargetMode="External" Type="http://schemas.openxmlformats.org/officeDocument/2006/relationships/hyperlink"/><Relationship Id="rId769" Target="http%3A%2F%2Fdx.doi.org%2F10.1186%2Fs12911-026-03344-0" TargetMode="External" Type="http://schemas.openxmlformats.org/officeDocument/2006/relationships/hyperlink"/><Relationship Id="rId77" Target="http%3A%2F%2Fdx.doi.org%2F10.4114%2Fintartif.vol24iss74pp133-151" TargetMode="External" Type="http://schemas.openxmlformats.org/officeDocument/2006/relationships/hyperlink"/><Relationship Id="rId770" Target="https%3A%2F%2Fwww.webofscience.com%2Fwos%2Fwoscc%2Ffull-record%2FWOS%3A001706236900001" TargetMode="External" Type="http://schemas.openxmlformats.org/officeDocument/2006/relationships/hyperlink"/><Relationship Id="rId771" Target="http%3A%2F%2Fdx.doi.org%2F10.1088%2F2057-1976%2Fae1f21" TargetMode="External" Type="http://schemas.openxmlformats.org/officeDocument/2006/relationships/hyperlink"/><Relationship Id="rId772" Target="https%3A%2F%2Fwww.webofscience.com%2Fwos%2Fwoscc%2Ffull-record%2FWOS%3A001624844100001" TargetMode="External" Type="http://schemas.openxmlformats.org/officeDocument/2006/relationships/hyperlink"/><Relationship Id="rId773" Target="http%3A%2F%2Fdx.doi.org%2F10.3390%2Fcancers17193213" TargetMode="External" Type="http://schemas.openxmlformats.org/officeDocument/2006/relationships/hyperlink"/><Relationship Id="rId774" Target="https%3A%2F%2Fwww.webofscience.com%2Fwos%2Fwoscc%2Ffull-record%2FWOS%3A001593472400001" TargetMode="External" Type="http://schemas.openxmlformats.org/officeDocument/2006/relationships/hyperlink"/><Relationship Id="rId775" Target="http%3A%2F%2Fdx.doi.org%2F10.1002%2Fjac5.70172" TargetMode="External" Type="http://schemas.openxmlformats.org/officeDocument/2006/relationships/hyperlink"/><Relationship Id="rId776" Target="https%3A%2F%2Fwww.webofscience.com%2Fwos%2Fwoscc%2Ffull-record%2FWOS%3A001687363100007" TargetMode="External" Type="http://schemas.openxmlformats.org/officeDocument/2006/relationships/hyperlink"/><Relationship Id="rId777" Target="http%3A%2F%2Fdx.doi.org%2F10.1016%2Fj.bspc.2024.106000" TargetMode="External" Type="http://schemas.openxmlformats.org/officeDocument/2006/relationships/hyperlink"/><Relationship Id="rId778" Target="https%3A%2F%2Fwww.webofscience.com%2Fwos%2Fwoscc%2Ffull-record%2FWOS%3A001177597200001" TargetMode="External" Type="http://schemas.openxmlformats.org/officeDocument/2006/relationships/hyperlink"/><Relationship Id="rId779" Target="http%3A%2F%2Fdx.doi.org%2F10.1007%2Fs10278-025-01585-5" TargetMode="External" Type="http://schemas.openxmlformats.org/officeDocument/2006/relationships/hyperlink"/><Relationship Id="rId78" Target="https%3A%2F%2Fwww.webofscience.com%2Fwos%2Fwoscc%2Ffull-record%2FWOS%3A001247542400002" TargetMode="External" Type="http://schemas.openxmlformats.org/officeDocument/2006/relationships/hyperlink"/><Relationship Id="rId780" Target="https%3A%2F%2Fwww.webofscience.com%2Fwos%2Fwoscc%2Ffull-record%2FWOS%3A001522747600001" TargetMode="External" Type="http://schemas.openxmlformats.org/officeDocument/2006/relationships/hyperlink"/><Relationship Id="rId781" Target="http%3A%2F%2Fdx.doi.org%2F10.1148%2Fradiol.241629" TargetMode="External" Type="http://schemas.openxmlformats.org/officeDocument/2006/relationships/hyperlink"/><Relationship Id="rId782" Target="https%3A%2F%2Fwww.webofscience.com%2Fwos%2Fwoscc%2Ffull-record%2FWOS%3A001532656500007" TargetMode="External" Type="http://schemas.openxmlformats.org/officeDocument/2006/relationships/hyperlink"/><Relationship Id="rId783" Target="http%3A%2F%2Fdx.doi.org%2F10.1038%2Fs41598-026-47879-8" TargetMode="External" Type="http://schemas.openxmlformats.org/officeDocument/2006/relationships/hyperlink"/><Relationship Id="rId784" Target="https%3A%2F%2Fwww.webofscience.com%2Fwos%2Fwoscc%2Ffull-record%2FWOS%3A001771023800015" TargetMode="External" Type="http://schemas.openxmlformats.org/officeDocument/2006/relationships/hyperlink"/><Relationship Id="rId785" Target="http%3A%2F%2Fdx.doi.org%2F10.12989%2Fanr.2026.20.3.361" TargetMode="External" Type="http://schemas.openxmlformats.org/officeDocument/2006/relationships/hyperlink"/><Relationship Id="rId786" Target="https%3A%2F%2Fwww.webofscience.com%2Fwos%2Fwoscc%2Ffull-record%2FWOS%3A001733577200004" TargetMode="External" Type="http://schemas.openxmlformats.org/officeDocument/2006/relationships/hyperlink"/><Relationship Id="rId787" Target="http%3A%2F%2Fdx.doi.org%2F10.1038%2Fs43856-024-00726-1" TargetMode="External" Type="http://schemas.openxmlformats.org/officeDocument/2006/relationships/hyperlink"/><Relationship Id="rId788" Target="https%3A%2F%2Fwww.webofscience.com%2Fwos%2Fwoscc%2Ffull-record%2FWOS%3A001389169600001" TargetMode="External" Type="http://schemas.openxmlformats.org/officeDocument/2006/relationships/hyperlink"/><Relationship Id="rId789" Target="http%3A%2F%2Fdx.doi.org%2F10.1038%2Fs41746-024-01428-7" TargetMode="External" Type="http://schemas.openxmlformats.org/officeDocument/2006/relationships/hyperlink"/><Relationship Id="rId79" Target="http%3A%2F%2Fdx.doi.org%2F10.3390%2Fa18110708" TargetMode="External" Type="http://schemas.openxmlformats.org/officeDocument/2006/relationships/hyperlink"/><Relationship Id="rId790" Target="https%3A%2F%2Fwww.webofscience.com%2Fwos%2Fwoscc%2Ffull-record%2FWOS%3A001395645100001" TargetMode="External" Type="http://schemas.openxmlformats.org/officeDocument/2006/relationships/hyperlink"/><Relationship Id="rId791" Target="http%3A%2F%2Fdx.doi.org%2F10.1109%2FACCESS.2024.3375763" TargetMode="External" Type="http://schemas.openxmlformats.org/officeDocument/2006/relationships/hyperlink"/><Relationship Id="rId792" Target="https%3A%2F%2Fwww.webofscience.com%2Fwos%2Fwoscc%2Ffull-record%2FWOS%3A001189744100001" TargetMode="External" Type="http://schemas.openxmlformats.org/officeDocument/2006/relationships/hyperlink"/><Relationship Id="rId793" Target="http%3A%2F%2Fdx.doi.org%2F10.1016%2Fj.imavis.2026.105956" TargetMode="External" Type="http://schemas.openxmlformats.org/officeDocument/2006/relationships/hyperlink"/><Relationship Id="rId794" Target="https%3A%2F%2Fwww.webofscience.com%2Fwos%2Fwoscc%2Ffull-record%2FWOS%3A001716670400001" TargetMode="External" Type="http://schemas.openxmlformats.org/officeDocument/2006/relationships/hyperlink"/><Relationship Id="rId795" Target="http%3A%2F%2Fdx.doi.org%2F10.1109%2FACCESS.2026.3659151" TargetMode="External" Type="http://schemas.openxmlformats.org/officeDocument/2006/relationships/hyperlink"/><Relationship Id="rId796" Target="https%3A%2F%2Fwww.webofscience.com%2Fwos%2Fwoscc%2Ffull-record%2FWOS%3A001687453200005" TargetMode="External" Type="http://schemas.openxmlformats.org/officeDocument/2006/relationships/hyperlink"/><Relationship Id="rId797" Target="http%3A%2F%2Fdx.doi.org%2F10.1016%2Fj.nepr.2026.104737" TargetMode="External" Type="http://schemas.openxmlformats.org/officeDocument/2006/relationships/hyperlink"/><Relationship Id="rId798" Target="https%3A%2F%2Fwww.webofscience.com%2Fwos%2Fwoscc%2Ffull-record%2FWOS%3A001677734300001" TargetMode="External" Type="http://schemas.openxmlformats.org/officeDocument/2006/relationships/hyperlink"/><Relationship Id="rId799" Target="http%3A%2F%2Fdx.doi.org%2F10.32604%2Fcmc.2024.050913" TargetMode="External" Type="http://schemas.openxmlformats.org/officeDocument/2006/relationships/hyperlink"/><Relationship Id="rId8" Target="https%3A%2F%2Fwww.webofscience.com%2Fwos%2Fwoscc%2Ffull-record%2FWOS%3A000812587000001" TargetMode="External" Type="http://schemas.openxmlformats.org/officeDocument/2006/relationships/hyperlink"/><Relationship Id="rId80" Target="https%3A%2F%2Fwww.webofscience.com%2Fwos%2Fwoscc%2Ffull-record%2FWOS%3A001623363600001" TargetMode="External" Type="http://schemas.openxmlformats.org/officeDocument/2006/relationships/hyperlink"/><Relationship Id="rId800" Target="https%3A%2F%2Fwww.webofscience.com%2Fwos%2Fwoscc%2Ffull-record%2FWOS%3A001290839400012" TargetMode="External" Type="http://schemas.openxmlformats.org/officeDocument/2006/relationships/hyperlink"/><Relationship Id="rId801" Target="http%3A%2F%2Fdx.doi.org%2F10.1109%2FACCESS.2023.3328331" TargetMode="External" Type="http://schemas.openxmlformats.org/officeDocument/2006/relationships/hyperlink"/><Relationship Id="rId802" Target="https%3A%2F%2Fwww.webofscience.com%2Fwos%2Fwoscc%2Ffull-record%2FWOS%3A001105538000001" TargetMode="External" Type="http://schemas.openxmlformats.org/officeDocument/2006/relationships/hyperlink"/><Relationship Id="rId803" Target="http%3A%2F%2Fdx.doi.org%2F10.1080%2F10589759.2026.2644404" TargetMode="External" Type="http://schemas.openxmlformats.org/officeDocument/2006/relationships/hyperlink"/><Relationship Id="rId804" Target="https%3A%2F%2Fwww.webofscience.com%2Fwos%2Fwoscc%2Ffull-record%2FWOS%3A001719817700001" TargetMode="External" Type="http://schemas.openxmlformats.org/officeDocument/2006/relationships/hyperlink"/><Relationship Id="rId805" Target="http%3A%2F%2Fdx.doi.org%2F10.3390%2Fmath13233805" TargetMode="External" Type="http://schemas.openxmlformats.org/officeDocument/2006/relationships/hyperlink"/><Relationship Id="rId806" Target="https%3A%2F%2Fwww.webofscience.com%2Fwos%2Fwoscc%2Ffull-record%2FWOS%3A001635035600001" TargetMode="External" Type="http://schemas.openxmlformats.org/officeDocument/2006/relationships/hyperlink"/><Relationship Id="rId807" Target="http%3A%2F%2Fdx.doi.org%2F10.3390%2Fbioengineering12060558" TargetMode="External" Type="http://schemas.openxmlformats.org/officeDocument/2006/relationships/hyperlink"/><Relationship Id="rId808" Target="https%3A%2F%2Fwww.webofscience.com%2Fwos%2Fwoscc%2Ffull-record%2FWOS%3A001517630200001" TargetMode="External" Type="http://schemas.openxmlformats.org/officeDocument/2006/relationships/hyperlink"/><Relationship Id="rId809" Target="http%3A%2F%2Fdx.doi.org%2F10.3390%2Fbiomedicines14061304" TargetMode="External" Type="http://schemas.openxmlformats.org/officeDocument/2006/relationships/hyperlink"/><Relationship Id="rId81" Target="http%3A%2F%2Fdx.doi.org%2F10.3390%2Fbioengineering12111174" TargetMode="External" Type="http://schemas.openxmlformats.org/officeDocument/2006/relationships/hyperlink"/><Relationship Id="rId810" Target="https%3A%2F%2Fwww.webofscience.com%2Fwos%2Fwoscc%2Ffull-record%2FWOS%3A001802717400001" TargetMode="External" Type="http://schemas.openxmlformats.org/officeDocument/2006/relationships/hyperlink"/><Relationship Id="rId811" Target="http%3A%2F%2Fdx.doi.org%2F10.3390%2Fmetabo15110716" TargetMode="External" Type="http://schemas.openxmlformats.org/officeDocument/2006/relationships/hyperlink"/><Relationship Id="rId812" Target="https%3A%2F%2Fwww.webofscience.com%2Fwos%2Fwoscc%2Ffull-record%2FWOS%3A001624176700001" TargetMode="External" Type="http://schemas.openxmlformats.org/officeDocument/2006/relationships/hyperlink"/><Relationship Id="rId813" Target="http%3A%2F%2Fdx.doi.org%2F10.1016%2Fj.ijnurstu.2026.105386" TargetMode="External" Type="http://schemas.openxmlformats.org/officeDocument/2006/relationships/hyperlink"/><Relationship Id="rId814" Target="https%3A%2F%2Fwww.webofscience.com%2Fwos%2Fwoscc%2Ffull-record%2FWOS%3A001707620800001" TargetMode="External" Type="http://schemas.openxmlformats.org/officeDocument/2006/relationships/hyperlink"/><Relationship Id="rId815" Target="http%3A%2F%2Fdx.doi.org%2F10.3390%2Fcancers17213454" TargetMode="External" Type="http://schemas.openxmlformats.org/officeDocument/2006/relationships/hyperlink"/><Relationship Id="rId816" Target="https%3A%2F%2Fwww.webofscience.com%2Fwos%2Fwoscc%2Ffull-record%2FWOS%3A001614915000001" TargetMode="External" Type="http://schemas.openxmlformats.org/officeDocument/2006/relationships/hyperlink"/><Relationship Id="rId817" Target="http%3A%2F%2Fdx.doi.org%2F10.1016%2Fj.knosys.2023.110866" TargetMode="External" Type="http://schemas.openxmlformats.org/officeDocument/2006/relationships/hyperlink"/><Relationship Id="rId818" Target="https%3A%2F%2Fwww.webofscience.com%2Fwos%2Fwoscc%2Ffull-record%2FWOS%3A001065670900001" TargetMode="External" Type="http://schemas.openxmlformats.org/officeDocument/2006/relationships/hyperlink"/><Relationship Id="rId819" Target="http%3A%2F%2Fdx.doi.org%2F10.1093%2Fbib%2Fbbaf455" TargetMode="External" Type="http://schemas.openxmlformats.org/officeDocument/2006/relationships/hyperlink"/><Relationship Id="rId82" Target="https%3A%2F%2Fwww.webofscience.com%2Fwos%2Fwoscc%2Ffull-record%2FWOS%3A001625737400001" TargetMode="External" Type="http://schemas.openxmlformats.org/officeDocument/2006/relationships/hyperlink"/><Relationship Id="rId820" Target="https%3A%2F%2Fwww.webofscience.com%2Fwos%2Fwoscc%2Ffull-record%2FWOS%3A001565630700001" TargetMode="External" Type="http://schemas.openxmlformats.org/officeDocument/2006/relationships/hyperlink"/><Relationship Id="rId821" Target="http%3A%2F%2Fdx.doi.org%2F10.1038%2Fs41598-026-55415-x" TargetMode="External" Type="http://schemas.openxmlformats.org/officeDocument/2006/relationships/hyperlink"/><Relationship Id="rId822" Target="https%3A%2F%2Fwww.webofscience.com%2Fwos%2Fwoscc%2Ffull-record%2FWOS%3A001844163900005" TargetMode="External" Type="http://schemas.openxmlformats.org/officeDocument/2006/relationships/hyperlink"/><Relationship Id="rId823" Target="http%3A%2F%2Fdx.doi.org%2F10.1016%2Fj.isci.2026.115134" TargetMode="External" Type="http://schemas.openxmlformats.org/officeDocument/2006/relationships/hyperlink"/><Relationship Id="rId824" Target="https%3A%2F%2Fwww.webofscience.com%2Fwos%2Fwoscc%2Ffull-record%2FWOS%3A001715817500001" TargetMode="External" Type="http://schemas.openxmlformats.org/officeDocument/2006/relationships/hyperlink"/><Relationship Id="rId825" Target="http%3A%2F%2Fdx.doi.org%2F10.1007%2Fs10586-026-06334-z" TargetMode="External" Type="http://schemas.openxmlformats.org/officeDocument/2006/relationships/hyperlink"/><Relationship Id="rId826" Target="https%3A%2F%2Fwww.webofscience.com%2Fwos%2Fwoscc%2Ffull-record%2FWOS%3A001826886300002" TargetMode="External" Type="http://schemas.openxmlformats.org/officeDocument/2006/relationships/hyperlink"/><Relationship Id="rId827" Target="http%3A%2F%2Fdx.doi.org%2F10.1186%2Fs12889-025-24953-w" TargetMode="External" Type="http://schemas.openxmlformats.org/officeDocument/2006/relationships/hyperlink"/><Relationship Id="rId828" Target="https%3A%2F%2Fwww.webofscience.com%2Fwos%2Fwoscc%2Ffull-record%2FWOS%3A001606922700037" TargetMode="External" Type="http://schemas.openxmlformats.org/officeDocument/2006/relationships/hyperlink"/><Relationship Id="rId829" Target="http%3A%2F%2Fdx.doi.org%2F10.1109%2FACCESS.2024.3368377" TargetMode="External" Type="http://schemas.openxmlformats.org/officeDocument/2006/relationships/hyperlink"/><Relationship Id="rId83" Target="http%3A%2F%2Fdx.doi.org%2F10.7717%2Fpeerj-cs.3479" TargetMode="External" Type="http://schemas.openxmlformats.org/officeDocument/2006/relationships/hyperlink"/><Relationship Id="rId830" Target="https%3A%2F%2Fwww.webofscience.com%2Fwos%2Fwoscc%2Ffull-record%2FWOS%3A001176000600001" TargetMode="External" Type="http://schemas.openxmlformats.org/officeDocument/2006/relationships/hyperlink"/><Relationship Id="rId831" Target="http%3A%2F%2Fdx.doi.org%2F10.1016%2Fj.techfore.2026.124645" TargetMode="External" Type="http://schemas.openxmlformats.org/officeDocument/2006/relationships/hyperlink"/><Relationship Id="rId832" Target="https%3A%2F%2Fwww.webofscience.com%2Fwos%2Fwoscc%2Ffull-record%2FWOS%3A001729660500001" TargetMode="External" Type="http://schemas.openxmlformats.org/officeDocument/2006/relationships/hyperlink"/><Relationship Id="rId833" Target="http%3A%2F%2Fdx.doi.org%2F10.1016%2Fj.talanta.2024.126652" TargetMode="External" Type="http://schemas.openxmlformats.org/officeDocument/2006/relationships/hyperlink"/><Relationship Id="rId834" Target="https%3A%2F%2Fwww.webofscience.com%2Fwos%2Fwoscc%2Ffull-record%2FWOS%3A001289301000001" TargetMode="External" Type="http://schemas.openxmlformats.org/officeDocument/2006/relationships/hyperlink"/><Relationship Id="rId835" Target="http%3A%2F%2Fdx.doi.org%2F10.17576%2Fjkukm-2024-36%284%29-34" TargetMode="External" Type="http://schemas.openxmlformats.org/officeDocument/2006/relationships/hyperlink"/><Relationship Id="rId836" Target="https%3A%2F%2Fwww.webofscience.com%2Fwos%2Fwoscc%2Ffull-record%2FWOS%3A001295529700038" TargetMode="External" Type="http://schemas.openxmlformats.org/officeDocument/2006/relationships/hyperlink"/><Relationship Id="rId837" Target="http%3A%2F%2Fdx.doi.org%2F10.1016%2Fj.clsr.2026.106340" TargetMode="External" Type="http://schemas.openxmlformats.org/officeDocument/2006/relationships/hyperlink"/><Relationship Id="rId838" Target="https%3A%2F%2Fwww.webofscience.com%2Fwos%2Fwoscc%2Ffull-record%2FWOS%3A001766459600001" TargetMode="External" Type="http://schemas.openxmlformats.org/officeDocument/2006/relationships/hyperlink"/><Relationship Id="rId839" Target="http%3A%2F%2Fdx.doi.org%2F10.1371%2Fjournal.pone.0330944" TargetMode="External" Type="http://schemas.openxmlformats.org/officeDocument/2006/relationships/hyperlink"/><Relationship Id="rId84" Target="https%3A%2F%2Fwww.webofscience.com%2Fwos%2Fwoscc%2Ffull-record%2FWOS%3A001708098300001" TargetMode="External" Type="http://schemas.openxmlformats.org/officeDocument/2006/relationships/hyperlink"/><Relationship Id="rId840" Target="https%3A%2F%2Fwww.webofscience.com%2Fwos%2Fwoscc%2Ffull-record%2FWOS%3A001572957000011" TargetMode="External" Type="http://schemas.openxmlformats.org/officeDocument/2006/relationships/hyperlink"/><Relationship Id="rId841" Target="http%3A%2F%2Fdx.doi.org%2F10.1136%2Fbmjhci-2025-101640" TargetMode="External" Type="http://schemas.openxmlformats.org/officeDocument/2006/relationships/hyperlink"/><Relationship Id="rId842" Target="https%3A%2F%2Fwww.webofscience.com%2Fwos%2Fwoscc%2Ffull-record%2FWOS%3A001596278700001" TargetMode="External" Type="http://schemas.openxmlformats.org/officeDocument/2006/relationships/hyperlink"/><Relationship Id="rId843" Target="http%3A%2F%2Fdx.doi.org%2F10.1016%2Fj.heliyon.2025.e41871" TargetMode="External" Type="http://schemas.openxmlformats.org/officeDocument/2006/relationships/hyperlink"/><Relationship Id="rId844" Target="https%3A%2F%2Fwww.webofscience.com%2Fwos%2Fwoscc%2Ffull-record%2FWOS%3A001773815500001" TargetMode="External" Type="http://schemas.openxmlformats.org/officeDocument/2006/relationships/hyperlink"/><Relationship Id="rId845" Target="http%3A%2F%2Fdx.doi.org%2F10.1109%2FACCESS.2026.3706255" TargetMode="External" Type="http://schemas.openxmlformats.org/officeDocument/2006/relationships/hyperlink"/><Relationship Id="rId846" Target="https%3A%2F%2Fwww.webofscience.com%2Fwos%2Fwoscc%2Ffull-record%2FWOS%3A001821036400017" TargetMode="External" Type="http://schemas.openxmlformats.org/officeDocument/2006/relationships/hyperlink"/><Relationship Id="rId847" Target="http%3A%2F%2Fdx.doi.org%2F10.5755%2Fj02.eie.36316" TargetMode="External" Type="http://schemas.openxmlformats.org/officeDocument/2006/relationships/hyperlink"/><Relationship Id="rId848" Target="https%3A%2F%2Fwww.webofscience.com%2Fwos%2Fwoscc%2Ffull-record%2FWOS%3A001286429100007" TargetMode="External" Type="http://schemas.openxmlformats.org/officeDocument/2006/relationships/hyperlink"/><Relationship Id="rId849" Target="http%3A%2F%2Fdx.doi.org%2F10.2196%2F83903" TargetMode="External" Type="http://schemas.openxmlformats.org/officeDocument/2006/relationships/hyperlink"/><Relationship Id="rId85" Target="http%3A%2F%2Fdx.doi.org%2F10.5585%2F2026.31451" TargetMode="External" Type="http://schemas.openxmlformats.org/officeDocument/2006/relationships/hyperlink"/><Relationship Id="rId850" Target="https%3A%2F%2Fwww.webofscience.com%2Fwos%2Fwoscc%2Ffull-record%2FWOS%3A001712668000003" TargetMode="External" Type="http://schemas.openxmlformats.org/officeDocument/2006/relationships/hyperlink"/><Relationship Id="rId851" Target="http%3A%2F%2Fdx.doi.org%2F10.1186%2Fs41747-024-00442-4" TargetMode="External" Type="http://schemas.openxmlformats.org/officeDocument/2006/relationships/hyperlink"/><Relationship Id="rId852" Target="https%3A%2F%2Fwww.webofscience.com%2Fwos%2Fwoscc%2Ffull-record%2FWOS%3A001198636600001" TargetMode="External" Type="http://schemas.openxmlformats.org/officeDocument/2006/relationships/hyperlink"/><Relationship Id="rId853" Target="http%3A%2F%2Fdx.doi.org%2F10.1017%2FS1351324923000463" TargetMode="External" Type="http://schemas.openxmlformats.org/officeDocument/2006/relationships/hyperlink"/><Relationship Id="rId854" Target="https%3A%2F%2Fwww.webofscience.com%2Fwos%2Fwoscc%2Ffull-record%2FWOS%3A001062434100008" TargetMode="External" Type="http://schemas.openxmlformats.org/officeDocument/2006/relationships/hyperlink"/><Relationship Id="rId855" Target="http%3A%2F%2Fdx.doi.org%2F10.3390%2Fjcm15114287" TargetMode="External" Type="http://schemas.openxmlformats.org/officeDocument/2006/relationships/hyperlink"/><Relationship Id="rId856" Target="https%3A%2F%2Fwww.webofscience.com%2Fwos%2Fwoscc%2Ffull-record%2FWOS%3A001790056200001" TargetMode="External" Type="http://schemas.openxmlformats.org/officeDocument/2006/relationships/hyperlink"/><Relationship Id="rId857" Target="http%3A%2F%2Fdx.doi.org%2F10.1177%2F20552076251404523" TargetMode="External" Type="http://schemas.openxmlformats.org/officeDocument/2006/relationships/hyperlink"/><Relationship Id="rId858" Target="https%3A%2F%2Fwww.webofscience.com%2Fwos%2Fwoscc%2Ffull-record%2FWOS%3A001634829400001" TargetMode="External" Type="http://schemas.openxmlformats.org/officeDocument/2006/relationships/hyperlink"/><Relationship Id="rId859" Target="http%3A%2F%2Fdx.doi.org%2F10.1038%2Fs44184-024-00057-y" TargetMode="External" Type="http://schemas.openxmlformats.org/officeDocument/2006/relationships/hyperlink"/><Relationship Id="rId86" Target="https%3A%2F%2Fwww.webofscience.com%2Fwos%2Fwoscc%2Ffull-record%2FWOS%3A001810270500001" TargetMode="External" Type="http://schemas.openxmlformats.org/officeDocument/2006/relationships/hyperlink"/><Relationship Id="rId860" Target="https%3A%2F%2Fwww.webofscience.com%2Fwos%2Fwoscc%2Ffull-record%2FWOS%3A001592603500001" TargetMode="External" Type="http://schemas.openxmlformats.org/officeDocument/2006/relationships/hyperlink"/><Relationship Id="rId861" Target="http%3A%2F%2Fdx.doi.org%2F10.1007%2Fs11760-025-03984-1" TargetMode="External" Type="http://schemas.openxmlformats.org/officeDocument/2006/relationships/hyperlink"/><Relationship Id="rId862" Target="https%3A%2F%2Fwww.webofscience.com%2Fwos%2Fwoscc%2Ffull-record%2FWOS%3A001441305500001" TargetMode="External" Type="http://schemas.openxmlformats.org/officeDocument/2006/relationships/hyperlink"/><Relationship Id="rId863" Target="http%3A%2F%2Fdx.doi.org%2F10.1007%2Fs10278-024-01188-6" TargetMode="External" Type="http://schemas.openxmlformats.org/officeDocument/2006/relationships/hyperlink"/><Relationship Id="rId864" Target="https%3A%2F%2Fwww.webofscience.com%2Fwos%2Fwoscc%2Ffull-record%2FWOS%3A001268929600002" TargetMode="External" Type="http://schemas.openxmlformats.org/officeDocument/2006/relationships/hyperlink"/><Relationship Id="rId865" Target="http%3A%2F%2Fdx.doi.org%2F10.1038%2Fs41598-026-53058-6" TargetMode="External" Type="http://schemas.openxmlformats.org/officeDocument/2006/relationships/hyperlink"/><Relationship Id="rId866" Target="https%3A%2F%2Fwww.webofscience.com%2Fwos%2Fwoscc%2Ffull-record%2FWOS%3A001843802500017" TargetMode="External" Type="http://schemas.openxmlformats.org/officeDocument/2006/relationships/hyperlink"/><Relationship Id="rId867" Target="http%3A%2F%2Fdx.doi.org%2F10.1109%2FJBHI.2023.3348334" TargetMode="External" Type="http://schemas.openxmlformats.org/officeDocument/2006/relationships/hyperlink"/><Relationship Id="rId868" Target="https%3A%2F%2Fwww.webofscience.com%2Fwos%2Fwoscc%2Ffull-record%2FWOS%3A001221547700007" TargetMode="External" Type="http://schemas.openxmlformats.org/officeDocument/2006/relationships/hyperlink"/><Relationship Id="rId869" Target="http%3A%2F%2Fdx.doi.org%2F10.1007%2Fs42001-024-00248-9" TargetMode="External" Type="http://schemas.openxmlformats.org/officeDocument/2006/relationships/hyperlink"/><Relationship Id="rId87" Target="http%3A%2F%2Fdx.doi.org%2F10.1109%2FACCESS.2025.3588190" TargetMode="External" Type="http://schemas.openxmlformats.org/officeDocument/2006/relationships/hyperlink"/><Relationship Id="rId870" Target="https%3A%2F%2Fwww.webofscience.com%2Fwos%2Fwoscc%2Ffull-record%2FWOS%3A001184062000001" TargetMode="External" Type="http://schemas.openxmlformats.org/officeDocument/2006/relationships/hyperlink"/><Relationship Id="rId871" Target="http%3A%2F%2Fdx.doi.org%2F10.1016%2Fj.pdpdt.2025.104668" TargetMode="External" Type="http://schemas.openxmlformats.org/officeDocument/2006/relationships/hyperlink"/><Relationship Id="rId872" Target="https%3A%2F%2Fwww.webofscience.com%2Fwos%2Fwoscc%2Ffull-record%2FWOS%3A001521491300007" TargetMode="External" Type="http://schemas.openxmlformats.org/officeDocument/2006/relationships/hyperlink"/><Relationship Id="rId873" Target="http%3A%2F%2Fdx.doi.org%2F10.3390%2Ftechnologies13080361" TargetMode="External" Type="http://schemas.openxmlformats.org/officeDocument/2006/relationships/hyperlink"/><Relationship Id="rId874" Target="https%3A%2F%2Fwww.webofscience.com%2Fwos%2Fwoscc%2Ffull-record%2FWOS%3A001557388600001" TargetMode="External" Type="http://schemas.openxmlformats.org/officeDocument/2006/relationships/hyperlink"/><Relationship Id="rId875" Target="http%3A%2F%2Fdx.doi.org%2F10.3390%2Felectronics14183738" TargetMode="External" Type="http://schemas.openxmlformats.org/officeDocument/2006/relationships/hyperlink"/><Relationship Id="rId876" Target="https%3A%2F%2Fwww.webofscience.com%2Fwos%2Fwoscc%2Ffull-record%2FWOS%3A001579783100001" TargetMode="External" Type="http://schemas.openxmlformats.org/officeDocument/2006/relationships/hyperlink"/><Relationship Id="rId877" Target="http%3A%2F%2Fdx.doi.org%2F10.3390%2Fapp152111689" TargetMode="External" Type="http://schemas.openxmlformats.org/officeDocument/2006/relationships/hyperlink"/><Relationship Id="rId878" Target="https%3A%2F%2Fwww.webofscience.com%2Fwos%2Fwoscc%2Ffull-record%2FWOS%3A001612492500001" TargetMode="External" Type="http://schemas.openxmlformats.org/officeDocument/2006/relationships/hyperlink"/><Relationship Id="rId879" Target="http%3A%2F%2Fdx.doi.org%2F10.1177%2F10519815261456685" TargetMode="External" Type="http://schemas.openxmlformats.org/officeDocument/2006/relationships/hyperlink"/><Relationship Id="rId88" Target="https%3A%2F%2Fwww.webofscience.com%2Fwos%2Fwoscc%2Ffull-record%2FWOS%3A001552001300026" TargetMode="External" Type="http://schemas.openxmlformats.org/officeDocument/2006/relationships/hyperlink"/><Relationship Id="rId880" Target="https%3A%2F%2Fwww.webofscience.com%2Fwos%2Fwoscc%2Ffull-record%2FWOS%3A001787510300001" TargetMode="External" Type="http://schemas.openxmlformats.org/officeDocument/2006/relationships/hyperlink"/><Relationship Id="rId881" Target="http%3A%2F%2Fdx.doi.org%2F10.1016%2Fj.bspc.2026.111198" TargetMode="External" Type="http://schemas.openxmlformats.org/officeDocument/2006/relationships/hyperlink"/><Relationship Id="rId882" Target="https%3A%2F%2Fwww.webofscience.com%2Fwos%2Fwoscc%2Ffull-record%2FWOS%3A001840937400001" TargetMode="External" Type="http://schemas.openxmlformats.org/officeDocument/2006/relationships/hyperlink"/><Relationship Id="rId883" Target="http%3A%2F%2Fdx.doi.org%2F10.1109%2FACCESS.2024.3471832" TargetMode="External" Type="http://schemas.openxmlformats.org/officeDocument/2006/relationships/hyperlink"/><Relationship Id="rId884" Target="https%3A%2F%2Fwww.webofscience.com%2Fwos%2Fwoscc%2Ffull-record%2FWOS%3A001336039700001" TargetMode="External" Type="http://schemas.openxmlformats.org/officeDocument/2006/relationships/hyperlink"/><Relationship Id="rId885" Target="http%3A%2F%2Fdx.doi.org%2F10.3390%2Fs26051454" TargetMode="External" Type="http://schemas.openxmlformats.org/officeDocument/2006/relationships/hyperlink"/><Relationship Id="rId886" Target="https%3A%2F%2Fwww.webofscience.com%2Fwos%2Fwoscc%2Ffull-record%2FWOS%3A001713880000001" TargetMode="External" Type="http://schemas.openxmlformats.org/officeDocument/2006/relationships/hyperlink"/><Relationship Id="rId887" Target="http%3A%2F%2Fdx.doi.org%2F10.1007%2Fs10278-026-02141-5" TargetMode="External" Type="http://schemas.openxmlformats.org/officeDocument/2006/relationships/hyperlink"/><Relationship Id="rId888" Target="https%3A%2F%2Fwww.webofscience.com%2Fwos%2Fwoscc%2Ffull-record%2FWOS%3A001835965500001" TargetMode="External" Type="http://schemas.openxmlformats.org/officeDocument/2006/relationships/hyperlink"/><Relationship Id="rId889" Target="http%3A%2F%2Fdx.doi.org%2F10.2196%2F87830" TargetMode="External" Type="http://schemas.openxmlformats.org/officeDocument/2006/relationships/hyperlink"/><Relationship Id="rId89" Target="http%3A%2F%2Fdx.doi.org%2F10.1371%2Fjournal.pone.0341067" TargetMode="External" Type="http://schemas.openxmlformats.org/officeDocument/2006/relationships/hyperlink"/><Relationship Id="rId890" Target="https%3A%2F%2Fwww.webofscience.com%2Fwos%2Fwoscc%2Ffull-record%2FWOS%3A001720528400030" TargetMode="External" Type="http://schemas.openxmlformats.org/officeDocument/2006/relationships/hyperlink"/><Relationship Id="rId891" Target="http%3A%2F%2Fdx.doi.org%2F10.3390%2Fbiology14060719" TargetMode="External" Type="http://schemas.openxmlformats.org/officeDocument/2006/relationships/hyperlink"/><Relationship Id="rId892" Target="https%3A%2F%2Fwww.webofscience.com%2Fwos%2Fwoscc%2Ffull-record%2FWOS%3A001516100700001" TargetMode="External" Type="http://schemas.openxmlformats.org/officeDocument/2006/relationships/hyperlink"/><Relationship Id="rId893" Target="http%3A%2F%2Fdx.doi.org%2F10.3390%2Fappliedmath5040171" TargetMode="External" Type="http://schemas.openxmlformats.org/officeDocument/2006/relationships/hyperlink"/><Relationship Id="rId894" Target="https%3A%2F%2Fwww.webofscience.com%2Fwos%2Fwoscc%2Ffull-record%2FWOS%3A001645974500001" TargetMode="External" Type="http://schemas.openxmlformats.org/officeDocument/2006/relationships/hyperlink"/><Relationship Id="rId895" Target="http%3A%2F%2Fdx.doi.org%2F10.3390%2Fdiabetology6060051" TargetMode="External" Type="http://schemas.openxmlformats.org/officeDocument/2006/relationships/hyperlink"/><Relationship Id="rId896" Target="https%3A%2F%2Fwww.webofscience.com%2Fwos%2Fwoscc%2Ffull-record%2FWOS%3A001515635300001" TargetMode="External" Type="http://schemas.openxmlformats.org/officeDocument/2006/relationships/hyperlink"/><Relationship Id="rId897" Target="https%3A%2F%2Fwww.webofscience.com%2Fwos%2Fwoscc%2Ffull-record%2FWOS%3A001591617300001" TargetMode="External" Type="http://schemas.openxmlformats.org/officeDocument/2006/relationships/hyperlink"/><Relationship Id="rId898" Target="http%3A%2F%2Fdx.doi.org%2F10.3389%2Ffdgth.2025.1621271" TargetMode="External" Type="http://schemas.openxmlformats.org/officeDocument/2006/relationships/hyperlink"/><Relationship Id="rId899" Target="https%3A%2F%2Fwww.webofscience.com%2Fwos%2Fwoscc%2Ffull-record%2FWOS%3A001701945900001" TargetMode="External" Type="http://schemas.openxmlformats.org/officeDocument/2006/relationships/hyperlink"/><Relationship Id="rId9" Target="http%3A%2F%2Fdx.doi.org%2F10.1016%2Fj.patter.2023.100830" TargetMode="External" Type="http://schemas.openxmlformats.org/officeDocument/2006/relationships/hyperlink"/><Relationship Id="rId90" Target="https%3A%2F%2Fwww.webofscience.com%2Fwos%2Fwoscc%2Ffull-record%2FWOS%3A001707431700016" TargetMode="External" Type="http://schemas.openxmlformats.org/officeDocument/2006/relationships/hyperlink"/><Relationship Id="rId900" Target="http%3A%2F%2Fdx.doi.org%2F10.1016%2Fj.bspc.2026.110339" TargetMode="External" Type="http://schemas.openxmlformats.org/officeDocument/2006/relationships/hyperlink"/><Relationship Id="rId901" Target="https%3A%2F%2Fwww.webofscience.com%2Fwos%2Fwoscc%2Ffull-record%2FWOS%3A001755221400001" TargetMode="External" Type="http://schemas.openxmlformats.org/officeDocument/2006/relationships/hyperlink"/><Relationship Id="rId902" Target="http%3A%2F%2Fdx.doi.org%2F10.1142%2FS0218213026400087" TargetMode="External" Type="http://schemas.openxmlformats.org/officeDocument/2006/relationships/hyperlink"/><Relationship Id="rId903" Target="https%3A%2F%2Fwww.webofscience.com%2Fwos%2Fwoscc%2Ffull-record%2FWOS%3A001743596200001" TargetMode="External" Type="http://schemas.openxmlformats.org/officeDocument/2006/relationships/hyperlink"/><Relationship Id="rId904" Target="http%3A%2F%2Fdx.doi.org%2F10.1109%2FACCESS.2026.3660305" TargetMode="External" Type="http://schemas.openxmlformats.org/officeDocument/2006/relationships/hyperlink"/><Relationship Id="rId905" Target="https%3A%2F%2Fwww.webofscience.com%2Fwos%2Fwoscc%2Ffull-record%2FWOS%3A001694521500026" TargetMode="External" Type="http://schemas.openxmlformats.org/officeDocument/2006/relationships/hyperlink"/><Relationship Id="rId906" Target="http%3A%2F%2Fdx.doi.org%2F10.1109%2FACCESS.2025.3588683" TargetMode="External" Type="http://schemas.openxmlformats.org/officeDocument/2006/relationships/hyperlink"/><Relationship Id="rId907" Target="https%3A%2F%2Fwww.webofscience.com%2Fwos%2Fwoscc%2Ffull-record%2FWOS%3A001549816000008" TargetMode="External" Type="http://schemas.openxmlformats.org/officeDocument/2006/relationships/hyperlink"/><Relationship Id="rId908" Target="http%3A%2F%2Fdx.doi.org%2F10.1007%2Fs00371-026-04558-z" TargetMode="External" Type="http://schemas.openxmlformats.org/officeDocument/2006/relationships/hyperlink"/><Relationship Id="rId909" Target="https%3A%2F%2Fwww.webofscience.com%2Fwos%2Fwoscc%2Ffull-record%2FWOS%3A001805813700003" TargetMode="External" Type="http://schemas.openxmlformats.org/officeDocument/2006/relationships/hyperlink"/><Relationship Id="rId91" Target="http%3A%2F%2Fdx.doi.org%2F10.1016%2Fj.eswa.2026.131513" TargetMode="External" Type="http://schemas.openxmlformats.org/officeDocument/2006/relationships/hyperlink"/><Relationship Id="rId910" Target="http%3A%2F%2Fdx.doi.org%2F10.1016%2Fj.engappai.2026.115635" TargetMode="External" Type="http://schemas.openxmlformats.org/officeDocument/2006/relationships/hyperlink"/><Relationship Id="rId911" Target="https%3A%2F%2Fwww.webofscience.com%2Fwos%2Fwoscc%2Ffull-record%2FWOS%3A001828864400001" TargetMode="External" Type="http://schemas.openxmlformats.org/officeDocument/2006/relationships/hyperlink"/><Relationship Id="rId912" Target="http%3A%2F%2Fdx.doi.org%2F10.1016%2Fj.displa.2024.102874" TargetMode="External" Type="http://schemas.openxmlformats.org/officeDocument/2006/relationships/hyperlink"/><Relationship Id="rId913" Target="https%3A%2F%2Fwww.webofscience.com%2Fwos%2Fwoscc%2Ffull-record%2FWOS%3A001355500800001" TargetMode="External" Type="http://schemas.openxmlformats.org/officeDocument/2006/relationships/hyperlink"/><Relationship Id="rId914" Target="http%3A%2F%2Fdx.doi.org%2F10.1109%2FACCESS.2025.3535692" TargetMode="External" Type="http://schemas.openxmlformats.org/officeDocument/2006/relationships/hyperlink"/><Relationship Id="rId915" Target="https%3A%2F%2Fwww.webofscience.com%2Fwos%2Fwoscc%2Ffull-record%2FWOS%3A001420293500037" TargetMode="External" Type="http://schemas.openxmlformats.org/officeDocument/2006/relationships/hyperlink"/><Relationship Id="rId916" Target="http%3A%2F%2Fdx.doi.org%2F10.3389%2Ffonc.2026.1836325" TargetMode="External" Type="http://schemas.openxmlformats.org/officeDocument/2006/relationships/hyperlink"/><Relationship Id="rId917" Target="https%3A%2F%2Fwww.webofscience.com%2Fwos%2Fwoscc%2Ffull-record%2FWOS%3A001794192300001" TargetMode="External" Type="http://schemas.openxmlformats.org/officeDocument/2006/relationships/hyperlink"/><Relationship Id="rId918" Target="http%3A%2F%2Fdx.doi.org%2F10.1007%2Fs11282-025-00871-w" TargetMode="External" Type="http://schemas.openxmlformats.org/officeDocument/2006/relationships/hyperlink"/><Relationship Id="rId919" Target="https%3A%2F%2Fwww.webofscience.com%2Fwos%2Fwoscc%2Ffull-record%2FWOS%3A001595633700001" TargetMode="External" Type="http://schemas.openxmlformats.org/officeDocument/2006/relationships/hyperlink"/><Relationship Id="rId92" Target="https%3A%2F%2Fwww.webofscience.com%2Fwos%2Fwoscc%2Ffull-record%2FWOS%3A001705713200001" TargetMode="External" Type="http://schemas.openxmlformats.org/officeDocument/2006/relationships/hyperlink"/><Relationship Id="rId920" Target="http%3A%2F%2Fdx.doi.org%2F10.3390%2Fapp12178755" TargetMode="External" Type="http://schemas.openxmlformats.org/officeDocument/2006/relationships/hyperlink"/><Relationship Id="rId921" Target="https%3A%2F%2Fwww.webofscience.com%2Fwos%2Fwoscc%2Ffull-record%2FWOS%3A000850986400001" TargetMode="External" Type="http://schemas.openxmlformats.org/officeDocument/2006/relationships/hyperlink"/><Relationship Id="rId922" Target="http%3A%2F%2Fdx.doi.org%2F10.1016%2Fj.invent.2025.100844" TargetMode="External" Type="http://schemas.openxmlformats.org/officeDocument/2006/relationships/hyperlink"/><Relationship Id="rId923" Target="https%3A%2F%2Fwww.webofscience.com%2Fwos%2Fwoscc%2Ffull-record%2FWOS%3A001510137900001" TargetMode="External" Type="http://schemas.openxmlformats.org/officeDocument/2006/relationships/hyperlink"/><Relationship Id="rId924" Target="http%3A%2F%2Fdx.doi.org%2F10.2196%2F74187" TargetMode="External" Type="http://schemas.openxmlformats.org/officeDocument/2006/relationships/hyperlink"/><Relationship Id="rId925" Target="https%3A%2F%2Fwww.webofscience.com%2Fwos%2Fwoscc%2Ffull-record%2FWOS%3A001563910000001" TargetMode="External" Type="http://schemas.openxmlformats.org/officeDocument/2006/relationships/hyperlink"/><Relationship Id="rId926" Target="http%3A%2F%2Fdx.doi.org%2F10.3390%2Fijerph19169952" TargetMode="External" Type="http://schemas.openxmlformats.org/officeDocument/2006/relationships/hyperlink"/><Relationship Id="rId927" Target="https%3A%2F%2Fwww.webofscience.com%2Fwos%2Fwoscc%2Ffull-record%2FWOS%3A000846592300001" TargetMode="External" Type="http://schemas.openxmlformats.org/officeDocument/2006/relationships/hyperlink"/><Relationship Id="rId928" Target="http%3A%2F%2Fdx.doi.org%2F10.1038%2Fs41598-025-09236-z" TargetMode="External" Type="http://schemas.openxmlformats.org/officeDocument/2006/relationships/hyperlink"/><Relationship Id="rId929" Target="https%3A%2F%2Fwww.webofscience.com%2Fwos%2Fwoscc%2Ffull-record%2FWOS%3A001524953600009" TargetMode="External" Type="http://schemas.openxmlformats.org/officeDocument/2006/relationships/hyperlink"/><Relationship Id="rId93" Target="http%3A%2F%2Fdx.doi.org%2F10.3390%2Fcancers16101915" TargetMode="External" Type="http://schemas.openxmlformats.org/officeDocument/2006/relationships/hyperlink"/><Relationship Id="rId930" Target="http%3A%2F%2Fdx.doi.org%2F10.1016%2Fj.jnr.2025.08.012" TargetMode="External" Type="http://schemas.openxmlformats.org/officeDocument/2006/relationships/hyperlink"/><Relationship Id="rId931" Target="https%3A%2F%2Fwww.webofscience.com%2Fwos%2Fwoscc%2Ffull-record%2FWOS%3A001598173900009" TargetMode="External" Type="http://schemas.openxmlformats.org/officeDocument/2006/relationships/hyperlink"/><Relationship Id="rId932" Target="http%3A%2F%2Fdx.doi.org%2F10.1016%2Fj.amjcard.2023.05.064" TargetMode="External" Type="http://schemas.openxmlformats.org/officeDocument/2006/relationships/hyperlink"/><Relationship Id="rId933" Target="https%3A%2F%2Fwww.webofscience.com%2Fwos%2Fwoscc%2Ffull-record%2FWOS%3A001029909000001" TargetMode="External" Type="http://schemas.openxmlformats.org/officeDocument/2006/relationships/hyperlink"/><Relationship Id="rId934" Target="http%3A%2F%2Fdx.doi.org%2F10.3390%2Fapp15105412" TargetMode="External" Type="http://schemas.openxmlformats.org/officeDocument/2006/relationships/hyperlink"/><Relationship Id="rId935" Target="https%3A%2F%2Fwww.webofscience.com%2Fwos%2Fwoscc%2Ffull-record%2FWOS%3A001496493400001" TargetMode="External" Type="http://schemas.openxmlformats.org/officeDocument/2006/relationships/hyperlink"/><Relationship Id="rId936" Target="http%3A%2F%2Fdx.doi.org%2F10.1016%2Fj.smrv.2025.102152" TargetMode="External" Type="http://schemas.openxmlformats.org/officeDocument/2006/relationships/hyperlink"/><Relationship Id="rId937" Target="https%3A%2F%2Fwww.webofscience.com%2Fwos%2Fwoscc%2Ffull-record%2FWOS%3A001581998400001" TargetMode="External" Type="http://schemas.openxmlformats.org/officeDocument/2006/relationships/hyperlink"/><Relationship Id="rId938" Target="http%3A%2F%2Fdx.doi.org%2F10.1007%2Fs11695-024-07501-0" TargetMode="External" Type="http://schemas.openxmlformats.org/officeDocument/2006/relationships/hyperlink"/><Relationship Id="rId939" Target="https%3A%2F%2Fwww.webofscience.com%2Fwos%2Fwoscc%2Ffull-record%2FWOS%3A001313276800001" TargetMode="External" Type="http://schemas.openxmlformats.org/officeDocument/2006/relationships/hyperlink"/><Relationship Id="rId94" Target="https%3A%2F%2Fwww.webofscience.com%2Fwos%2Fwoscc%2Ffull-record%2FWOS%3A001232651100001" TargetMode="External" Type="http://schemas.openxmlformats.org/officeDocument/2006/relationships/hyperlink"/><Relationship Id="rId940" Target="http%3A%2F%2Fdx.doi.org%2F10.1016%2Fj.mito.2023.11.004" TargetMode="External" Type="http://schemas.openxmlformats.org/officeDocument/2006/relationships/hyperlink"/><Relationship Id="rId941" Target="https%3A%2F%2Fwww.webofscience.com%2Fwos%2Fwoscc%2Ffull-record%2FWOS%3A001134234000001" TargetMode="External" Type="http://schemas.openxmlformats.org/officeDocument/2006/relationships/hyperlink"/><Relationship Id="rId942" Target="http%3A%2F%2Fdx.doi.org%2F10.1038%2Fs41598-025-95351-w" TargetMode="External" Type="http://schemas.openxmlformats.org/officeDocument/2006/relationships/hyperlink"/><Relationship Id="rId943" Target="https%3A%2F%2Fwww.webofscience.com%2Fwos%2Fwoscc%2Ffull-record%2FWOS%3A001456731400012" TargetMode="External" Type="http://schemas.openxmlformats.org/officeDocument/2006/relationships/hyperlink"/><Relationship Id="rId944" Target="http%3A%2F%2Fdx.doi.org%2F10.1016%2Fj.patcog.2024.110418" TargetMode="External" Type="http://schemas.openxmlformats.org/officeDocument/2006/relationships/hyperlink"/><Relationship Id="rId945" Target="https%3A%2F%2Fwww.webofscience.com%2Fwos%2Fwoscc%2Ffull-record%2FWOS%3A001221629600001" TargetMode="External" Type="http://schemas.openxmlformats.org/officeDocument/2006/relationships/hyperlink"/><Relationship Id="rId946" Target="http%3A%2F%2Fdx.doi.org%2F10.1038%2Fs41698-025-00899-5" TargetMode="External" Type="http://schemas.openxmlformats.org/officeDocument/2006/relationships/hyperlink"/><Relationship Id="rId947" Target="https%3A%2F%2Fwww.webofscience.com%2Fwos%2Fwoscc%2Ffull-record%2FWOS%3A001501102700001" TargetMode="External" Type="http://schemas.openxmlformats.org/officeDocument/2006/relationships/hyperlink"/><Relationship Id="rId948" Target="http%3A%2F%2Fdx.doi.org%2F10.1007%2Fs11060-024-04844-7" TargetMode="External" Type="http://schemas.openxmlformats.org/officeDocument/2006/relationships/hyperlink"/><Relationship Id="rId949" Target="https%3A%2F%2Fwww.webofscience.com%2Fwos%2Fwoscc%2Ffull-record%2FWOS%3A001330062700001" TargetMode="External" Type="http://schemas.openxmlformats.org/officeDocument/2006/relationships/hyperlink"/><Relationship Id="rId95" Target="http%3A%2F%2Fdx.doi.org%2F10.1109%2FACCESS.2025.3611992" TargetMode="External" Type="http://schemas.openxmlformats.org/officeDocument/2006/relationships/hyperlink"/><Relationship Id="rId950" Target="http%3A%2F%2Fdx.doi.org%2F10.1016%2Fj.jad.2025.120985" TargetMode="External" Type="http://schemas.openxmlformats.org/officeDocument/2006/relationships/hyperlink"/><Relationship Id="rId951" Target="https%3A%2F%2Fwww.webofscience.com%2Fwos%2Fwoscc%2Ffull-record%2FWOS%3A001650769500001" TargetMode="External" Type="http://schemas.openxmlformats.org/officeDocument/2006/relationships/hyperlink"/><Relationship Id="rId952" Target="http%3A%2F%2Fdx.doi.org%2F10.1007%2Fs00345-026-06448-4" TargetMode="External" Type="http://schemas.openxmlformats.org/officeDocument/2006/relationships/hyperlink"/><Relationship Id="rId953" Target="https%3A%2F%2Fwww.webofscience.com%2Fwos%2Fwoscc%2Ffull-record%2FWOS%3A001787645200001" TargetMode="External" Type="http://schemas.openxmlformats.org/officeDocument/2006/relationships/hyperlink"/><Relationship Id="rId954" Target="http%3A%2F%2Fdx.doi.org%2F10.1016%2Fj.heliyon.2024.e36702" TargetMode="External" Type="http://schemas.openxmlformats.org/officeDocument/2006/relationships/hyperlink"/><Relationship Id="rId955" Target="https%3A%2F%2Fwww.webofscience.com%2Fwos%2Fwoscc%2Ffull-record%2FWOS%3A001302437600001" TargetMode="External" Type="http://schemas.openxmlformats.org/officeDocument/2006/relationships/hyperlink"/><Relationship Id="rId956" Target="http%3A%2F%2Fdx.doi.org%2F10.3389%2Ffpubh.2026.1841479" TargetMode="External" Type="http://schemas.openxmlformats.org/officeDocument/2006/relationships/hyperlink"/><Relationship Id="rId957" Target="https%3A%2F%2Fwww.webofscience.com%2Fwos%2Fwoscc%2Ffull-record%2FWOS%3A001796418300001" TargetMode="External" Type="http://schemas.openxmlformats.org/officeDocument/2006/relationships/hyperlink"/><Relationship Id="rId958" Target="http%3A%2F%2Fdx.doi.org%2F10.1016%2Fj.imavis.2025.105726" TargetMode="External" Type="http://schemas.openxmlformats.org/officeDocument/2006/relationships/hyperlink"/><Relationship Id="rId959" Target="https%3A%2F%2Fwww.webofscience.com%2Fwos%2Fwoscc%2Ffull-record%2FWOS%3A001582155100001" TargetMode="External" Type="http://schemas.openxmlformats.org/officeDocument/2006/relationships/hyperlink"/><Relationship Id="rId96" Target="https%3A%2F%2Fwww.webofscience.com%2Fwos%2Fwoscc%2Ffull-record%2FWOS%3A001582187200044" TargetMode="External" Type="http://schemas.openxmlformats.org/officeDocument/2006/relationships/hyperlink"/><Relationship Id="rId960" Target="http%3A%2F%2Fdx.doi.org%2F10.1038%2Fs41598-025-86536-4" TargetMode="External" Type="http://schemas.openxmlformats.org/officeDocument/2006/relationships/hyperlink"/><Relationship Id="rId961" Target="https%3A%2F%2Fwww.webofscience.com%2Fwos%2Fwoscc%2Ffull-record%2FWOS%3A001401742800003" TargetMode="External" Type="http://schemas.openxmlformats.org/officeDocument/2006/relationships/hyperlink"/><Relationship Id="rId962" Target="http%3A%2F%2Fdx.doi.org%2F10.1155%2Fint%2F8884481" TargetMode="External" Type="http://schemas.openxmlformats.org/officeDocument/2006/relationships/hyperlink"/><Relationship Id="rId963" Target="https%3A%2F%2Fwww.webofscience.com%2Fwos%2Fwoscc%2Ffull-record%2FWOS%3A001522792700001" TargetMode="External" Type="http://schemas.openxmlformats.org/officeDocument/2006/relationships/hyperlink"/><Relationship Id="rId964" Target="http%3A%2F%2Fdx.doi.org%2F10.3390%2Fmake6010017" TargetMode="External" Type="http://schemas.openxmlformats.org/officeDocument/2006/relationships/hyperlink"/><Relationship Id="rId965" Target="https%3A%2F%2Fwww.webofscience.com%2Fwos%2Fwoscc%2Ffull-record%2FWOS%3A001192821000001" TargetMode="External" Type="http://schemas.openxmlformats.org/officeDocument/2006/relationships/hyperlink"/><Relationship Id="rId966" Target="http%3A%2F%2Fdx.doi.org%2F10.1007%2Fs00428-025-04163-w" TargetMode="External" Type="http://schemas.openxmlformats.org/officeDocument/2006/relationships/hyperlink"/><Relationship Id="rId967" Target="https%3A%2F%2Fwww.webofscience.com%2Fwos%2Fwoscc%2Ffull-record%2FWOS%3A001522781500001" TargetMode="External" Type="http://schemas.openxmlformats.org/officeDocument/2006/relationships/hyperlink"/><Relationship Id="rId968" Target="http%3A%2F%2Fdx.doi.org%2F10.1097%2FMD.0000000000048657" TargetMode="External" Type="http://schemas.openxmlformats.org/officeDocument/2006/relationships/hyperlink"/><Relationship Id="rId969" Target="https%3A%2F%2Fwww.webofscience.com%2Fwos%2Fwoscc%2Ffull-record%2FWOS%3A001768890900043" TargetMode="External" Type="http://schemas.openxmlformats.org/officeDocument/2006/relationships/hyperlink"/><Relationship Id="rId97" Target="http%3A%2F%2Fdx.doi.org%2F10.3389%2Ffdgth.2025.1637195" TargetMode="External" Type="http://schemas.openxmlformats.org/officeDocument/2006/relationships/hyperlink"/><Relationship Id="rId970" Target="http%3A%2F%2Fdx.doi.org%2F10.3389%2Ffpubh.2022.874455" TargetMode="External" Type="http://schemas.openxmlformats.org/officeDocument/2006/relationships/hyperlink"/><Relationship Id="rId971" Target="https%3A%2F%2Fwww.webofscience.com%2Fwos%2Fwoscc%2Ffull-record%2FWOS%3A000844478300001" TargetMode="External" Type="http://schemas.openxmlformats.org/officeDocument/2006/relationships/hyperlink"/><Relationship Id="rId972" Target="http%3A%2F%2Fdx.doi.org%2F10.3389%2Ffgene.2025.1563544" TargetMode="External" Type="http://schemas.openxmlformats.org/officeDocument/2006/relationships/hyperlink"/><Relationship Id="rId973" Target="https%3A%2F%2Fwww.webofscience.com%2Fwos%2Fwoscc%2Ffull-record%2FWOS%3A001533078800001" TargetMode="External" Type="http://schemas.openxmlformats.org/officeDocument/2006/relationships/hyperlink"/><Relationship Id="rId974" Target="http%3A%2F%2Fdx.doi.org%2F10.1038%2Fs41598-025-21360-4" TargetMode="External" Type="http://schemas.openxmlformats.org/officeDocument/2006/relationships/hyperlink"/><Relationship Id="rId975" Target="https%3A%2F%2Fwww.webofscience.com%2Fwos%2Fwoscc%2Ffull-record%2FWOS%3A001601003600038" TargetMode="External" Type="http://schemas.openxmlformats.org/officeDocument/2006/relationships/hyperlink"/><Relationship Id="rId976" Target="http%3A%2F%2Fdx.doi.org%2F10.1007%2Fs11030-023-10782-9" TargetMode="External" Type="http://schemas.openxmlformats.org/officeDocument/2006/relationships/hyperlink"/><Relationship Id="rId977" Target="https%3A%2F%2Fwww.webofscience.com%2Fwos%2Fwoscc%2Ffull-record%2FWOS%3A001139233600001" TargetMode="External" Type="http://schemas.openxmlformats.org/officeDocument/2006/relationships/hyperlink"/><Relationship Id="rId978" Target="http%3A%2F%2Fdx.doi.org%2F10.1038%2Fs41598-026-53075-5" TargetMode="External" Type="http://schemas.openxmlformats.org/officeDocument/2006/relationships/hyperlink"/><Relationship Id="rId979" Target="https%3A%2F%2Fwww.webofscience.com%2Fwos%2Fwoscc%2Ffull-record%2FWOS%3A001829908800001" TargetMode="External" Type="http://schemas.openxmlformats.org/officeDocument/2006/relationships/hyperlink"/><Relationship Id="rId98" Target="https%3A%2F%2Fwww.webofscience.com%2Fwos%2Fwoscc%2Ffull-record%2FWOS%3A001591391600001" TargetMode="External" Type="http://schemas.openxmlformats.org/officeDocument/2006/relationships/hyperlink"/><Relationship Id="rId980" Target="http%3A%2F%2Fdx.doi.org%2F10.1093%2Fclinchem%2Fhvaf190" TargetMode="External" Type="http://schemas.openxmlformats.org/officeDocument/2006/relationships/hyperlink"/><Relationship Id="rId981" Target="https%3A%2F%2Fwww.webofscience.com%2Fwos%2Fwoscc%2Ffull-record%2FWOS%3A001672508300001" TargetMode="External" Type="http://schemas.openxmlformats.org/officeDocument/2006/relationships/hyperlink"/><Relationship Id="rId982" Target="http%3A%2F%2Fdx.doi.org%2F10.1016%2Fj.neucom.2025.129701" TargetMode="External" Type="http://schemas.openxmlformats.org/officeDocument/2006/relationships/hyperlink"/><Relationship Id="rId983" Target="https%3A%2F%2Fwww.webofscience.com%2Fwos%2Fwoscc%2Ffull-record%2FWOS%3A001433757400001" TargetMode="External" Type="http://schemas.openxmlformats.org/officeDocument/2006/relationships/hyperlink"/><Relationship Id="rId984" Target="http%3A%2F%2Fdx.doi.org%2F10.22452%2Fmjcs.vol38no2.4" TargetMode="External" Type="http://schemas.openxmlformats.org/officeDocument/2006/relationships/hyperlink"/><Relationship Id="rId985" Target="https%3A%2F%2Fwww.webofscience.com%2Fwos%2Fwoscc%2Ffull-record%2FWOS%3A001637757900004" TargetMode="External" Type="http://schemas.openxmlformats.org/officeDocument/2006/relationships/hyperlink"/><Relationship Id="rId986" Target="http%3A%2F%2Fdx.doi.org%2F10.1016%2Fj.array.2025.100397" TargetMode="External" Type="http://schemas.openxmlformats.org/officeDocument/2006/relationships/hyperlink"/><Relationship Id="rId987" Target="https%3A%2F%2Fwww.webofscience.com%2Fwos%2Fwoscc%2Ffull-record%2FWOS%3A001470240500001" TargetMode="External" Type="http://schemas.openxmlformats.org/officeDocument/2006/relationships/hyperlink"/><Relationship Id="rId988" Target="http%3A%2F%2Fdx.doi.org%2F10.2196%2F79922" TargetMode="External" Type="http://schemas.openxmlformats.org/officeDocument/2006/relationships/hyperlink"/><Relationship Id="rId989" Target="https%3A%2F%2Fwww.webofscience.com%2Fwos%2Fwoscc%2Ffull-record%2FWOS%3A001669409500002" TargetMode="External" Type="http://schemas.openxmlformats.org/officeDocument/2006/relationships/hyperlink"/><Relationship Id="rId99" Target="http%3A%2F%2Fdx.doi.org%2F10.5061%2Fdryad.qd2nj" TargetMode="External" Type="http://schemas.openxmlformats.org/officeDocument/2006/relationships/hyperlink"/><Relationship Id="rId990" Target="http%3A%2F%2Fdx.doi.org%2F10.1016%2Fj.bios.2026.118738" TargetMode="External" Type="http://schemas.openxmlformats.org/officeDocument/2006/relationships/hyperlink"/><Relationship Id="rId991" Target="https%3A%2F%2Fwww.webofscience.com%2Fwos%2Fwoscc%2Ffull-record%2FWOS%3A001760835700001" TargetMode="External" Type="http://schemas.openxmlformats.org/officeDocument/2006/relationships/hyperlink"/><Relationship Id="rId992" Target="http%3A%2F%2Fdx.doi.org%2F10.1016%2Fj.bbrc.2026.154166" TargetMode="External" Type="http://schemas.openxmlformats.org/officeDocument/2006/relationships/hyperlink"/><Relationship Id="rId993" Target="https%3A%2F%2Fwww.webofscience.com%2Fwos%2Fwoscc%2Ffull-record%2FWOS%3A001808326900001" TargetMode="External" Type="http://schemas.openxmlformats.org/officeDocument/2006/relationships/hyperlink"/><Relationship Id="rId994" Target="http%3A%2F%2Fdx.doi.org%2F10.1109%2FACCESS.2025.3525571" TargetMode="External" Type="http://schemas.openxmlformats.org/officeDocument/2006/relationships/hyperlink"/><Relationship Id="rId995" Target="https%3A%2F%2Fwww.webofscience.com%2Fwos%2Fwoscc%2Ffull-record%2FWOS%3A001398640700033" TargetMode="External" Type="http://schemas.openxmlformats.org/officeDocument/2006/relationships/hyperlink"/><Relationship Id="rId996" Target="http%3A%2F%2Fdx.doi.org%2F10.1109%2FACCESS.2025.3586314" TargetMode="External" Type="http://schemas.openxmlformats.org/officeDocument/2006/relationships/hyperlink"/><Relationship Id="rId997" Target="https%3A%2F%2Fwww.webofscience.com%2Fwos%2Fwoscc%2Ffull-record%2FWOS%3A001531856700008" TargetMode="External" Type="http://schemas.openxmlformats.org/officeDocument/2006/relationships/hyperlink"/><Relationship Id="rId998" Target="http%3A%2F%2Fdx.doi.org%2F10.2147%2FJHC.S618264" TargetMode="External" Type="http://schemas.openxmlformats.org/officeDocument/2006/relationships/hyperlink"/><Relationship Id="rId999" Target="https%3A%2F%2Fwww.webofscience.com%2Fwos%2Fwoscc%2Ffull-record%2FWOS%3A001808437200001"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1002"/>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77</v>
      </c>
      <c r="C2" t="s" s="0">
        <v>77</v>
      </c>
      <c r="D2" t="s" s="0">
        <v>77</v>
      </c>
      <c r="E2" t="s" s="0">
        <v>78</v>
      </c>
      <c r="F2" t="s" s="0">
        <v>79</v>
      </c>
      <c r="G2" t="s" s="0">
        <v>80</v>
      </c>
      <c r="H2" t="s" s="0">
        <v>81</v>
      </c>
      <c r="I2" t="s" s="0">
        <v>82</v>
      </c>
      <c r="J2" t="s" s="0">
        <v>83</v>
      </c>
      <c r="K2" t="s" s="0">
        <v>84</v>
      </c>
      <c r="L2" t="s" s="0">
        <v>81</v>
      </c>
      <c r="M2" t="s" s="0">
        <v>81</v>
      </c>
      <c r="N2" t="s" s="0">
        <v>81</v>
      </c>
      <c r="O2" t="s" s="0">
        <v>85</v>
      </c>
      <c r="P2" t="s" s="0">
        <v>86</v>
      </c>
      <c r="Q2" t="s" s="0">
        <v>87</v>
      </c>
      <c r="R2" t="s" s="0">
        <v>81</v>
      </c>
      <c r="S2" t="s" s="0">
        <v>81</v>
      </c>
      <c r="T2" t="s" s="0">
        <v>81</v>
      </c>
      <c r="U2" t="s" s="0">
        <v>81</v>
      </c>
      <c r="V2" t="s" s="0">
        <v>88</v>
      </c>
      <c r="W2" t="s" s="0">
        <v>89</v>
      </c>
      <c r="X2" t="s" s="0">
        <v>81</v>
      </c>
      <c r="Y2" t="s" s="0">
        <v>81</v>
      </c>
      <c r="Z2" t="s" s="0">
        <v>90</v>
      </c>
      <c r="AA2" t="s" s="0">
        <v>91</v>
      </c>
      <c r="AB2" t="s" s="0">
        <v>81</v>
      </c>
      <c r="AC2" t="s" s="0">
        <v>81</v>
      </c>
      <c r="AD2" t="s" s="0">
        <v>81</v>
      </c>
      <c r="AE2" t="s" s="0">
        <v>81</v>
      </c>
      <c r="AF2" t="s" s="0">
        <v>81</v>
      </c>
      <c r="AG2" t="s" s="0">
        <v>92</v>
      </c>
      <c r="AH2" t="s" s="0">
        <v>93</v>
      </c>
      <c r="AI2" t="s" s="0">
        <v>94</v>
      </c>
      <c r="AJ2" t="s" s="0">
        <v>95</v>
      </c>
      <c r="AK2" t="s" s="0">
        <v>81</v>
      </c>
      <c r="AL2" t="s" s="0">
        <v>96</v>
      </c>
      <c r="AM2" t="s" s="0">
        <v>97</v>
      </c>
      <c r="AN2" t="s" s="0">
        <v>97</v>
      </c>
      <c r="AO2" t="s" s="0">
        <v>97</v>
      </c>
      <c r="AP2" t="s" s="0">
        <v>97</v>
      </c>
      <c r="AQ2" t="s" s="0">
        <v>98</v>
      </c>
      <c r="AR2" t="s" s="0">
        <v>99</v>
      </c>
      <c r="AS2" t="s" s="0">
        <v>100</v>
      </c>
      <c r="AT2" t="s" s="0">
        <v>101</v>
      </c>
      <c r="AU2" t="s" s="0">
        <v>81</v>
      </c>
      <c r="AV2" t="s" s="0">
        <v>81</v>
      </c>
      <c r="AW2" t="s" s="0">
        <v>89</v>
      </c>
      <c r="AX2" t="s" s="0">
        <v>102</v>
      </c>
      <c r="AY2" t="s" s="0">
        <v>103</v>
      </c>
      <c r="AZ2" t="s" s="0">
        <v>103</v>
      </c>
      <c r="BA2" t="s" s="0">
        <v>104</v>
      </c>
      <c r="BB2" t="s" s="0">
        <v>81</v>
      </c>
      <c r="BC2" t="s" s="0">
        <v>81</v>
      </c>
      <c r="BD2" t="s" s="0">
        <v>81</v>
      </c>
      <c r="BE2" t="s" s="0">
        <v>81</v>
      </c>
      <c r="BF2" t="s" s="0">
        <v>81</v>
      </c>
      <c r="BG2" t="s" s="0">
        <v>105</v>
      </c>
      <c r="BH2" t="s" s="0">
        <v>106</v>
      </c>
      <c r="BI2" t="s" s="0">
        <v>81</v>
      </c>
      <c r="BJ2" t="s" s="0">
        <v>107</v>
      </c>
      <c r="BK2" t="s" s="1">
        <f>HYPERLINK("http://dx.doi.org/10.1109/ACCESS.2026.3663497","http://dx.doi.org/10.1109/ACCESS.2026.3663497")</f>
        <v>108</v>
      </c>
      <c r="BL2" t="s" s="0">
        <v>81</v>
      </c>
      <c r="BM2" t="s" s="0">
        <v>81</v>
      </c>
      <c r="BN2" t="s" s="0">
        <v>109</v>
      </c>
      <c r="BO2" t="s" s="0">
        <v>110</v>
      </c>
      <c r="BP2" t="s" s="0">
        <v>111</v>
      </c>
      <c r="BQ2" t="s" s="0">
        <v>112</v>
      </c>
      <c r="BR2" t="s" s="0">
        <v>81</v>
      </c>
      <c r="BS2" t="s" s="0">
        <v>113</v>
      </c>
      <c r="BT2" t="s" s="2">
        <f>HYPERLINK("https://www.webofscience.com/wos/woscc/full-record/WOS:001783764800019","View Record in Web of Science")</f>
        <v>114</v>
      </c>
      <c r="BU2" t="s" s="0">
        <v>115</v>
      </c>
      <c r="BV2" t="s" s="0">
        <v>81</v>
      </c>
      <c r="BW2" t="s" s="0">
        <v>81</v>
      </c>
      <c r="BX2" t="s" s="0">
        <v>116</v>
      </c>
    </row>
    <row r="3">
      <c r="A3" t="s" s="0">
        <v>77</v>
      </c>
      <c r="B3" t="s" s="0">
        <v>77</v>
      </c>
      <c r="C3" t="s" s="0">
        <v>77</v>
      </c>
      <c r="D3" t="s" s="0">
        <v>77</v>
      </c>
      <c r="E3" t="s" s="0">
        <v>117</v>
      </c>
      <c r="F3" t="s" s="0">
        <v>118</v>
      </c>
      <c r="G3" t="s" s="0">
        <v>119</v>
      </c>
      <c r="H3" t="s" s="0">
        <v>81</v>
      </c>
      <c r="I3" t="s" s="0">
        <v>82</v>
      </c>
      <c r="J3" t="s" s="0">
        <v>120</v>
      </c>
      <c r="K3" t="s" s="0">
        <v>121</v>
      </c>
      <c r="L3" t="s" s="0">
        <v>122</v>
      </c>
      <c r="M3" t="s" s="0">
        <v>123</v>
      </c>
      <c r="N3" t="s" s="0">
        <v>124</v>
      </c>
      <c r="O3" t="s" s="0">
        <v>125</v>
      </c>
      <c r="P3" t="s" s="0">
        <v>126</v>
      </c>
      <c r="Q3" t="s" s="0">
        <v>87</v>
      </c>
      <c r="R3" t="s" s="0">
        <v>81</v>
      </c>
      <c r="S3" t="s" s="0">
        <v>81</v>
      </c>
      <c r="T3" t="s" s="0">
        <v>81</v>
      </c>
      <c r="U3" t="s" s="0">
        <v>81</v>
      </c>
      <c r="V3" t="s" s="0">
        <v>127</v>
      </c>
      <c r="W3" t="s" s="0">
        <v>128</v>
      </c>
      <c r="X3" t="s" s="0">
        <v>81</v>
      </c>
      <c r="Y3" t="s" s="0">
        <v>81</v>
      </c>
      <c r="Z3" t="s" s="0">
        <v>90</v>
      </c>
      <c r="AA3" t="s" s="0">
        <v>91</v>
      </c>
      <c r="AB3" t="s" s="0">
        <v>81</v>
      </c>
      <c r="AC3" t="s" s="0">
        <v>81</v>
      </c>
      <c r="AD3" t="s" s="0">
        <v>81</v>
      </c>
      <c r="AE3" t="s" s="0">
        <v>81</v>
      </c>
      <c r="AF3" t="s" s="0">
        <v>81</v>
      </c>
      <c r="AG3" t="s" s="0">
        <v>129</v>
      </c>
      <c r="AH3" t="s" s="0">
        <v>81</v>
      </c>
      <c r="AI3" t="s" s="0">
        <v>130</v>
      </c>
      <c r="AJ3" t="s" s="0">
        <v>131</v>
      </c>
      <c r="AK3" t="s" s="0">
        <v>81</v>
      </c>
      <c r="AL3" t="s" s="0">
        <v>132</v>
      </c>
      <c r="AM3" t="s" s="0">
        <v>133</v>
      </c>
      <c r="AN3" t="s" s="0">
        <v>133</v>
      </c>
      <c r="AO3" t="s" s="0">
        <v>134</v>
      </c>
      <c r="AP3" t="s" s="0">
        <v>135</v>
      </c>
      <c r="AQ3" t="s" s="0">
        <v>136</v>
      </c>
      <c r="AR3" t="s" s="0">
        <v>137</v>
      </c>
      <c r="AS3" t="s" s="0">
        <v>138</v>
      </c>
      <c r="AT3" t="s" s="0">
        <v>139</v>
      </c>
      <c r="AU3" t="s" s="0">
        <v>140</v>
      </c>
      <c r="AV3" t="s" s="0">
        <v>81</v>
      </c>
      <c r="AW3" t="s" s="0">
        <v>141</v>
      </c>
      <c r="AX3" t="s" s="0">
        <v>142</v>
      </c>
      <c r="AY3" t="s" s="0">
        <v>143</v>
      </c>
      <c r="AZ3" t="s" s="0">
        <v>103</v>
      </c>
      <c r="BA3" t="s" s="0">
        <v>144</v>
      </c>
      <c r="BB3" t="s" s="0">
        <v>81</v>
      </c>
      <c r="BC3" t="s" s="0">
        <v>81</v>
      </c>
      <c r="BD3" t="s" s="0">
        <v>145</v>
      </c>
      <c r="BE3" t="s" s="0">
        <v>81</v>
      </c>
      <c r="BF3" t="s" s="0">
        <v>81</v>
      </c>
      <c r="BG3" t="s" s="0">
        <v>81</v>
      </c>
      <c r="BH3" t="s" s="0">
        <v>81</v>
      </c>
      <c r="BI3" t="s" s="0">
        <v>146</v>
      </c>
      <c r="BJ3" t="s" s="0">
        <v>147</v>
      </c>
      <c r="BK3" t="s" s="3">
        <f>HYPERLINK("http://dx.doi.org/10.1016/j.inffus.2025.103709","http://dx.doi.org/10.1016/j.inffus.2025.103709")</f>
        <v>148</v>
      </c>
      <c r="BL3" t="s" s="0">
        <v>81</v>
      </c>
      <c r="BM3" t="s" s="0">
        <v>149</v>
      </c>
      <c r="BN3" t="s" s="0">
        <v>150</v>
      </c>
      <c r="BO3" t="s" s="0">
        <v>151</v>
      </c>
      <c r="BP3" t="s" s="0">
        <v>152</v>
      </c>
      <c r="BQ3" t="s" s="0">
        <v>153</v>
      </c>
      <c r="BR3" t="s" s="0">
        <v>81</v>
      </c>
      <c r="BS3" t="s" s="0">
        <v>154</v>
      </c>
      <c r="BT3" t="s" s="4">
        <f>HYPERLINK("https://www.webofscience.com/wos/woscc/full-record/WOS:001591442300003","View Record in Web of Science")</f>
        <v>114</v>
      </c>
      <c r="BU3" t="s" s="0">
        <v>155</v>
      </c>
      <c r="BV3" t="s" s="0">
        <v>81</v>
      </c>
      <c r="BW3" t="s" s="0">
        <v>81</v>
      </c>
      <c r="BX3" t="s" s="0">
        <v>116</v>
      </c>
    </row>
    <row r="4">
      <c r="A4" t="s" s="0">
        <v>77</v>
      </c>
      <c r="B4" t="s" s="0">
        <v>77</v>
      </c>
      <c r="C4" t="s" s="0">
        <v>156</v>
      </c>
      <c r="D4" t="s" s="0">
        <v>77</v>
      </c>
      <c r="E4" t="s" s="0">
        <v>157</v>
      </c>
      <c r="F4" t="s" s="0">
        <v>158</v>
      </c>
      <c r="G4" t="s" s="0">
        <v>159</v>
      </c>
      <c r="H4" t="s" s="0">
        <v>81</v>
      </c>
      <c r="I4" t="s" s="0">
        <v>82</v>
      </c>
      <c r="J4" t="s" s="0">
        <v>160</v>
      </c>
      <c r="K4" t="s" s="0">
        <v>161</v>
      </c>
      <c r="L4" t="s" s="0">
        <v>162</v>
      </c>
      <c r="M4" t="s" s="0">
        <v>163</v>
      </c>
      <c r="N4" t="s" s="0">
        <v>164</v>
      </c>
      <c r="O4" t="s" s="0">
        <v>165</v>
      </c>
      <c r="P4" t="s" s="0">
        <v>166</v>
      </c>
      <c r="Q4" t="s" s="0">
        <v>87</v>
      </c>
      <c r="R4" t="s" s="0">
        <v>81</v>
      </c>
      <c r="S4" t="s" s="0">
        <v>81</v>
      </c>
      <c r="T4" t="s" s="0">
        <v>81</v>
      </c>
      <c r="U4" t="s" s="0">
        <v>81</v>
      </c>
      <c r="V4" t="s" s="0">
        <v>167</v>
      </c>
      <c r="W4" t="s" s="0">
        <v>168</v>
      </c>
      <c r="X4" t="s" s="0">
        <v>81</v>
      </c>
      <c r="Y4" t="s" s="0">
        <v>81</v>
      </c>
      <c r="Z4" t="s" s="0">
        <v>90</v>
      </c>
      <c r="AA4" t="s" s="0">
        <v>91</v>
      </c>
      <c r="AB4" t="s" s="0">
        <v>81</v>
      </c>
      <c r="AC4" t="s" s="0">
        <v>81</v>
      </c>
      <c r="AD4" t="s" s="0">
        <v>81</v>
      </c>
      <c r="AE4" t="s" s="0">
        <v>81</v>
      </c>
      <c r="AF4" t="s" s="0">
        <v>81</v>
      </c>
      <c r="AG4" t="s" s="0">
        <v>169</v>
      </c>
      <c r="AH4" t="s" s="0">
        <v>170</v>
      </c>
      <c r="AI4" t="s" s="0">
        <v>171</v>
      </c>
      <c r="AJ4" t="s" s="0">
        <v>172</v>
      </c>
      <c r="AK4" t="s" s="0">
        <v>81</v>
      </c>
      <c r="AL4" t="s" s="0">
        <v>173</v>
      </c>
      <c r="AM4" t="s" s="0">
        <v>150</v>
      </c>
      <c r="AN4" t="s" s="0">
        <v>174</v>
      </c>
      <c r="AO4" t="s" s="0">
        <v>175</v>
      </c>
      <c r="AP4" t="s" s="0">
        <v>176</v>
      </c>
      <c r="AQ4" t="s" s="0">
        <v>177</v>
      </c>
      <c r="AR4" t="s" s="0">
        <v>178</v>
      </c>
      <c r="AS4" t="s" s="0">
        <v>179</v>
      </c>
      <c r="AT4" t="s" s="0">
        <v>180</v>
      </c>
      <c r="AU4" t="s" s="0">
        <v>181</v>
      </c>
      <c r="AV4" t="s" s="0">
        <v>81</v>
      </c>
      <c r="AW4" t="s" s="0">
        <v>182</v>
      </c>
      <c r="AX4" t="s" s="0">
        <v>183</v>
      </c>
      <c r="AY4" t="s" s="0">
        <v>184</v>
      </c>
      <c r="AZ4" t="s" s="0">
        <v>185</v>
      </c>
      <c r="BA4" t="s" s="0">
        <v>186</v>
      </c>
      <c r="BB4" t="s" s="0">
        <v>81</v>
      </c>
      <c r="BC4" t="s" s="0">
        <v>81</v>
      </c>
      <c r="BD4" t="s" s="0">
        <v>81</v>
      </c>
      <c r="BE4" t="s" s="0">
        <v>81</v>
      </c>
      <c r="BF4" t="s" s="0">
        <v>81</v>
      </c>
      <c r="BG4" t="s" s="0">
        <v>81</v>
      </c>
      <c r="BH4" t="s" s="0">
        <v>81</v>
      </c>
      <c r="BI4" t="s" s="0">
        <v>187</v>
      </c>
      <c r="BJ4" t="s" s="0">
        <v>188</v>
      </c>
      <c r="BK4" t="s" s="5">
        <f>HYPERLINK("http://dx.doi.org/10.1016/j.patcog.2024.110309","http://dx.doi.org/10.1016/j.patcog.2024.110309")</f>
        <v>189</v>
      </c>
      <c r="BL4" t="s" s="0">
        <v>81</v>
      </c>
      <c r="BM4" t="s" s="0">
        <v>190</v>
      </c>
      <c r="BN4" t="s" s="0">
        <v>191</v>
      </c>
      <c r="BO4" t="s" s="0">
        <v>192</v>
      </c>
      <c r="BP4" t="s" s="0">
        <v>193</v>
      </c>
      <c r="BQ4" t="s" s="0">
        <v>194</v>
      </c>
      <c r="BR4" t="s" s="0">
        <v>81</v>
      </c>
      <c r="BS4" t="s" s="0">
        <v>195</v>
      </c>
      <c r="BT4" t="s" s="6">
        <f>HYPERLINK("https://www.webofscience.com/wos/woscc/full-record/WOS:001183736900001","View Record in Web of Science")</f>
        <v>114</v>
      </c>
      <c r="BU4" t="s" s="0">
        <v>155</v>
      </c>
      <c r="BV4" t="s" s="0">
        <v>81</v>
      </c>
      <c r="BW4" t="s" s="0">
        <v>81</v>
      </c>
      <c r="BX4" t="s" s="0">
        <v>116</v>
      </c>
    </row>
    <row r="5">
      <c r="A5" t="s" s="0">
        <v>77</v>
      </c>
      <c r="B5" t="s" s="0">
        <v>77</v>
      </c>
      <c r="C5" t="s" s="0">
        <v>196</v>
      </c>
      <c r="D5" t="s" s="0">
        <v>77</v>
      </c>
      <c r="E5" t="s" s="0">
        <v>197</v>
      </c>
      <c r="F5" t="s" s="0">
        <v>198</v>
      </c>
      <c r="G5" t="s" s="0">
        <v>199</v>
      </c>
      <c r="H5" t="s" s="0">
        <v>81</v>
      </c>
      <c r="I5" t="s" s="0">
        <v>82</v>
      </c>
      <c r="J5" t="s" s="0">
        <v>200</v>
      </c>
      <c r="K5" t="s" s="0">
        <v>201</v>
      </c>
      <c r="L5" t="s" s="0">
        <v>81</v>
      </c>
      <c r="M5" t="s" s="0">
        <v>81</v>
      </c>
      <c r="N5" t="s" s="0">
        <v>81</v>
      </c>
      <c r="O5" t="s" s="0">
        <v>202</v>
      </c>
      <c r="P5" t="s" s="0">
        <v>203</v>
      </c>
      <c r="Q5" t="s" s="0">
        <v>87</v>
      </c>
      <c r="R5" t="s" s="0">
        <v>81</v>
      </c>
      <c r="S5" t="s" s="0">
        <v>81</v>
      </c>
      <c r="T5" t="s" s="0">
        <v>81</v>
      </c>
      <c r="U5" t="s" s="0">
        <v>81</v>
      </c>
      <c r="V5" t="s" s="0">
        <v>204</v>
      </c>
      <c r="W5" t="s" s="0">
        <v>205</v>
      </c>
      <c r="X5" t="s" s="0">
        <v>81</v>
      </c>
      <c r="Y5" t="s" s="0">
        <v>81</v>
      </c>
      <c r="Z5" t="s" s="0">
        <v>90</v>
      </c>
      <c r="AA5" t="s" s="0">
        <v>91</v>
      </c>
      <c r="AB5" t="s" s="0">
        <v>81</v>
      </c>
      <c r="AC5" t="s" s="0">
        <v>81</v>
      </c>
      <c r="AD5" t="s" s="0">
        <v>81</v>
      </c>
      <c r="AE5" t="s" s="0">
        <v>81</v>
      </c>
      <c r="AF5" t="s" s="0">
        <v>81</v>
      </c>
      <c r="AG5" t="s" s="0">
        <v>206</v>
      </c>
      <c r="AH5" t="s" s="0">
        <v>207</v>
      </c>
      <c r="AI5" t="s" s="0">
        <v>208</v>
      </c>
      <c r="AJ5" t="s" s="0">
        <v>209</v>
      </c>
      <c r="AK5" t="s" s="0">
        <v>81</v>
      </c>
      <c r="AL5" t="s" s="0">
        <v>173</v>
      </c>
      <c r="AM5" t="s" s="0">
        <v>210</v>
      </c>
      <c r="AN5" t="s" s="0">
        <v>176</v>
      </c>
      <c r="AO5" t="s" s="0">
        <v>77</v>
      </c>
      <c r="AP5" t="s" s="0">
        <v>211</v>
      </c>
      <c r="AQ5" t="s" s="0">
        <v>212</v>
      </c>
      <c r="AR5" t="s" s="0">
        <v>213</v>
      </c>
      <c r="AS5" t="s" s="0">
        <v>214</v>
      </c>
      <c r="AT5" t="s" s="0">
        <v>215</v>
      </c>
      <c r="AU5" t="s" s="0">
        <v>216</v>
      </c>
      <c r="AV5" t="s" s="0">
        <v>81</v>
      </c>
      <c r="AW5" t="s" s="0">
        <v>217</v>
      </c>
      <c r="AX5" t="s" s="0">
        <v>218</v>
      </c>
      <c r="AY5" t="s" s="0">
        <v>219</v>
      </c>
      <c r="AZ5" t="s" s="0">
        <v>220</v>
      </c>
      <c r="BA5" t="s" s="0">
        <v>221</v>
      </c>
      <c r="BB5" t="s" s="0">
        <v>222</v>
      </c>
      <c r="BC5" t="s" s="0">
        <v>81</v>
      </c>
      <c r="BD5" t="s" s="0">
        <v>81</v>
      </c>
      <c r="BE5" t="s" s="0">
        <v>81</v>
      </c>
      <c r="BF5" t="s" s="0">
        <v>81</v>
      </c>
      <c r="BG5" t="s" s="0">
        <v>223</v>
      </c>
      <c r="BH5" t="s" s="0">
        <v>224</v>
      </c>
      <c r="BI5" t="s" s="0">
        <v>81</v>
      </c>
      <c r="BJ5" t="s" s="0">
        <v>225</v>
      </c>
      <c r="BK5" t="s" s="7">
        <f>HYPERLINK("http://dx.doi.org/10.1007/s11227-022-04631-z","http://dx.doi.org/10.1007/s11227-022-04631-z")</f>
        <v>226</v>
      </c>
      <c r="BL5" t="s" s="0">
        <v>81</v>
      </c>
      <c r="BM5" t="s" s="0">
        <v>227</v>
      </c>
      <c r="BN5" t="s" s="0">
        <v>228</v>
      </c>
      <c r="BO5" t="s" s="0">
        <v>229</v>
      </c>
      <c r="BP5" t="s" s="0">
        <v>193</v>
      </c>
      <c r="BQ5" t="s" s="0">
        <v>230</v>
      </c>
      <c r="BR5" t="s" s="0">
        <v>231</v>
      </c>
      <c r="BS5" t="s" s="0">
        <v>232</v>
      </c>
      <c r="BT5" t="s" s="8">
        <f>HYPERLINK("https://www.webofscience.com/wos/woscc/full-record/WOS:000812587000001","View Record in Web of Science")</f>
        <v>114</v>
      </c>
      <c r="BU5" t="s" s="0">
        <v>233</v>
      </c>
      <c r="BV5" t="s" s="0">
        <v>81</v>
      </c>
      <c r="BW5" t="s" s="0">
        <v>81</v>
      </c>
      <c r="BX5" t="s" s="0">
        <v>116</v>
      </c>
    </row>
    <row r="6">
      <c r="A6" t="s" s="0">
        <v>97</v>
      </c>
      <c r="B6" t="s" s="0">
        <v>77</v>
      </c>
      <c r="C6" t="s" s="0">
        <v>234</v>
      </c>
      <c r="D6" t="s" s="0">
        <v>77</v>
      </c>
      <c r="E6" t="s" s="0">
        <v>235</v>
      </c>
      <c r="F6" t="s" s="0">
        <v>236</v>
      </c>
      <c r="G6" t="s" s="0">
        <v>237</v>
      </c>
      <c r="H6" t="s" s="0">
        <v>81</v>
      </c>
      <c r="I6" t="s" s="0">
        <v>238</v>
      </c>
      <c r="J6" t="s" s="0">
        <v>239</v>
      </c>
      <c r="K6" t="s" s="0">
        <v>240</v>
      </c>
      <c r="L6" t="s" s="0">
        <v>241</v>
      </c>
      <c r="M6" t="s" s="0">
        <v>242</v>
      </c>
      <c r="N6" t="s" s="0">
        <v>243</v>
      </c>
      <c r="O6" t="s" s="0">
        <v>244</v>
      </c>
      <c r="P6" t="s" s="0">
        <v>245</v>
      </c>
      <c r="Q6" t="s" s="0">
        <v>87</v>
      </c>
      <c r="R6" t="s" s="0">
        <v>81</v>
      </c>
      <c r="S6" t="s" s="0">
        <v>81</v>
      </c>
      <c r="T6" t="s" s="0">
        <v>81</v>
      </c>
      <c r="U6" t="s" s="0">
        <v>81</v>
      </c>
      <c r="V6" t="s" s="0">
        <v>246</v>
      </c>
      <c r="W6" t="s" s="0">
        <v>247</v>
      </c>
      <c r="X6" t="s" s="0">
        <v>81</v>
      </c>
      <c r="Y6" t="s" s="0">
        <v>81</v>
      </c>
      <c r="Z6" t="s" s="0">
        <v>90</v>
      </c>
      <c r="AA6" t="s" s="0">
        <v>91</v>
      </c>
      <c r="AB6" t="s" s="0">
        <v>81</v>
      </c>
      <c r="AC6" t="s" s="0">
        <v>81</v>
      </c>
      <c r="AD6" t="s" s="0">
        <v>81</v>
      </c>
      <c r="AE6" t="s" s="0">
        <v>81</v>
      </c>
      <c r="AF6" t="s" s="0">
        <v>81</v>
      </c>
      <c r="AG6" t="s" s="0">
        <v>81</v>
      </c>
      <c r="AH6" t="s" s="0">
        <v>248</v>
      </c>
      <c r="AI6" t="s" s="0">
        <v>249</v>
      </c>
      <c r="AJ6" t="s" s="0">
        <v>250</v>
      </c>
      <c r="AK6" t="s" s="0">
        <v>81</v>
      </c>
      <c r="AL6" t="s" s="0">
        <v>251</v>
      </c>
      <c r="AM6" t="s" s="0">
        <v>252</v>
      </c>
      <c r="AN6" t="s" s="0">
        <v>253</v>
      </c>
      <c r="AO6" t="s" s="0">
        <v>156</v>
      </c>
      <c r="AP6" t="s" s="0">
        <v>211</v>
      </c>
      <c r="AQ6" t="s" s="0">
        <v>254</v>
      </c>
      <c r="AR6" t="s" s="0">
        <v>255</v>
      </c>
      <c r="AS6" t="s" s="0">
        <v>256</v>
      </c>
      <c r="AT6" t="s" s="0">
        <v>257</v>
      </c>
      <c r="AU6" t="s" s="0">
        <v>81</v>
      </c>
      <c r="AV6" t="s" s="0">
        <v>81</v>
      </c>
      <c r="AW6" t="s" s="0">
        <v>247</v>
      </c>
      <c r="AX6" t="s" s="0">
        <v>258</v>
      </c>
      <c r="AY6" t="s" s="0">
        <v>259</v>
      </c>
      <c r="AZ6" t="s" s="0">
        <v>260</v>
      </c>
      <c r="BA6" t="s" s="0">
        <v>175</v>
      </c>
      <c r="BB6" t="s" s="0">
        <v>261</v>
      </c>
      <c r="BC6" t="s" s="0">
        <v>81</v>
      </c>
      <c r="BD6" t="s" s="0">
        <v>81</v>
      </c>
      <c r="BE6" t="s" s="0">
        <v>81</v>
      </c>
      <c r="BF6" t="s" s="0">
        <v>81</v>
      </c>
      <c r="BG6" t="s" s="0">
        <v>81</v>
      </c>
      <c r="BH6" t="s" s="0">
        <v>81</v>
      </c>
      <c r="BI6" t="s" s="0">
        <v>262</v>
      </c>
      <c r="BJ6" t="s" s="0">
        <v>263</v>
      </c>
      <c r="BK6" t="s" s="9">
        <f>HYPERLINK("http://dx.doi.org/10.1016/j.patter.2023.100830","http://dx.doi.org/10.1016/j.patter.2023.100830")</f>
        <v>264</v>
      </c>
      <c r="BL6" t="s" s="0">
        <v>81</v>
      </c>
      <c r="BM6" t="s" s="0">
        <v>265</v>
      </c>
      <c r="BN6" t="s" s="0">
        <v>261</v>
      </c>
      <c r="BO6" t="s" s="0">
        <v>266</v>
      </c>
      <c r="BP6" t="s" s="0">
        <v>152</v>
      </c>
      <c r="BQ6" t="s" s="0">
        <v>267</v>
      </c>
      <c r="BR6" t="s" s="0">
        <v>268</v>
      </c>
      <c r="BS6" t="s" s="0">
        <v>269</v>
      </c>
      <c r="BT6" t="s" s="10">
        <f>HYPERLINK("https://www.webofscience.com/wos/woscc/full-record/WOS:001079947200001","View Record in Web of Science")</f>
        <v>114</v>
      </c>
      <c r="BU6" t="s" s="0">
        <v>270</v>
      </c>
      <c r="BV6" t="s" s="0">
        <v>81</v>
      </c>
      <c r="BW6" t="s" s="0">
        <v>81</v>
      </c>
      <c r="BX6" t="s" s="0">
        <v>116</v>
      </c>
    </row>
    <row r="7">
      <c r="A7" t="s" s="0">
        <v>77</v>
      </c>
      <c r="B7" t="s" s="0">
        <v>77</v>
      </c>
      <c r="C7" t="s" s="0">
        <v>77</v>
      </c>
      <c r="D7" t="s" s="0">
        <v>77</v>
      </c>
      <c r="E7" t="s" s="0">
        <v>271</v>
      </c>
      <c r="F7" t="s" s="0">
        <v>272</v>
      </c>
      <c r="G7" t="s" s="0">
        <v>273</v>
      </c>
      <c r="H7" t="s" s="0">
        <v>81</v>
      </c>
      <c r="I7" t="s" s="0">
        <v>82</v>
      </c>
      <c r="J7" t="s" s="0">
        <v>274</v>
      </c>
      <c r="K7" t="s" s="0">
        <v>275</v>
      </c>
      <c r="L7" t="s" s="0">
        <v>81</v>
      </c>
      <c r="M7" t="s" s="0">
        <v>81</v>
      </c>
      <c r="N7" t="s" s="0">
        <v>81</v>
      </c>
      <c r="O7" t="s" s="0">
        <v>276</v>
      </c>
      <c r="P7" t="s" s="0">
        <v>277</v>
      </c>
      <c r="Q7" t="s" s="0">
        <v>87</v>
      </c>
      <c r="R7" t="s" s="0">
        <v>81</v>
      </c>
      <c r="S7" t="s" s="0">
        <v>81</v>
      </c>
      <c r="T7" t="s" s="0">
        <v>81</v>
      </c>
      <c r="U7" t="s" s="0">
        <v>81</v>
      </c>
      <c r="V7" t="s" s="0">
        <v>278</v>
      </c>
      <c r="W7" t="s" s="0">
        <v>279</v>
      </c>
      <c r="X7" t="s" s="0">
        <v>81</v>
      </c>
      <c r="Y7" t="s" s="0">
        <v>81</v>
      </c>
      <c r="Z7" t="s" s="0">
        <v>90</v>
      </c>
      <c r="AA7" t="s" s="0">
        <v>91</v>
      </c>
      <c r="AB7" t="s" s="0">
        <v>81</v>
      </c>
      <c r="AC7" t="s" s="0">
        <v>81</v>
      </c>
      <c r="AD7" t="s" s="0">
        <v>81</v>
      </c>
      <c r="AE7" t="s" s="0">
        <v>81</v>
      </c>
      <c r="AF7" t="s" s="0">
        <v>81</v>
      </c>
      <c r="AG7" t="s" s="0">
        <v>280</v>
      </c>
      <c r="AH7" t="s" s="0">
        <v>281</v>
      </c>
      <c r="AI7" t="s" s="0">
        <v>282</v>
      </c>
      <c r="AJ7" t="s" s="0">
        <v>283</v>
      </c>
      <c r="AK7" t="s" s="0">
        <v>81</v>
      </c>
      <c r="AL7" t="s" s="0">
        <v>173</v>
      </c>
      <c r="AM7" t="s" s="0">
        <v>175</v>
      </c>
      <c r="AN7" t="s" s="0">
        <v>133</v>
      </c>
      <c r="AO7" t="s" s="0">
        <v>196</v>
      </c>
      <c r="AP7" t="s" s="0">
        <v>134</v>
      </c>
      <c r="AQ7" t="s" s="0">
        <v>284</v>
      </c>
      <c r="AR7" t="s" s="0">
        <v>285</v>
      </c>
      <c r="AS7" t="s" s="0">
        <v>286</v>
      </c>
      <c r="AT7" t="s" s="0">
        <v>81</v>
      </c>
      <c r="AU7" t="s" s="0">
        <v>287</v>
      </c>
      <c r="AV7" t="s" s="0">
        <v>81</v>
      </c>
      <c r="AW7" t="s" s="0">
        <v>279</v>
      </c>
      <c r="AX7" t="s" s="0">
        <v>288</v>
      </c>
      <c r="AY7" t="s" s="0">
        <v>289</v>
      </c>
      <c r="AZ7" t="s" s="0">
        <v>290</v>
      </c>
      <c r="BA7" t="s" s="0">
        <v>291</v>
      </c>
      <c r="BB7" t="s" s="0">
        <v>196</v>
      </c>
      <c r="BC7" t="s" s="0">
        <v>81</v>
      </c>
      <c r="BD7" t="s" s="0">
        <v>81</v>
      </c>
      <c r="BE7" t="s" s="0">
        <v>81</v>
      </c>
      <c r="BF7" t="s" s="0">
        <v>81</v>
      </c>
      <c r="BG7" t="s" s="0">
        <v>81</v>
      </c>
      <c r="BH7" t="s" s="0">
        <v>81</v>
      </c>
      <c r="BI7" t="s" s="0">
        <v>292</v>
      </c>
      <c r="BJ7" t="s" s="0">
        <v>293</v>
      </c>
      <c r="BK7" t="s" s="11">
        <f>HYPERLINK("http://dx.doi.org/10.3390/diagnostics15030316","http://dx.doi.org/10.3390/diagnostics15030316")</f>
        <v>294</v>
      </c>
      <c r="BL7" t="s" s="0">
        <v>81</v>
      </c>
      <c r="BM7" t="s" s="0">
        <v>81</v>
      </c>
      <c r="BN7" t="s" s="0">
        <v>295</v>
      </c>
      <c r="BO7" t="s" s="0">
        <v>296</v>
      </c>
      <c r="BP7" t="s" s="0">
        <v>297</v>
      </c>
      <c r="BQ7" t="s" s="0">
        <v>298</v>
      </c>
      <c r="BR7" t="s" s="0">
        <v>299</v>
      </c>
      <c r="BS7" t="s" s="0">
        <v>300</v>
      </c>
      <c r="BT7" t="s" s="12">
        <f>HYPERLINK("https://www.webofscience.com/wos/woscc/full-record/WOS:001419507400001","View Record in Web of Science")</f>
        <v>114</v>
      </c>
      <c r="BU7" t="s" s="0">
        <v>301</v>
      </c>
      <c r="BV7" t="s" s="0">
        <v>81</v>
      </c>
      <c r="BW7" t="s" s="0">
        <v>81</v>
      </c>
      <c r="BX7" t="s" s="0">
        <v>116</v>
      </c>
    </row>
    <row r="8">
      <c r="A8" t="s" s="0">
        <v>77</v>
      </c>
      <c r="B8" t="s" s="0">
        <v>77</v>
      </c>
      <c r="C8" t="s" s="0">
        <v>97</v>
      </c>
      <c r="D8" t="s" s="0">
        <v>77</v>
      </c>
      <c r="E8" t="s" s="0">
        <v>302</v>
      </c>
      <c r="F8" t="s" s="0">
        <v>303</v>
      </c>
      <c r="G8" t="s" s="0">
        <v>304</v>
      </c>
      <c r="H8" t="s" s="0">
        <v>81</v>
      </c>
      <c r="I8" t="s" s="0">
        <v>238</v>
      </c>
      <c r="J8" t="s" s="0">
        <v>305</v>
      </c>
      <c r="K8" t="s" s="0">
        <v>306</v>
      </c>
      <c r="L8" t="s" s="0">
        <v>81</v>
      </c>
      <c r="M8" t="s" s="0">
        <v>81</v>
      </c>
      <c r="N8" t="s" s="0">
        <v>81</v>
      </c>
      <c r="O8" t="s" s="0">
        <v>307</v>
      </c>
      <c r="P8" t="s" s="0">
        <v>308</v>
      </c>
      <c r="Q8" t="s" s="0">
        <v>87</v>
      </c>
      <c r="R8" t="s" s="0">
        <v>81</v>
      </c>
      <c r="S8" t="s" s="0">
        <v>81</v>
      </c>
      <c r="T8" t="s" s="0">
        <v>81</v>
      </c>
      <c r="U8" t="s" s="0">
        <v>81</v>
      </c>
      <c r="V8" t="s" s="0">
        <v>309</v>
      </c>
      <c r="W8" t="s" s="0">
        <v>310</v>
      </c>
      <c r="X8" t="s" s="0">
        <v>81</v>
      </c>
      <c r="Y8" t="s" s="0">
        <v>81</v>
      </c>
      <c r="Z8" t="s" s="0">
        <v>90</v>
      </c>
      <c r="AA8" t="s" s="0">
        <v>91</v>
      </c>
      <c r="AB8" t="s" s="0">
        <v>81</v>
      </c>
      <c r="AC8" t="s" s="0">
        <v>81</v>
      </c>
      <c r="AD8" t="s" s="0">
        <v>81</v>
      </c>
      <c r="AE8" t="s" s="0">
        <v>81</v>
      </c>
      <c r="AF8" t="s" s="0">
        <v>81</v>
      </c>
      <c r="AG8" t="s" s="0">
        <v>311</v>
      </c>
      <c r="AH8" t="s" s="0">
        <v>312</v>
      </c>
      <c r="AI8" t="s" s="0">
        <v>313</v>
      </c>
      <c r="AJ8" t="s" s="0">
        <v>314</v>
      </c>
      <c r="AK8" t="s" s="0">
        <v>81</v>
      </c>
      <c r="AL8" t="s" s="0">
        <v>315</v>
      </c>
      <c r="AM8" t="s" s="0">
        <v>196</v>
      </c>
      <c r="AN8" t="s" s="0">
        <v>133</v>
      </c>
      <c r="AO8" t="s" s="0">
        <v>97</v>
      </c>
      <c r="AP8" t="s" s="0">
        <v>316</v>
      </c>
      <c r="AQ8" t="s" s="0">
        <v>284</v>
      </c>
      <c r="AR8" t="s" s="0">
        <v>285</v>
      </c>
      <c r="AS8" t="s" s="0">
        <v>317</v>
      </c>
      <c r="AT8" t="s" s="0">
        <v>81</v>
      </c>
      <c r="AU8" t="s" s="0">
        <v>318</v>
      </c>
      <c r="AV8" t="s" s="0">
        <v>81</v>
      </c>
      <c r="AW8" t="s" s="0">
        <v>310</v>
      </c>
      <c r="AX8" t="s" s="0">
        <v>319</v>
      </c>
      <c r="AY8" t="s" s="0">
        <v>320</v>
      </c>
      <c r="AZ8" t="s" s="0">
        <v>185</v>
      </c>
      <c r="BA8" t="s" s="0">
        <v>134</v>
      </c>
      <c r="BB8" t="s" s="0">
        <v>133</v>
      </c>
      <c r="BC8" t="s" s="0">
        <v>81</v>
      </c>
      <c r="BD8" t="s" s="0">
        <v>81</v>
      </c>
      <c r="BE8" t="s" s="0">
        <v>81</v>
      </c>
      <c r="BF8" t="s" s="0">
        <v>81</v>
      </c>
      <c r="BG8" t="s" s="0">
        <v>81</v>
      </c>
      <c r="BH8" t="s" s="0">
        <v>81</v>
      </c>
      <c r="BI8" t="s" s="0">
        <v>321</v>
      </c>
      <c r="BJ8" t="s" s="0">
        <v>322</v>
      </c>
      <c r="BK8" t="s" s="13">
        <f>HYPERLINK("http://dx.doi.org/10.3390/economies12050112","http://dx.doi.org/10.3390/economies12050112")</f>
        <v>323</v>
      </c>
      <c r="BL8" t="s" s="0">
        <v>81</v>
      </c>
      <c r="BM8" t="s" s="0">
        <v>81</v>
      </c>
      <c r="BN8" t="s" s="0">
        <v>324</v>
      </c>
      <c r="BO8" t="s" s="0">
        <v>325</v>
      </c>
      <c r="BP8" t="s" s="0">
        <v>326</v>
      </c>
      <c r="BQ8" t="s" s="0">
        <v>327</v>
      </c>
      <c r="BR8" t="s" s="0">
        <v>81</v>
      </c>
      <c r="BS8" t="s" s="0">
        <v>328</v>
      </c>
      <c r="BT8" t="s" s="14">
        <f>HYPERLINK("https://www.webofscience.com/wos/woscc/full-record/WOS:001232448700001","View Record in Web of Science")</f>
        <v>114</v>
      </c>
      <c r="BU8" t="s" s="0">
        <v>301</v>
      </c>
      <c r="BV8" t="s" s="0">
        <v>81</v>
      </c>
      <c r="BW8" t="s" s="0">
        <v>81</v>
      </c>
      <c r="BX8" t="s" s="0">
        <v>116</v>
      </c>
    </row>
    <row r="9">
      <c r="A9" t="s" s="0">
        <v>77</v>
      </c>
      <c r="B9" t="s" s="0">
        <v>77</v>
      </c>
      <c r="C9" t="s" s="0">
        <v>175</v>
      </c>
      <c r="D9" t="s" s="0">
        <v>77</v>
      </c>
      <c r="E9" t="s" s="0">
        <v>329</v>
      </c>
      <c r="F9" t="s" s="0">
        <v>330</v>
      </c>
      <c r="G9" t="s" s="0">
        <v>331</v>
      </c>
      <c r="H9" t="s" s="0">
        <v>81</v>
      </c>
      <c r="I9" t="s" s="0">
        <v>82</v>
      </c>
      <c r="J9" t="s" s="0">
        <v>332</v>
      </c>
      <c r="K9" t="s" s="0">
        <v>333</v>
      </c>
      <c r="L9" t="s" s="0">
        <v>334</v>
      </c>
      <c r="M9" t="s" s="0">
        <v>334</v>
      </c>
      <c r="N9" t="s" s="0">
        <v>335</v>
      </c>
      <c r="O9" t="s" s="0">
        <v>336</v>
      </c>
      <c r="P9" t="s" s="0">
        <v>337</v>
      </c>
      <c r="Q9" t="s" s="0">
        <v>87</v>
      </c>
      <c r="R9" t="s" s="0">
        <v>81</v>
      </c>
      <c r="S9" t="s" s="0">
        <v>81</v>
      </c>
      <c r="T9" t="s" s="0">
        <v>81</v>
      </c>
      <c r="U9" t="s" s="0">
        <v>81</v>
      </c>
      <c r="V9" t="s" s="0">
        <v>338</v>
      </c>
      <c r="W9" t="s" s="0">
        <v>89</v>
      </c>
      <c r="X9" t="s" s="0">
        <v>81</v>
      </c>
      <c r="Y9" t="s" s="0">
        <v>81</v>
      </c>
      <c r="Z9" t="s" s="0">
        <v>90</v>
      </c>
      <c r="AA9" t="s" s="0">
        <v>91</v>
      </c>
      <c r="AB9" t="s" s="0">
        <v>81</v>
      </c>
      <c r="AC9" t="s" s="0">
        <v>81</v>
      </c>
      <c r="AD9" t="s" s="0">
        <v>81</v>
      </c>
      <c r="AE9" t="s" s="0">
        <v>81</v>
      </c>
      <c r="AF9" t="s" s="0">
        <v>81</v>
      </c>
      <c r="AG9" t="s" s="0">
        <v>339</v>
      </c>
      <c r="AH9" t="s" s="0">
        <v>340</v>
      </c>
      <c r="AI9" t="s" s="0">
        <v>341</v>
      </c>
      <c r="AJ9" t="s" s="0">
        <v>342</v>
      </c>
      <c r="AK9" t="s" s="0">
        <v>81</v>
      </c>
      <c r="AL9" t="s" s="0">
        <v>343</v>
      </c>
      <c r="AM9" t="s" s="0">
        <v>109</v>
      </c>
      <c r="AN9" t="s" s="0">
        <v>344</v>
      </c>
      <c r="AO9" t="s" s="0">
        <v>77</v>
      </c>
      <c r="AP9" t="s" s="0">
        <v>104</v>
      </c>
      <c r="AQ9" t="s" s="0">
        <v>98</v>
      </c>
      <c r="AR9" t="s" s="0">
        <v>99</v>
      </c>
      <c r="AS9" t="s" s="0">
        <v>100</v>
      </c>
      <c r="AT9" t="s" s="0">
        <v>101</v>
      </c>
      <c r="AU9" t="s" s="0">
        <v>81</v>
      </c>
      <c r="AV9" t="s" s="0">
        <v>81</v>
      </c>
      <c r="AW9" t="s" s="0">
        <v>89</v>
      </c>
      <c r="AX9" t="s" s="0">
        <v>102</v>
      </c>
      <c r="AY9" t="s" s="0">
        <v>185</v>
      </c>
      <c r="AZ9" t="s" s="0">
        <v>185</v>
      </c>
      <c r="BA9" t="s" s="0">
        <v>134</v>
      </c>
      <c r="BB9" t="s" s="0">
        <v>81</v>
      </c>
      <c r="BC9" t="s" s="0">
        <v>81</v>
      </c>
      <c r="BD9" t="s" s="0">
        <v>81</v>
      </c>
      <c r="BE9" t="s" s="0">
        <v>81</v>
      </c>
      <c r="BF9" t="s" s="0">
        <v>81</v>
      </c>
      <c r="BG9" t="s" s="0">
        <v>345</v>
      </c>
      <c r="BH9" t="s" s="0">
        <v>346</v>
      </c>
      <c r="BI9" t="s" s="0">
        <v>81</v>
      </c>
      <c r="BJ9" t="s" s="0">
        <v>347</v>
      </c>
      <c r="BK9" t="s" s="15">
        <f>HYPERLINK("http://dx.doi.org/10.1109/ACCESS.2024.3398198","http://dx.doi.org/10.1109/ACCESS.2024.3398198")</f>
        <v>348</v>
      </c>
      <c r="BL9" t="s" s="0">
        <v>81</v>
      </c>
      <c r="BM9" t="s" s="0">
        <v>81</v>
      </c>
      <c r="BN9" t="s" s="0">
        <v>135</v>
      </c>
      <c r="BO9" t="s" s="0">
        <v>110</v>
      </c>
      <c r="BP9" t="s" s="0">
        <v>111</v>
      </c>
      <c r="BQ9" t="s" s="0">
        <v>349</v>
      </c>
      <c r="BR9" t="s" s="0">
        <v>81</v>
      </c>
      <c r="BS9" t="s" s="0">
        <v>350</v>
      </c>
      <c r="BT9" t="s" s="16">
        <f>HYPERLINK("https://www.webofscience.com/wos/woscc/full-record/WOS:001226051300001","View Record in Web of Science")</f>
        <v>114</v>
      </c>
      <c r="BU9" t="s" s="0">
        <v>301</v>
      </c>
      <c r="BV9" t="s" s="0">
        <v>81</v>
      </c>
      <c r="BW9" t="s" s="0">
        <v>81</v>
      </c>
      <c r="BX9" t="s" s="0">
        <v>116</v>
      </c>
    </row>
    <row r="10">
      <c r="A10" t="s" s="0">
        <v>77</v>
      </c>
      <c r="B10" t="s" s="0">
        <v>77</v>
      </c>
      <c r="C10" t="s" s="0">
        <v>316</v>
      </c>
      <c r="D10" t="s" s="0">
        <v>77</v>
      </c>
      <c r="E10" t="s" s="0">
        <v>351</v>
      </c>
      <c r="F10" t="s" s="0">
        <v>352</v>
      </c>
      <c r="G10" t="s" s="0">
        <v>353</v>
      </c>
      <c r="H10" t="s" s="0">
        <v>81</v>
      </c>
      <c r="I10" t="s" s="0">
        <v>82</v>
      </c>
      <c r="J10" t="s" s="0">
        <v>354</v>
      </c>
      <c r="K10" t="s" s="0">
        <v>355</v>
      </c>
      <c r="L10" t="s" s="0">
        <v>356</v>
      </c>
      <c r="M10" t="s" s="0">
        <v>357</v>
      </c>
      <c r="N10" t="s" s="0">
        <v>358</v>
      </c>
      <c r="O10" t="s" s="0">
        <v>359</v>
      </c>
      <c r="P10" t="s" s="0">
        <v>360</v>
      </c>
      <c r="Q10" t="s" s="0">
        <v>87</v>
      </c>
      <c r="R10" t="s" s="0">
        <v>81</v>
      </c>
      <c r="S10" t="s" s="0">
        <v>81</v>
      </c>
      <c r="T10" t="s" s="0">
        <v>81</v>
      </c>
      <c r="U10" t="s" s="0">
        <v>81</v>
      </c>
      <c r="V10" t="s" s="0">
        <v>361</v>
      </c>
      <c r="W10" t="s" s="0">
        <v>362</v>
      </c>
      <c r="X10" t="s" s="0">
        <v>81</v>
      </c>
      <c r="Y10" t="s" s="0">
        <v>81</v>
      </c>
      <c r="Z10" t="s" s="0">
        <v>90</v>
      </c>
      <c r="AA10" t="s" s="0">
        <v>91</v>
      </c>
      <c r="AB10" t="s" s="0">
        <v>81</v>
      </c>
      <c r="AC10" t="s" s="0">
        <v>81</v>
      </c>
      <c r="AD10" t="s" s="0">
        <v>81</v>
      </c>
      <c r="AE10" t="s" s="0">
        <v>81</v>
      </c>
      <c r="AF10" t="s" s="0">
        <v>81</v>
      </c>
      <c r="AG10" t="s" s="0">
        <v>363</v>
      </c>
      <c r="AH10" t="s" s="0">
        <v>81</v>
      </c>
      <c r="AI10" t="s" s="0">
        <v>364</v>
      </c>
      <c r="AJ10" t="s" s="0">
        <v>365</v>
      </c>
      <c r="AK10" t="s" s="0">
        <v>81</v>
      </c>
      <c r="AL10" t="s" s="0">
        <v>366</v>
      </c>
      <c r="AM10" t="s" s="0">
        <v>291</v>
      </c>
      <c r="AN10" t="s" s="0">
        <v>222</v>
      </c>
      <c r="AO10" t="s" s="0">
        <v>156</v>
      </c>
      <c r="AP10" t="s" s="0">
        <v>367</v>
      </c>
      <c r="AQ10" t="s" s="0">
        <v>368</v>
      </c>
      <c r="AR10" t="s" s="0">
        <v>369</v>
      </c>
      <c r="AS10" t="s" s="0">
        <v>370</v>
      </c>
      <c r="AT10" t="s" s="0">
        <v>81</v>
      </c>
      <c r="AU10" t="s" s="0">
        <v>371</v>
      </c>
      <c r="AV10" t="s" s="0">
        <v>81</v>
      </c>
      <c r="AW10" t="s" s="0">
        <v>372</v>
      </c>
      <c r="AX10" t="s" s="0">
        <v>373</v>
      </c>
      <c r="AY10" t="s" s="0">
        <v>374</v>
      </c>
      <c r="AZ10" t="s" s="0">
        <v>185</v>
      </c>
      <c r="BA10" t="s" s="0">
        <v>191</v>
      </c>
      <c r="BB10" t="s" s="0">
        <v>81</v>
      </c>
      <c r="BC10" t="s" s="0">
        <v>81</v>
      </c>
      <c r="BD10" t="s" s="0">
        <v>81</v>
      </c>
      <c r="BE10" t="s" s="0">
        <v>81</v>
      </c>
      <c r="BF10" t="s" s="0">
        <v>81</v>
      </c>
      <c r="BG10" t="s" s="0">
        <v>81</v>
      </c>
      <c r="BH10" t="s" s="0">
        <v>81</v>
      </c>
      <c r="BI10" t="s" s="0">
        <v>375</v>
      </c>
      <c r="BJ10" t="s" s="0">
        <v>376</v>
      </c>
      <c r="BK10" t="s" s="17">
        <f>HYPERLINK("http://dx.doi.org/10.3389/fmed.2024.1349373","http://dx.doi.org/10.3389/fmed.2024.1349373")</f>
        <v>377</v>
      </c>
      <c r="BL10" t="s" s="0">
        <v>81</v>
      </c>
      <c r="BM10" t="s" s="0">
        <v>81</v>
      </c>
      <c r="BN10" t="s" s="0">
        <v>191</v>
      </c>
      <c r="BO10" t="s" s="0">
        <v>296</v>
      </c>
      <c r="BP10" t="s" s="0">
        <v>297</v>
      </c>
      <c r="BQ10" t="s" s="0">
        <v>378</v>
      </c>
      <c r="BR10" t="s" s="0">
        <v>379</v>
      </c>
      <c r="BS10" t="s" s="0">
        <v>380</v>
      </c>
      <c r="BT10" t="s" s="18">
        <f>HYPERLINK("https://www.webofscience.com/wos/woscc/full-record/WOS:001209384700001","View Record in Web of Science")</f>
        <v>114</v>
      </c>
      <c r="BU10" t="s" s="0">
        <v>301</v>
      </c>
      <c r="BV10" t="s" s="0">
        <v>81</v>
      </c>
      <c r="BW10" t="s" s="0">
        <v>81</v>
      </c>
      <c r="BX10" t="s" s="0">
        <v>116</v>
      </c>
    </row>
    <row r="11">
      <c r="A11" t="s" s="0">
        <v>156</v>
      </c>
      <c r="B11" t="s" s="0">
        <v>77</v>
      </c>
      <c r="C11" t="s" s="0">
        <v>381</v>
      </c>
      <c r="D11" t="s" s="0">
        <v>77</v>
      </c>
      <c r="E11" t="s" s="0">
        <v>382</v>
      </c>
      <c r="F11" t="s" s="0">
        <v>383</v>
      </c>
      <c r="G11" t="s" s="0">
        <v>384</v>
      </c>
      <c r="H11" t="s" s="0">
        <v>81</v>
      </c>
      <c r="I11" t="s" s="0">
        <v>82</v>
      </c>
      <c r="J11" t="s" s="0">
        <v>385</v>
      </c>
      <c r="K11" t="s" s="0">
        <v>386</v>
      </c>
      <c r="L11" t="s" s="0">
        <v>387</v>
      </c>
      <c r="M11" t="s" s="0">
        <v>388</v>
      </c>
      <c r="N11" t="s" s="0">
        <v>335</v>
      </c>
      <c r="O11" t="s" s="0">
        <v>389</v>
      </c>
      <c r="P11" t="s" s="0">
        <v>390</v>
      </c>
      <c r="Q11" t="s" s="0">
        <v>87</v>
      </c>
      <c r="R11" t="s" s="0">
        <v>81</v>
      </c>
      <c r="S11" t="s" s="0">
        <v>81</v>
      </c>
      <c r="T11" t="s" s="0">
        <v>81</v>
      </c>
      <c r="U11" t="s" s="0">
        <v>81</v>
      </c>
      <c r="V11" t="s" s="0">
        <v>391</v>
      </c>
      <c r="W11" t="s" s="0">
        <v>392</v>
      </c>
      <c r="X11" t="s" s="0">
        <v>81</v>
      </c>
      <c r="Y11" t="s" s="0">
        <v>81</v>
      </c>
      <c r="Z11" t="s" s="0">
        <v>90</v>
      </c>
      <c r="AA11" t="s" s="0">
        <v>91</v>
      </c>
      <c r="AB11" t="s" s="0">
        <v>81</v>
      </c>
      <c r="AC11" t="s" s="0">
        <v>81</v>
      </c>
      <c r="AD11" t="s" s="0">
        <v>81</v>
      </c>
      <c r="AE11" t="s" s="0">
        <v>81</v>
      </c>
      <c r="AF11" t="s" s="0">
        <v>81</v>
      </c>
      <c r="AG11" t="s" s="0">
        <v>393</v>
      </c>
      <c r="AH11" t="s" s="0">
        <v>394</v>
      </c>
      <c r="AI11" t="s" s="0">
        <v>395</v>
      </c>
      <c r="AJ11" t="s" s="0">
        <v>396</v>
      </c>
      <c r="AK11" t="s" s="0">
        <v>81</v>
      </c>
      <c r="AL11" t="s" s="0">
        <v>397</v>
      </c>
      <c r="AM11" t="s" s="0">
        <v>343</v>
      </c>
      <c r="AN11" t="s" s="0">
        <v>398</v>
      </c>
      <c r="AO11" t="s" s="0">
        <v>381</v>
      </c>
      <c r="AP11" t="s" s="0">
        <v>399</v>
      </c>
      <c r="AQ11" t="s" s="0">
        <v>212</v>
      </c>
      <c r="AR11" t="s" s="0">
        <v>213</v>
      </c>
      <c r="AS11" t="s" s="0">
        <v>214</v>
      </c>
      <c r="AT11" t="s" s="0">
        <v>400</v>
      </c>
      <c r="AU11" t="s" s="0">
        <v>401</v>
      </c>
      <c r="AV11" t="s" s="0">
        <v>81</v>
      </c>
      <c r="AW11" t="s" s="0">
        <v>402</v>
      </c>
      <c r="AX11" t="s" s="0">
        <v>403</v>
      </c>
      <c r="AY11" t="s" s="0">
        <v>404</v>
      </c>
      <c r="AZ11" t="s" s="0">
        <v>185</v>
      </c>
      <c r="BA11" t="s" s="0">
        <v>405</v>
      </c>
      <c r="BB11" t="s" s="0">
        <v>261</v>
      </c>
      <c r="BC11" t="s" s="0">
        <v>81</v>
      </c>
      <c r="BD11" t="s" s="0">
        <v>81</v>
      </c>
      <c r="BE11" t="s" s="0">
        <v>81</v>
      </c>
      <c r="BF11" t="s" s="0">
        <v>81</v>
      </c>
      <c r="BG11" t="s" s="0">
        <v>81</v>
      </c>
      <c r="BH11" t="s" s="0">
        <v>81</v>
      </c>
      <c r="BI11" t="s" s="0">
        <v>406</v>
      </c>
      <c r="BJ11" t="s" s="0">
        <v>407</v>
      </c>
      <c r="BK11" t="s" s="19">
        <f>HYPERLINK("http://dx.doi.org/10.1007/s10462-024-10852-w","http://dx.doi.org/10.1007/s10462-024-10852-w")</f>
        <v>408</v>
      </c>
      <c r="BL11" t="s" s="0">
        <v>81</v>
      </c>
      <c r="BM11" t="s" s="0">
        <v>81</v>
      </c>
      <c r="BN11" t="s" s="0">
        <v>173</v>
      </c>
      <c r="BO11" t="s" s="0">
        <v>409</v>
      </c>
      <c r="BP11" t="s" s="0">
        <v>152</v>
      </c>
      <c r="BQ11" t="s" s="0">
        <v>410</v>
      </c>
      <c r="BR11" t="s" s="0">
        <v>411</v>
      </c>
      <c r="BS11" t="s" s="0">
        <v>412</v>
      </c>
      <c r="BT11" t="s" s="20">
        <f>HYPERLINK("https://www.webofscience.com/wos/woscc/full-record/WOS:001288486700001","View Record in Web of Science")</f>
        <v>114</v>
      </c>
      <c r="BU11" t="s" s="0">
        <v>155</v>
      </c>
      <c r="BV11" t="s" s="0">
        <v>81</v>
      </c>
      <c r="BW11" t="s" s="0">
        <v>81</v>
      </c>
      <c r="BX11" t="s" s="0">
        <v>116</v>
      </c>
    </row>
    <row r="12">
      <c r="A12" t="s" s="0">
        <v>77</v>
      </c>
      <c r="B12" t="s" s="0">
        <v>77</v>
      </c>
      <c r="C12" t="s" s="0">
        <v>77</v>
      </c>
      <c r="D12" t="s" s="0">
        <v>77</v>
      </c>
      <c r="E12" t="s" s="0">
        <v>413</v>
      </c>
      <c r="F12" t="s" s="0">
        <v>414</v>
      </c>
      <c r="G12" t="s" s="0">
        <v>415</v>
      </c>
      <c r="H12" t="s" s="0">
        <v>81</v>
      </c>
      <c r="I12" t="s" s="0">
        <v>238</v>
      </c>
      <c r="J12" t="s" s="0">
        <v>416</v>
      </c>
      <c r="K12" t="s" s="0">
        <v>417</v>
      </c>
      <c r="L12" t="s" s="0">
        <v>418</v>
      </c>
      <c r="M12" t="s" s="0">
        <v>419</v>
      </c>
      <c r="N12" t="s" s="0">
        <v>420</v>
      </c>
      <c r="O12" t="s" s="0">
        <v>421</v>
      </c>
      <c r="P12" t="s" s="0">
        <v>422</v>
      </c>
      <c r="Q12" t="s" s="0">
        <v>87</v>
      </c>
      <c r="R12" t="s" s="0">
        <v>81</v>
      </c>
      <c r="S12" t="s" s="0">
        <v>81</v>
      </c>
      <c r="T12" t="s" s="0">
        <v>81</v>
      </c>
      <c r="U12" t="s" s="0">
        <v>81</v>
      </c>
      <c r="V12" t="s" s="0">
        <v>423</v>
      </c>
      <c r="W12" t="s" s="0">
        <v>424</v>
      </c>
      <c r="X12" t="s" s="0">
        <v>81</v>
      </c>
      <c r="Y12" t="s" s="0">
        <v>81</v>
      </c>
      <c r="Z12" t="s" s="0">
        <v>90</v>
      </c>
      <c r="AA12" t="s" s="0">
        <v>91</v>
      </c>
      <c r="AB12" t="s" s="0">
        <v>81</v>
      </c>
      <c r="AC12" t="s" s="0">
        <v>81</v>
      </c>
      <c r="AD12" t="s" s="0">
        <v>81</v>
      </c>
      <c r="AE12" t="s" s="0">
        <v>81</v>
      </c>
      <c r="AF12" t="s" s="0">
        <v>81</v>
      </c>
      <c r="AG12" t="s" s="0">
        <v>425</v>
      </c>
      <c r="AH12" t="s" s="0">
        <v>426</v>
      </c>
      <c r="AI12" t="s" s="0">
        <v>427</v>
      </c>
      <c r="AJ12" t="s" s="0">
        <v>81</v>
      </c>
      <c r="AK12" t="s" s="0">
        <v>81</v>
      </c>
      <c r="AL12" t="s" s="0">
        <v>324</v>
      </c>
      <c r="AM12" t="s" s="0">
        <v>77</v>
      </c>
      <c r="AN12" t="s" s="0">
        <v>77</v>
      </c>
      <c r="AO12" t="s" s="0">
        <v>77</v>
      </c>
      <c r="AP12" t="s" s="0">
        <v>77</v>
      </c>
      <c r="AQ12" t="s" s="0">
        <v>428</v>
      </c>
      <c r="AR12" t="s" s="0">
        <v>429</v>
      </c>
      <c r="AS12" t="s" s="0">
        <v>430</v>
      </c>
      <c r="AT12" t="s" s="0">
        <v>431</v>
      </c>
      <c r="AU12" t="s" s="0">
        <v>81</v>
      </c>
      <c r="AV12" t="s" s="0">
        <v>81</v>
      </c>
      <c r="AW12" t="s" s="0">
        <v>432</v>
      </c>
      <c r="AX12" t="s" s="0">
        <v>433</v>
      </c>
      <c r="AY12" t="s" s="0">
        <v>143</v>
      </c>
      <c r="AZ12" t="s" s="0">
        <v>103</v>
      </c>
      <c r="BA12" t="s" s="0">
        <v>434</v>
      </c>
      <c r="BB12" t="s" s="0">
        <v>97</v>
      </c>
      <c r="BC12" t="s" s="0">
        <v>81</v>
      </c>
      <c r="BD12" t="s" s="0">
        <v>81</v>
      </c>
      <c r="BE12" t="s" s="0">
        <v>81</v>
      </c>
      <c r="BF12" t="s" s="0">
        <v>81</v>
      </c>
      <c r="BG12" t="s" s="0">
        <v>81</v>
      </c>
      <c r="BH12" t="s" s="0">
        <v>81</v>
      </c>
      <c r="BI12" t="s" s="0">
        <v>435</v>
      </c>
      <c r="BJ12" t="s" s="0">
        <v>436</v>
      </c>
      <c r="BK12" t="s" s="21">
        <f>HYPERLINK("http://dx.doi.org/10.1016/j.jgeb.2026.100669","http://dx.doi.org/10.1016/j.jgeb.2026.100669")</f>
        <v>437</v>
      </c>
      <c r="BL12" t="s" s="0">
        <v>81</v>
      </c>
      <c r="BM12" t="s" s="0">
        <v>81</v>
      </c>
      <c r="BN12" t="s" s="0">
        <v>261</v>
      </c>
      <c r="BO12" t="s" s="0">
        <v>438</v>
      </c>
      <c r="BP12" t="s" s="0">
        <v>439</v>
      </c>
      <c r="BQ12" t="s" s="0">
        <v>440</v>
      </c>
      <c r="BR12" t="s" s="0">
        <v>441</v>
      </c>
      <c r="BS12" t="s" s="0">
        <v>442</v>
      </c>
      <c r="BT12" t="s" s="22">
        <f>HYPERLINK("https://www.webofscience.com/wos/woscc/full-record/WOS:001714500300001","View Record in Web of Science")</f>
        <v>114</v>
      </c>
      <c r="BU12" t="s" s="0">
        <v>301</v>
      </c>
      <c r="BV12" t="s" s="0">
        <v>81</v>
      </c>
      <c r="BW12" t="s" s="0">
        <v>81</v>
      </c>
      <c r="BX12" t="s" s="0">
        <v>116</v>
      </c>
    </row>
    <row r="13">
      <c r="A13" t="s" s="0">
        <v>77</v>
      </c>
      <c r="B13" t="s" s="0">
        <v>77</v>
      </c>
      <c r="C13" t="s" s="0">
        <v>77</v>
      </c>
      <c r="D13" t="s" s="0">
        <v>77</v>
      </c>
      <c r="E13" t="s" s="0">
        <v>443</v>
      </c>
      <c r="F13" t="s" s="0">
        <v>444</v>
      </c>
      <c r="G13" t="s" s="0">
        <v>445</v>
      </c>
      <c r="H13" t="s" s="0">
        <v>81</v>
      </c>
      <c r="I13" t="s" s="0">
        <v>238</v>
      </c>
      <c r="J13" t="s" s="0">
        <v>446</v>
      </c>
      <c r="K13" t="s" s="0">
        <v>447</v>
      </c>
      <c r="L13" t="s" s="0">
        <v>81</v>
      </c>
      <c r="M13" t="s" s="0">
        <v>81</v>
      </c>
      <c r="N13" t="s" s="0">
        <v>81</v>
      </c>
      <c r="O13" t="s" s="0">
        <v>448</v>
      </c>
      <c r="P13" t="s" s="0">
        <v>449</v>
      </c>
      <c r="Q13" t="s" s="0">
        <v>87</v>
      </c>
      <c r="R13" t="s" s="0">
        <v>81</v>
      </c>
      <c r="S13" t="s" s="0">
        <v>81</v>
      </c>
      <c r="T13" t="s" s="0">
        <v>81</v>
      </c>
      <c r="U13" t="s" s="0">
        <v>81</v>
      </c>
      <c r="V13" t="s" s="0">
        <v>450</v>
      </c>
      <c r="W13" t="s" s="0">
        <v>451</v>
      </c>
      <c r="X13" t="s" s="0">
        <v>81</v>
      </c>
      <c r="Y13" t="s" s="0">
        <v>81</v>
      </c>
      <c r="Z13" t="s" s="0">
        <v>90</v>
      </c>
      <c r="AA13" t="s" s="0">
        <v>91</v>
      </c>
      <c r="AB13" t="s" s="0">
        <v>81</v>
      </c>
      <c r="AC13" t="s" s="0">
        <v>81</v>
      </c>
      <c r="AD13" t="s" s="0">
        <v>81</v>
      </c>
      <c r="AE13" t="s" s="0">
        <v>81</v>
      </c>
      <c r="AF13" t="s" s="0">
        <v>81</v>
      </c>
      <c r="AG13" t="s" s="0">
        <v>452</v>
      </c>
      <c r="AH13" t="s" s="0">
        <v>453</v>
      </c>
      <c r="AI13" t="s" s="0">
        <v>454</v>
      </c>
      <c r="AJ13" t="s" s="0">
        <v>455</v>
      </c>
      <c r="AK13" t="s" s="0">
        <v>81</v>
      </c>
      <c r="AL13" t="s" s="0">
        <v>456</v>
      </c>
      <c r="AM13" t="s" s="0">
        <v>234</v>
      </c>
      <c r="AN13" t="s" s="0">
        <v>381</v>
      </c>
      <c r="AO13" t="s" s="0">
        <v>156</v>
      </c>
      <c r="AP13" t="s" s="0">
        <v>210</v>
      </c>
      <c r="AQ13" t="s" s="0">
        <v>457</v>
      </c>
      <c r="AR13" t="s" s="0">
        <v>458</v>
      </c>
      <c r="AS13" t="s" s="0">
        <v>459</v>
      </c>
      <c r="AT13" t="s" s="0">
        <v>460</v>
      </c>
      <c r="AU13" t="s" s="0">
        <v>461</v>
      </c>
      <c r="AV13" t="s" s="0">
        <v>81</v>
      </c>
      <c r="AW13" t="s" s="0">
        <v>462</v>
      </c>
      <c r="AX13" t="s" s="0">
        <v>463</v>
      </c>
      <c r="AY13" t="s" s="0">
        <v>220</v>
      </c>
      <c r="AZ13" t="s" s="0">
        <v>220</v>
      </c>
      <c r="BA13" t="s" s="0">
        <v>222</v>
      </c>
      <c r="BB13" t="s" s="0">
        <v>464</v>
      </c>
      <c r="BC13" t="s" s="0">
        <v>81</v>
      </c>
      <c r="BD13" t="s" s="0">
        <v>81</v>
      </c>
      <c r="BE13" t="s" s="0">
        <v>81</v>
      </c>
      <c r="BF13" t="s" s="0">
        <v>81</v>
      </c>
      <c r="BG13" t="s" s="0">
        <v>465</v>
      </c>
      <c r="BH13" t="s" s="0">
        <v>466</v>
      </c>
      <c r="BI13" t="s" s="0">
        <v>81</v>
      </c>
      <c r="BJ13" t="s" s="0">
        <v>467</v>
      </c>
      <c r="BK13" t="s" s="23">
        <f>HYPERLINK("http://dx.doi.org/10.1504/IJIMA.2022.10039953","http://dx.doi.org/10.1504/IJIMA.2022.10039953")</f>
        <v>468</v>
      </c>
      <c r="BL13" t="s" s="0">
        <v>81</v>
      </c>
      <c r="BM13" t="s" s="0">
        <v>81</v>
      </c>
      <c r="BN13" t="s" s="0">
        <v>210</v>
      </c>
      <c r="BO13" t="s" s="0">
        <v>469</v>
      </c>
      <c r="BP13" t="s" s="0">
        <v>326</v>
      </c>
      <c r="BQ13" t="s" s="0">
        <v>470</v>
      </c>
      <c r="BR13" t="s" s="0">
        <v>81</v>
      </c>
      <c r="BS13" t="s" s="0">
        <v>471</v>
      </c>
      <c r="BT13" t="s" s="24">
        <f>HYPERLINK("https://www.webofscience.com/wos/woscc/full-record/WOS:000904205300007","View Record in Web of Science")</f>
        <v>114</v>
      </c>
      <c r="BU13" t="s" s="0">
        <v>81</v>
      </c>
      <c r="BV13" t="s" s="0">
        <v>81</v>
      </c>
      <c r="BW13" t="s" s="0">
        <v>81</v>
      </c>
      <c r="BX13" t="s" s="0">
        <v>116</v>
      </c>
    </row>
    <row r="14">
      <c r="A14" t="s" s="0">
        <v>77</v>
      </c>
      <c r="B14" t="s" s="0">
        <v>77</v>
      </c>
      <c r="C14" t="s" s="0">
        <v>156</v>
      </c>
      <c r="D14" t="s" s="0">
        <v>77</v>
      </c>
      <c r="E14" t="s" s="0">
        <v>472</v>
      </c>
      <c r="F14" t="s" s="0">
        <v>473</v>
      </c>
      <c r="G14" t="s" s="0">
        <v>474</v>
      </c>
      <c r="H14" t="s" s="0">
        <v>81</v>
      </c>
      <c r="I14" t="s" s="0">
        <v>82</v>
      </c>
      <c r="J14" t="s" s="0">
        <v>475</v>
      </c>
      <c r="K14" t="s" s="0">
        <v>476</v>
      </c>
      <c r="L14" t="s" s="0">
        <v>81</v>
      </c>
      <c r="M14" t="s" s="0">
        <v>81</v>
      </c>
      <c r="N14" t="s" s="0">
        <v>81</v>
      </c>
      <c r="O14" t="s" s="0">
        <v>477</v>
      </c>
      <c r="P14" t="s" s="0">
        <v>478</v>
      </c>
      <c r="Q14" t="s" s="0">
        <v>87</v>
      </c>
      <c r="R14" t="s" s="0">
        <v>81</v>
      </c>
      <c r="S14" t="s" s="0">
        <v>81</v>
      </c>
      <c r="T14" t="s" s="0">
        <v>81</v>
      </c>
      <c r="U14" t="s" s="0">
        <v>81</v>
      </c>
      <c r="V14" t="s" s="0">
        <v>479</v>
      </c>
      <c r="W14" t="s" s="0">
        <v>89</v>
      </c>
      <c r="X14" t="s" s="0">
        <v>81</v>
      </c>
      <c r="Y14" t="s" s="0">
        <v>81</v>
      </c>
      <c r="Z14" t="s" s="0">
        <v>90</v>
      </c>
      <c r="AA14" t="s" s="0">
        <v>91</v>
      </c>
      <c r="AB14" t="s" s="0">
        <v>81</v>
      </c>
      <c r="AC14" t="s" s="0">
        <v>81</v>
      </c>
      <c r="AD14" t="s" s="0">
        <v>81</v>
      </c>
      <c r="AE14" t="s" s="0">
        <v>81</v>
      </c>
      <c r="AF14" t="s" s="0">
        <v>81</v>
      </c>
      <c r="AG14" t="s" s="0">
        <v>480</v>
      </c>
      <c r="AH14" t="s" s="0">
        <v>481</v>
      </c>
      <c r="AI14" t="s" s="0">
        <v>482</v>
      </c>
      <c r="AJ14" t="s" s="0">
        <v>483</v>
      </c>
      <c r="AK14" t="s" s="0">
        <v>81</v>
      </c>
      <c r="AL14" t="s" s="0">
        <v>484</v>
      </c>
      <c r="AM14" t="s" s="0">
        <v>222</v>
      </c>
      <c r="AN14" t="s" s="0">
        <v>485</v>
      </c>
      <c r="AO14" t="s" s="0">
        <v>133</v>
      </c>
      <c r="AP14" t="s" s="0">
        <v>252</v>
      </c>
      <c r="AQ14" t="s" s="0">
        <v>98</v>
      </c>
      <c r="AR14" t="s" s="0">
        <v>99</v>
      </c>
      <c r="AS14" t="s" s="0">
        <v>100</v>
      </c>
      <c r="AT14" t="s" s="0">
        <v>101</v>
      </c>
      <c r="AU14" t="s" s="0">
        <v>81</v>
      </c>
      <c r="AV14" t="s" s="0">
        <v>81</v>
      </c>
      <c r="AW14" t="s" s="0">
        <v>89</v>
      </c>
      <c r="AX14" t="s" s="0">
        <v>102</v>
      </c>
      <c r="AY14" t="s" s="0">
        <v>290</v>
      </c>
      <c r="AZ14" t="s" s="0">
        <v>290</v>
      </c>
      <c r="BA14" t="s" s="0">
        <v>486</v>
      </c>
      <c r="BB14" t="s" s="0">
        <v>81</v>
      </c>
      <c r="BC14" t="s" s="0">
        <v>81</v>
      </c>
      <c r="BD14" t="s" s="0">
        <v>81</v>
      </c>
      <c r="BE14" t="s" s="0">
        <v>81</v>
      </c>
      <c r="BF14" t="s" s="0">
        <v>81</v>
      </c>
      <c r="BG14" t="s" s="0">
        <v>487</v>
      </c>
      <c r="BH14" t="s" s="0">
        <v>488</v>
      </c>
      <c r="BI14" t="s" s="0">
        <v>81</v>
      </c>
      <c r="BJ14" t="s" s="0">
        <v>489</v>
      </c>
      <c r="BK14" t="s" s="25">
        <f>HYPERLINK("http://dx.doi.org/10.1109/ACCESS.2025.3555543","http://dx.doi.org/10.1109/ACCESS.2025.3555543")</f>
        <v>490</v>
      </c>
      <c r="BL14" t="s" s="0">
        <v>81</v>
      </c>
      <c r="BM14" t="s" s="0">
        <v>81</v>
      </c>
      <c r="BN14" t="s" s="0">
        <v>324</v>
      </c>
      <c r="BO14" t="s" s="0">
        <v>110</v>
      </c>
      <c r="BP14" t="s" s="0">
        <v>111</v>
      </c>
      <c r="BQ14" t="s" s="0">
        <v>491</v>
      </c>
      <c r="BR14" t="s" s="0">
        <v>81</v>
      </c>
      <c r="BS14" t="s" s="0">
        <v>492</v>
      </c>
      <c r="BT14" t="s" s="26">
        <f>HYPERLINK("https://www.webofscience.com/wos/woscc/full-record/WOS:001463546100030","View Record in Web of Science")</f>
        <v>114</v>
      </c>
      <c r="BU14" t="s" s="0">
        <v>301</v>
      </c>
      <c r="BV14" t="s" s="0">
        <v>81</v>
      </c>
      <c r="BW14" t="s" s="0">
        <v>81</v>
      </c>
      <c r="BX14" t="s" s="0">
        <v>116</v>
      </c>
    </row>
    <row r="15">
      <c r="A15" t="s" s="0">
        <v>77</v>
      </c>
      <c r="B15" t="s" s="0">
        <v>77</v>
      </c>
      <c r="C15" t="s" s="0">
        <v>77</v>
      </c>
      <c r="D15" t="s" s="0">
        <v>77</v>
      </c>
      <c r="E15" t="s" s="0">
        <v>493</v>
      </c>
      <c r="F15" t="s" s="0">
        <v>494</v>
      </c>
      <c r="G15" t="s" s="0">
        <v>495</v>
      </c>
      <c r="H15" t="s" s="0">
        <v>81</v>
      </c>
      <c r="I15" t="s" s="0">
        <v>82</v>
      </c>
      <c r="J15" t="s" s="0">
        <v>496</v>
      </c>
      <c r="K15" t="s" s="0">
        <v>497</v>
      </c>
      <c r="L15" t="s" s="0">
        <v>498</v>
      </c>
      <c r="M15" t="s" s="0">
        <v>499</v>
      </c>
      <c r="N15" t="s" s="0">
        <v>81</v>
      </c>
      <c r="O15" t="s" s="0">
        <v>500</v>
      </c>
      <c r="P15" t="s" s="0">
        <v>501</v>
      </c>
      <c r="Q15" t="s" s="0">
        <v>87</v>
      </c>
      <c r="R15" t="s" s="0">
        <v>81</v>
      </c>
      <c r="S15" t="s" s="0">
        <v>81</v>
      </c>
      <c r="T15" t="s" s="0">
        <v>81</v>
      </c>
      <c r="U15" t="s" s="0">
        <v>81</v>
      </c>
      <c r="V15" t="s" s="0">
        <v>502</v>
      </c>
      <c r="W15" t="s" s="0">
        <v>503</v>
      </c>
      <c r="X15" t="s" s="0">
        <v>81</v>
      </c>
      <c r="Y15" t="s" s="0">
        <v>81</v>
      </c>
      <c r="Z15" t="s" s="0">
        <v>90</v>
      </c>
      <c r="AA15" t="s" s="0">
        <v>91</v>
      </c>
      <c r="AB15" t="s" s="0">
        <v>81</v>
      </c>
      <c r="AC15" t="s" s="0">
        <v>81</v>
      </c>
      <c r="AD15" t="s" s="0">
        <v>81</v>
      </c>
      <c r="AE15" t="s" s="0">
        <v>81</v>
      </c>
      <c r="AF15" t="s" s="0">
        <v>81</v>
      </c>
      <c r="AG15" t="s" s="0">
        <v>504</v>
      </c>
      <c r="AH15" t="s" s="0">
        <v>505</v>
      </c>
      <c r="AI15" t="s" s="0">
        <v>506</v>
      </c>
      <c r="AJ15" t="s" s="0">
        <v>507</v>
      </c>
      <c r="AK15" t="s" s="0">
        <v>81</v>
      </c>
      <c r="AL15" t="s" s="0">
        <v>508</v>
      </c>
      <c r="AM15" t="s" s="0">
        <v>196</v>
      </c>
      <c r="AN15" t="s" s="0">
        <v>196</v>
      </c>
      <c r="AO15" t="s" s="0">
        <v>97</v>
      </c>
      <c r="AP15" t="s" s="0">
        <v>191</v>
      </c>
      <c r="AQ15" t="s" s="0">
        <v>428</v>
      </c>
      <c r="AR15" t="s" s="0">
        <v>429</v>
      </c>
      <c r="AS15" t="s" s="0">
        <v>509</v>
      </c>
      <c r="AT15" t="s" s="0">
        <v>510</v>
      </c>
      <c r="AU15" t="s" s="0">
        <v>511</v>
      </c>
      <c r="AV15" t="s" s="0">
        <v>81</v>
      </c>
      <c r="AW15" t="s" s="0">
        <v>512</v>
      </c>
      <c r="AX15" t="s" s="0">
        <v>513</v>
      </c>
      <c r="AY15" t="s" s="0">
        <v>514</v>
      </c>
      <c r="AZ15" t="s" s="0">
        <v>185</v>
      </c>
      <c r="BA15" t="s" s="0">
        <v>515</v>
      </c>
      <c r="BB15" t="s" s="0">
        <v>81</v>
      </c>
      <c r="BC15" t="s" s="0">
        <v>81</v>
      </c>
      <c r="BD15" t="s" s="0">
        <v>81</v>
      </c>
      <c r="BE15" t="s" s="0">
        <v>81</v>
      </c>
      <c r="BF15" t="s" s="0">
        <v>81</v>
      </c>
      <c r="BG15" t="s" s="0">
        <v>516</v>
      </c>
      <c r="BH15" t="s" s="0">
        <v>517</v>
      </c>
      <c r="BI15" t="s" s="0">
        <v>81</v>
      </c>
      <c r="BJ15" t="s" s="0">
        <v>518</v>
      </c>
      <c r="BK15" t="s" s="27">
        <f>HYPERLINK("http://dx.doi.org/10.1016/j.wneu.2024.01.076","http://dx.doi.org/10.1016/j.wneu.2024.01.076")</f>
        <v>519</v>
      </c>
      <c r="BL15" t="s" s="0">
        <v>81</v>
      </c>
      <c r="BM15" t="s" s="0">
        <v>514</v>
      </c>
      <c r="BN15" t="s" s="0">
        <v>134</v>
      </c>
      <c r="BO15" t="s" s="0">
        <v>520</v>
      </c>
      <c r="BP15" t="s" s="0">
        <v>521</v>
      </c>
      <c r="BQ15" t="s" s="0">
        <v>522</v>
      </c>
      <c r="BR15" t="s" s="0">
        <v>523</v>
      </c>
      <c r="BS15" t="s" s="0">
        <v>524</v>
      </c>
      <c r="BT15" t="s" s="28">
        <f>HYPERLINK("https://www.webofscience.com/wos/woscc/full-record/WOS:001226673500001","View Record in Web of Science")</f>
        <v>114</v>
      </c>
      <c r="BU15" t="s" s="0">
        <v>81</v>
      </c>
      <c r="BV15" t="s" s="0">
        <v>81</v>
      </c>
      <c r="BW15" t="s" s="0">
        <v>81</v>
      </c>
      <c r="BX15" t="s" s="0">
        <v>116</v>
      </c>
    </row>
    <row r="16">
      <c r="A16" t="s" s="0">
        <v>97</v>
      </c>
      <c r="B16" t="s" s="0">
        <v>77</v>
      </c>
      <c r="C16" t="s" s="0">
        <v>133</v>
      </c>
      <c r="D16" t="s" s="0">
        <v>77</v>
      </c>
      <c r="E16" t="s" s="0">
        <v>525</v>
      </c>
      <c r="F16" t="s" s="0">
        <v>526</v>
      </c>
      <c r="G16" t="s" s="0">
        <v>527</v>
      </c>
      <c r="H16" t="s" s="0">
        <v>81</v>
      </c>
      <c r="I16" t="s" s="0">
        <v>528</v>
      </c>
      <c r="J16" t="s" s="0">
        <v>529</v>
      </c>
      <c r="K16" t="s" s="0">
        <v>530</v>
      </c>
      <c r="L16" t="s" s="0">
        <v>531</v>
      </c>
      <c r="M16" t="s" s="0">
        <v>532</v>
      </c>
      <c r="N16" t="s" s="0">
        <v>533</v>
      </c>
      <c r="O16" t="s" s="0">
        <v>534</v>
      </c>
      <c r="P16" t="s" s="0">
        <v>535</v>
      </c>
      <c r="Q16" t="s" s="0">
        <v>87</v>
      </c>
      <c r="R16" t="s" s="0">
        <v>81</v>
      </c>
      <c r="S16" t="s" s="0">
        <v>81</v>
      </c>
      <c r="T16" t="s" s="0">
        <v>81</v>
      </c>
      <c r="U16" t="s" s="0">
        <v>81</v>
      </c>
      <c r="V16" t="s" s="0">
        <v>536</v>
      </c>
      <c r="W16" t="s" s="0">
        <v>537</v>
      </c>
      <c r="X16" t="s" s="0">
        <v>81</v>
      </c>
      <c r="Y16" t="s" s="0">
        <v>81</v>
      </c>
      <c r="Z16" t="s" s="0">
        <v>90</v>
      </c>
      <c r="AA16" t="s" s="0">
        <v>91</v>
      </c>
      <c r="AB16" t="s" s="0">
        <v>81</v>
      </c>
      <c r="AC16" t="s" s="0">
        <v>81</v>
      </c>
      <c r="AD16" t="s" s="0">
        <v>81</v>
      </c>
      <c r="AE16" t="s" s="0">
        <v>81</v>
      </c>
      <c r="AF16" t="s" s="0">
        <v>81</v>
      </c>
      <c r="AG16" t="s" s="0">
        <v>538</v>
      </c>
      <c r="AH16" t="s" s="0">
        <v>539</v>
      </c>
      <c r="AI16" t="s" s="0">
        <v>540</v>
      </c>
      <c r="AJ16" t="s" s="0">
        <v>541</v>
      </c>
      <c r="AK16" t="s" s="0">
        <v>81</v>
      </c>
      <c r="AL16" t="s" s="0">
        <v>542</v>
      </c>
      <c r="AM16" t="s" s="0">
        <v>543</v>
      </c>
      <c r="AN16" t="s" s="0">
        <v>542</v>
      </c>
      <c r="AO16" t="s" s="0">
        <v>316</v>
      </c>
      <c r="AP16" t="s" s="0">
        <v>544</v>
      </c>
      <c r="AQ16" t="s" s="0">
        <v>545</v>
      </c>
      <c r="AR16" t="s" s="0">
        <v>546</v>
      </c>
      <c r="AS16" t="s" s="0">
        <v>547</v>
      </c>
      <c r="AT16" t="s" s="0">
        <v>548</v>
      </c>
      <c r="AU16" t="s" s="0">
        <v>549</v>
      </c>
      <c r="AV16" t="s" s="0">
        <v>81</v>
      </c>
      <c r="AW16" t="s" s="0">
        <v>550</v>
      </c>
      <c r="AX16" t="s" s="0">
        <v>551</v>
      </c>
      <c r="AY16" t="s" s="0">
        <v>552</v>
      </c>
      <c r="AZ16" t="s" s="0">
        <v>290</v>
      </c>
      <c r="BA16" t="s" s="0">
        <v>508</v>
      </c>
      <c r="BB16" t="s" s="0">
        <v>316</v>
      </c>
      <c r="BC16" t="s" s="0">
        <v>81</v>
      </c>
      <c r="BD16" t="s" s="0">
        <v>81</v>
      </c>
      <c r="BE16" t="s" s="0">
        <v>81</v>
      </c>
      <c r="BF16" t="s" s="0">
        <v>81</v>
      </c>
      <c r="BG16" t="s" s="0">
        <v>553</v>
      </c>
      <c r="BH16" t="s" s="0">
        <v>554</v>
      </c>
      <c r="BI16" t="s" s="0">
        <v>81</v>
      </c>
      <c r="BJ16" t="s" s="0">
        <v>555</v>
      </c>
      <c r="BK16" t="s" s="29">
        <f>HYPERLINK("http://dx.doi.org/10.1136/jme-2022-108850","http://dx.doi.org/10.1136/jme-2022-108850")</f>
        <v>556</v>
      </c>
      <c r="BL16" t="s" s="0">
        <v>81</v>
      </c>
      <c r="BM16" t="s" s="0">
        <v>557</v>
      </c>
      <c r="BN16" t="s" s="0">
        <v>261</v>
      </c>
      <c r="BO16" t="s" s="0">
        <v>558</v>
      </c>
      <c r="BP16" t="s" s="0">
        <v>559</v>
      </c>
      <c r="BQ16" t="s" s="0">
        <v>560</v>
      </c>
      <c r="BR16" t="s" s="0">
        <v>561</v>
      </c>
      <c r="BS16" t="s" s="0">
        <v>562</v>
      </c>
      <c r="BT16" t="s" s="30">
        <f>HYPERLINK("https://www.webofscience.com/wos/woscc/full-record/WOS:000943794100001","View Record in Web of Science")</f>
        <v>114</v>
      </c>
      <c r="BU16" t="s" s="0">
        <v>155</v>
      </c>
      <c r="BV16" t="s" s="0">
        <v>81</v>
      </c>
      <c r="BW16" t="s" s="0">
        <v>81</v>
      </c>
      <c r="BX16" t="s" s="0">
        <v>116</v>
      </c>
    </row>
    <row r="17">
      <c r="A17" t="s" s="0">
        <v>77</v>
      </c>
      <c r="B17" t="s" s="0">
        <v>77</v>
      </c>
      <c r="C17" t="s" s="0">
        <v>77</v>
      </c>
      <c r="D17" t="s" s="0">
        <v>77</v>
      </c>
      <c r="E17" t="s" s="0">
        <v>563</v>
      </c>
      <c r="F17" t="s" s="0">
        <v>564</v>
      </c>
      <c r="G17" t="s" s="0">
        <v>565</v>
      </c>
      <c r="H17" t="s" s="0">
        <v>81</v>
      </c>
      <c r="I17" t="s" s="0">
        <v>82</v>
      </c>
      <c r="J17" t="s" s="0">
        <v>566</v>
      </c>
      <c r="K17" t="s" s="0">
        <v>567</v>
      </c>
      <c r="L17" t="s" s="0">
        <v>81</v>
      </c>
      <c r="M17" t="s" s="0">
        <v>81</v>
      </c>
      <c r="N17" t="s" s="0">
        <v>81</v>
      </c>
      <c r="O17" t="s" s="0">
        <v>568</v>
      </c>
      <c r="P17" t="s" s="0">
        <v>569</v>
      </c>
      <c r="Q17" t="s" s="0">
        <v>87</v>
      </c>
      <c r="R17" t="s" s="0">
        <v>81</v>
      </c>
      <c r="S17" t="s" s="0">
        <v>81</v>
      </c>
      <c r="T17" t="s" s="0">
        <v>81</v>
      </c>
      <c r="U17" t="s" s="0">
        <v>81</v>
      </c>
      <c r="V17" t="s" s="0">
        <v>570</v>
      </c>
      <c r="W17" t="s" s="0">
        <v>571</v>
      </c>
      <c r="X17" t="s" s="0">
        <v>81</v>
      </c>
      <c r="Y17" t="s" s="0">
        <v>81</v>
      </c>
      <c r="Z17" t="s" s="0">
        <v>90</v>
      </c>
      <c r="AA17" t="s" s="0">
        <v>91</v>
      </c>
      <c r="AB17" t="s" s="0">
        <v>81</v>
      </c>
      <c r="AC17" t="s" s="0">
        <v>81</v>
      </c>
      <c r="AD17" t="s" s="0">
        <v>81</v>
      </c>
      <c r="AE17" t="s" s="0">
        <v>81</v>
      </c>
      <c r="AF17" t="s" s="0">
        <v>81</v>
      </c>
      <c r="AG17" t="s" s="0">
        <v>572</v>
      </c>
      <c r="AH17" t="s" s="0">
        <v>573</v>
      </c>
      <c r="AI17" t="s" s="0">
        <v>574</v>
      </c>
      <c r="AJ17" t="s" s="0">
        <v>81</v>
      </c>
      <c r="AK17" t="s" s="0">
        <v>81</v>
      </c>
      <c r="AL17" t="s" s="0">
        <v>173</v>
      </c>
      <c r="AM17" t="s" s="0">
        <v>77</v>
      </c>
      <c r="AN17" t="s" s="0">
        <v>77</v>
      </c>
      <c r="AO17" t="s" s="0">
        <v>97</v>
      </c>
      <c r="AP17" t="s" s="0">
        <v>234</v>
      </c>
      <c r="AQ17" t="s" s="0">
        <v>136</v>
      </c>
      <c r="AR17" t="s" s="0">
        <v>137</v>
      </c>
      <c r="AS17" t="s" s="0">
        <v>138</v>
      </c>
      <c r="AT17" t="s" s="0">
        <v>575</v>
      </c>
      <c r="AU17" t="s" s="0">
        <v>81</v>
      </c>
      <c r="AV17" t="s" s="0">
        <v>81</v>
      </c>
      <c r="AW17" t="s" s="0">
        <v>576</v>
      </c>
      <c r="AX17" t="s" s="0">
        <v>577</v>
      </c>
      <c r="AY17" t="s" s="0">
        <v>578</v>
      </c>
      <c r="AZ17" t="s" s="0">
        <v>290</v>
      </c>
      <c r="BA17" t="s" s="0">
        <v>367</v>
      </c>
      <c r="BB17" t="s" s="0">
        <v>196</v>
      </c>
      <c r="BC17" t="s" s="0">
        <v>81</v>
      </c>
      <c r="BD17" t="s" s="0">
        <v>81</v>
      </c>
      <c r="BE17" t="s" s="0">
        <v>81</v>
      </c>
      <c r="BF17" t="s" s="0">
        <v>81</v>
      </c>
      <c r="BG17" t="s" s="0">
        <v>81</v>
      </c>
      <c r="BH17" t="s" s="0">
        <v>81</v>
      </c>
      <c r="BI17" t="s" s="0">
        <v>579</v>
      </c>
      <c r="BJ17" t="s" s="0">
        <v>580</v>
      </c>
      <c r="BK17" t="s" s="31">
        <f>HYPERLINK("http://dx.doi.org/10.1016/j.jrras.2025.101676","http://dx.doi.org/10.1016/j.jrras.2025.101676")</f>
        <v>581</v>
      </c>
      <c r="BL17" t="s" s="0">
        <v>81</v>
      </c>
      <c r="BM17" t="s" s="0">
        <v>552</v>
      </c>
      <c r="BN17" t="s" s="0">
        <v>367</v>
      </c>
      <c r="BO17" t="s" s="0">
        <v>582</v>
      </c>
      <c r="BP17" t="s" s="0">
        <v>583</v>
      </c>
      <c r="BQ17" t="s" s="0">
        <v>584</v>
      </c>
      <c r="BR17" t="s" s="0">
        <v>81</v>
      </c>
      <c r="BS17" t="s" s="0">
        <v>585</v>
      </c>
      <c r="BT17" t="s" s="32">
        <f>HYPERLINK("https://www.webofscience.com/wos/woscc/full-record/WOS:001517361700001","View Record in Web of Science")</f>
        <v>114</v>
      </c>
      <c r="BU17" t="s" s="0">
        <v>115</v>
      </c>
      <c r="BV17" t="s" s="0">
        <v>81</v>
      </c>
      <c r="BW17" t="s" s="0">
        <v>81</v>
      </c>
      <c r="BX17" t="s" s="0">
        <v>116</v>
      </c>
    </row>
    <row r="18">
      <c r="A18" t="s" s="0">
        <v>77</v>
      </c>
      <c r="B18" t="s" s="0">
        <v>77</v>
      </c>
      <c r="C18" t="s" s="0">
        <v>77</v>
      </c>
      <c r="D18" t="s" s="0">
        <v>77</v>
      </c>
      <c r="E18" t="s" s="0">
        <v>586</v>
      </c>
      <c r="F18" t="s" s="0">
        <v>587</v>
      </c>
      <c r="G18" t="s" s="0">
        <v>588</v>
      </c>
      <c r="H18" t="s" s="0">
        <v>81</v>
      </c>
      <c r="I18" t="s" s="0">
        <v>589</v>
      </c>
      <c r="J18" t="s" s="0">
        <v>590</v>
      </c>
      <c r="K18" t="s" s="0">
        <v>591</v>
      </c>
      <c r="L18" t="s" s="0">
        <v>592</v>
      </c>
      <c r="M18" t="s" s="0">
        <v>593</v>
      </c>
      <c r="N18" t="s" s="0">
        <v>594</v>
      </c>
      <c r="O18" t="s" s="0">
        <v>595</v>
      </c>
      <c r="P18" t="s" s="0">
        <v>596</v>
      </c>
      <c r="Q18" t="s" s="0">
        <v>87</v>
      </c>
      <c r="R18" t="s" s="0">
        <v>81</v>
      </c>
      <c r="S18" t="s" s="0">
        <v>81</v>
      </c>
      <c r="T18" t="s" s="0">
        <v>81</v>
      </c>
      <c r="U18" t="s" s="0">
        <v>81</v>
      </c>
      <c r="V18" t="s" s="0">
        <v>597</v>
      </c>
      <c r="W18" t="s" s="0">
        <v>598</v>
      </c>
      <c r="X18" t="s" s="0">
        <v>81</v>
      </c>
      <c r="Y18" t="s" s="0">
        <v>81</v>
      </c>
      <c r="Z18" t="s" s="0">
        <v>90</v>
      </c>
      <c r="AA18" t="s" s="0">
        <v>91</v>
      </c>
      <c r="AB18" t="s" s="0">
        <v>81</v>
      </c>
      <c r="AC18" t="s" s="0">
        <v>81</v>
      </c>
      <c r="AD18" t="s" s="0">
        <v>81</v>
      </c>
      <c r="AE18" t="s" s="0">
        <v>81</v>
      </c>
      <c r="AF18" t="s" s="0">
        <v>81</v>
      </c>
      <c r="AG18" t="s" s="0">
        <v>599</v>
      </c>
      <c r="AH18" t="s" s="0">
        <v>600</v>
      </c>
      <c r="AI18" t="s" s="0">
        <v>81</v>
      </c>
      <c r="AJ18" t="s" s="0">
        <v>601</v>
      </c>
      <c r="AK18" t="s" s="0">
        <v>81</v>
      </c>
      <c r="AL18" t="s" s="0">
        <v>602</v>
      </c>
      <c r="AM18" t="s" s="0">
        <v>196</v>
      </c>
      <c r="AN18" t="s" s="0">
        <v>196</v>
      </c>
      <c r="AO18" t="s" s="0">
        <v>133</v>
      </c>
      <c r="AP18" t="s" s="0">
        <v>291</v>
      </c>
      <c r="AQ18" t="s" s="0">
        <v>603</v>
      </c>
      <c r="AR18" t="s" s="0">
        <v>604</v>
      </c>
      <c r="AS18" t="s" s="0">
        <v>605</v>
      </c>
      <c r="AT18" t="s" s="0">
        <v>606</v>
      </c>
      <c r="AU18" t="s" s="0">
        <v>607</v>
      </c>
      <c r="AV18" t="s" s="0">
        <v>81</v>
      </c>
      <c r="AW18" t="s" s="0">
        <v>608</v>
      </c>
      <c r="AX18" t="s" s="0">
        <v>609</v>
      </c>
      <c r="AY18" t="s" s="0">
        <v>610</v>
      </c>
      <c r="AZ18" t="s" s="0">
        <v>290</v>
      </c>
      <c r="BA18" t="s" s="0">
        <v>295</v>
      </c>
      <c r="BB18" t="s" s="0">
        <v>381</v>
      </c>
      <c r="BC18" t="s" s="0">
        <v>81</v>
      </c>
      <c r="BD18" t="s" s="0">
        <v>81</v>
      </c>
      <c r="BE18" t="s" s="0">
        <v>81</v>
      </c>
      <c r="BF18" t="s" s="0">
        <v>81</v>
      </c>
      <c r="BG18" t="s" s="0">
        <v>611</v>
      </c>
      <c r="BH18" t="s" s="0">
        <v>612</v>
      </c>
      <c r="BI18" t="s" s="0">
        <v>81</v>
      </c>
      <c r="BJ18" t="s" s="0">
        <v>613</v>
      </c>
      <c r="BK18" t="s" s="33">
        <f>HYPERLINK("http://dx.doi.org/10.1080/17483107.2025.2507684","http://dx.doi.org/10.1080/17483107.2025.2507684")</f>
        <v>614</v>
      </c>
      <c r="BL18" t="s" s="0">
        <v>81</v>
      </c>
      <c r="BM18" t="s" s="0">
        <v>615</v>
      </c>
      <c r="BN18" t="s" s="0">
        <v>210</v>
      </c>
      <c r="BO18" t="s" s="0">
        <v>616</v>
      </c>
      <c r="BP18" t="s" s="0">
        <v>616</v>
      </c>
      <c r="BQ18" t="s" s="0">
        <v>617</v>
      </c>
      <c r="BR18" t="s" s="0">
        <v>618</v>
      </c>
      <c r="BS18" t="s" s="0">
        <v>619</v>
      </c>
      <c r="BT18" t="s" s="34">
        <f>HYPERLINK("https://www.webofscience.com/wos/woscc/full-record/WOS:001497387400001","View Record in Web of Science")</f>
        <v>114</v>
      </c>
      <c r="BU18" t="s" s="0">
        <v>81</v>
      </c>
      <c r="BV18" t="s" s="0">
        <v>81</v>
      </c>
      <c r="BW18" t="s" s="0">
        <v>81</v>
      </c>
      <c r="BX18" t="s" s="0">
        <v>116</v>
      </c>
    </row>
    <row r="19">
      <c r="A19" t="s" s="0">
        <v>77</v>
      </c>
      <c r="B19" t="s" s="0">
        <v>77</v>
      </c>
      <c r="C19" t="s" s="0">
        <v>97</v>
      </c>
      <c r="D19" t="s" s="0">
        <v>77</v>
      </c>
      <c r="E19" t="s" s="0">
        <v>620</v>
      </c>
      <c r="F19" t="s" s="0">
        <v>621</v>
      </c>
      <c r="G19" t="s" s="0">
        <v>622</v>
      </c>
      <c r="H19" t="s" s="0">
        <v>81</v>
      </c>
      <c r="I19" t="s" s="0">
        <v>82</v>
      </c>
      <c r="J19" t="s" s="0">
        <v>623</v>
      </c>
      <c r="K19" t="s" s="0">
        <v>624</v>
      </c>
      <c r="L19" t="s" s="0">
        <v>625</v>
      </c>
      <c r="M19" t="s" s="0">
        <v>626</v>
      </c>
      <c r="N19" t="s" s="0">
        <v>627</v>
      </c>
      <c r="O19" t="s" s="0">
        <v>628</v>
      </c>
      <c r="P19" t="s" s="0">
        <v>629</v>
      </c>
      <c r="Q19" t="s" s="0">
        <v>87</v>
      </c>
      <c r="R19" t="s" s="0">
        <v>81</v>
      </c>
      <c r="S19" t="s" s="0">
        <v>81</v>
      </c>
      <c r="T19" t="s" s="0">
        <v>81</v>
      </c>
      <c r="U19" t="s" s="0">
        <v>81</v>
      </c>
      <c r="V19" t="s" s="0">
        <v>630</v>
      </c>
      <c r="W19" t="s" s="0">
        <v>631</v>
      </c>
      <c r="X19" t="s" s="0">
        <v>81</v>
      </c>
      <c r="Y19" t="s" s="0">
        <v>81</v>
      </c>
      <c r="Z19" t="s" s="0">
        <v>90</v>
      </c>
      <c r="AA19" t="s" s="0">
        <v>91</v>
      </c>
      <c r="AB19" t="s" s="0">
        <v>81</v>
      </c>
      <c r="AC19" t="s" s="0">
        <v>81</v>
      </c>
      <c r="AD19" t="s" s="0">
        <v>81</v>
      </c>
      <c r="AE19" t="s" s="0">
        <v>81</v>
      </c>
      <c r="AF19" t="s" s="0">
        <v>81</v>
      </c>
      <c r="AG19" t="s" s="0">
        <v>632</v>
      </c>
      <c r="AH19" t="s" s="0">
        <v>633</v>
      </c>
      <c r="AI19" t="s" s="0">
        <v>634</v>
      </c>
      <c r="AJ19" t="s" s="0">
        <v>635</v>
      </c>
      <c r="AK19" t="s" s="0">
        <v>81</v>
      </c>
      <c r="AL19" t="s" s="0">
        <v>344</v>
      </c>
      <c r="AM19" t="s" s="0">
        <v>196</v>
      </c>
      <c r="AN19" t="s" s="0">
        <v>196</v>
      </c>
      <c r="AO19" t="s" s="0">
        <v>196</v>
      </c>
      <c r="AP19" t="s" s="0">
        <v>291</v>
      </c>
      <c r="AQ19" t="s" s="0">
        <v>636</v>
      </c>
      <c r="AR19" t="s" s="0">
        <v>637</v>
      </c>
      <c r="AS19" t="s" s="0">
        <v>638</v>
      </c>
      <c r="AT19" t="s" s="0">
        <v>639</v>
      </c>
      <c r="AU19" t="s" s="0">
        <v>640</v>
      </c>
      <c r="AV19" t="s" s="0">
        <v>81</v>
      </c>
      <c r="AW19" t="s" s="0">
        <v>641</v>
      </c>
      <c r="AX19" t="s" s="0">
        <v>642</v>
      </c>
      <c r="AY19" t="s" s="0">
        <v>643</v>
      </c>
      <c r="AZ19" t="s" s="0">
        <v>290</v>
      </c>
      <c r="BA19" t="s" s="0">
        <v>405</v>
      </c>
      <c r="BB19" t="s" s="0">
        <v>97</v>
      </c>
      <c r="BC19" t="s" s="0">
        <v>81</v>
      </c>
      <c r="BD19" t="s" s="0">
        <v>81</v>
      </c>
      <c r="BE19" t="s" s="0">
        <v>81</v>
      </c>
      <c r="BF19" t="s" s="0">
        <v>81</v>
      </c>
      <c r="BG19" t="s" s="0">
        <v>81</v>
      </c>
      <c r="BH19" t="s" s="0">
        <v>81</v>
      </c>
      <c r="BI19" t="s" s="0">
        <v>644</v>
      </c>
      <c r="BJ19" t="s" s="0">
        <v>645</v>
      </c>
      <c r="BK19" t="s" s="35">
        <f>HYPERLINK("http://dx.doi.org/10.1080/07853890.2025.2499960","http://dx.doi.org/10.1080/07853890.2025.2499960")</f>
        <v>646</v>
      </c>
      <c r="BL19" t="s" s="0">
        <v>81</v>
      </c>
      <c r="BM19" t="s" s="0">
        <v>81</v>
      </c>
      <c r="BN19" t="s" s="0">
        <v>211</v>
      </c>
      <c r="BO19" t="s" s="0">
        <v>296</v>
      </c>
      <c r="BP19" t="s" s="0">
        <v>297</v>
      </c>
      <c r="BQ19" t="s" s="0">
        <v>647</v>
      </c>
      <c r="BR19" t="s" s="0">
        <v>648</v>
      </c>
      <c r="BS19" t="s" s="0">
        <v>649</v>
      </c>
      <c r="BT19" t="s" s="36">
        <f>HYPERLINK("https://www.webofscience.com/wos/woscc/full-record/WOS:001481957000001","View Record in Web of Science")</f>
        <v>114</v>
      </c>
      <c r="BU19" t="s" s="0">
        <v>650</v>
      </c>
      <c r="BV19" t="s" s="0">
        <v>81</v>
      </c>
      <c r="BW19" t="s" s="0">
        <v>81</v>
      </c>
      <c r="BX19" t="s" s="0">
        <v>116</v>
      </c>
    </row>
    <row r="20">
      <c r="A20" t="s" s="0">
        <v>77</v>
      </c>
      <c r="B20" t="s" s="0">
        <v>77</v>
      </c>
      <c r="C20" t="s" s="0">
        <v>77</v>
      </c>
      <c r="D20" t="s" s="0">
        <v>77</v>
      </c>
      <c r="E20" t="s" s="0">
        <v>651</v>
      </c>
      <c r="F20" t="s" s="0">
        <v>652</v>
      </c>
      <c r="G20" t="s" s="0">
        <v>653</v>
      </c>
      <c r="H20" t="s" s="0">
        <v>81</v>
      </c>
      <c r="I20" t="s" s="0">
        <v>528</v>
      </c>
      <c r="J20" t="s" s="0">
        <v>654</v>
      </c>
      <c r="K20" t="s" s="0">
        <v>655</v>
      </c>
      <c r="L20" t="s" s="0">
        <v>81</v>
      </c>
      <c r="M20" t="s" s="0">
        <v>81</v>
      </c>
      <c r="N20" t="s" s="0">
        <v>656</v>
      </c>
      <c r="O20" t="s" s="0">
        <v>657</v>
      </c>
      <c r="P20" t="s" s="0">
        <v>658</v>
      </c>
      <c r="Q20" t="s" s="0">
        <v>87</v>
      </c>
      <c r="R20" t="s" s="0">
        <v>81</v>
      </c>
      <c r="S20" t="s" s="0">
        <v>81</v>
      </c>
      <c r="T20" t="s" s="0">
        <v>81</v>
      </c>
      <c r="U20" t="s" s="0">
        <v>81</v>
      </c>
      <c r="V20" t="s" s="0">
        <v>659</v>
      </c>
      <c r="W20" t="s" s="0">
        <v>660</v>
      </c>
      <c r="X20" t="s" s="0">
        <v>81</v>
      </c>
      <c r="Y20" t="s" s="0">
        <v>81</v>
      </c>
      <c r="Z20" t="s" s="0">
        <v>90</v>
      </c>
      <c r="AA20" t="s" s="0">
        <v>91</v>
      </c>
      <c r="AB20" t="s" s="0">
        <v>81</v>
      </c>
      <c r="AC20" t="s" s="0">
        <v>81</v>
      </c>
      <c r="AD20" t="s" s="0">
        <v>81</v>
      </c>
      <c r="AE20" t="s" s="0">
        <v>81</v>
      </c>
      <c r="AF20" t="s" s="0">
        <v>81</v>
      </c>
      <c r="AG20" t="s" s="0">
        <v>661</v>
      </c>
      <c r="AH20" t="s" s="0">
        <v>662</v>
      </c>
      <c r="AI20" t="s" s="0">
        <v>663</v>
      </c>
      <c r="AJ20" t="s" s="0">
        <v>81</v>
      </c>
      <c r="AK20" t="s" s="0">
        <v>81</v>
      </c>
      <c r="AL20" t="s" s="0">
        <v>664</v>
      </c>
      <c r="AM20" t="s" s="0">
        <v>77</v>
      </c>
      <c r="AN20" t="s" s="0">
        <v>77</v>
      </c>
      <c r="AO20" t="s" s="0">
        <v>77</v>
      </c>
      <c r="AP20" t="s" s="0">
        <v>77</v>
      </c>
      <c r="AQ20" t="s" s="0">
        <v>665</v>
      </c>
      <c r="AR20" t="s" s="0">
        <v>546</v>
      </c>
      <c r="AS20" t="s" s="0">
        <v>666</v>
      </c>
      <c r="AT20" t="s" s="0">
        <v>667</v>
      </c>
      <c r="AU20" t="s" s="0">
        <v>81</v>
      </c>
      <c r="AV20" t="s" s="0">
        <v>81</v>
      </c>
      <c r="AW20" t="s" s="0">
        <v>668</v>
      </c>
      <c r="AX20" t="s" s="0">
        <v>669</v>
      </c>
      <c r="AY20" t="s" s="0">
        <v>670</v>
      </c>
      <c r="AZ20" t="s" s="0">
        <v>103</v>
      </c>
      <c r="BA20" t="s" s="0">
        <v>671</v>
      </c>
      <c r="BB20" t="s" s="0">
        <v>97</v>
      </c>
      <c r="BC20" t="s" s="0">
        <v>81</v>
      </c>
      <c r="BD20" t="s" s="0">
        <v>81</v>
      </c>
      <c r="BE20" t="s" s="0">
        <v>81</v>
      </c>
      <c r="BF20" t="s" s="0">
        <v>81</v>
      </c>
      <c r="BG20" t="s" s="0">
        <v>81</v>
      </c>
      <c r="BH20" t="s" s="0">
        <v>81</v>
      </c>
      <c r="BI20" t="s" s="0">
        <v>672</v>
      </c>
      <c r="BJ20" t="s" s="0">
        <v>673</v>
      </c>
      <c r="BK20" t="s" s="37">
        <f>HYPERLINK("http://dx.doi.org/10.1186/s12910-026-01496-2","http://dx.doi.org/10.1186/s12910-026-01496-2")</f>
        <v>674</v>
      </c>
      <c r="BL20" t="s" s="0">
        <v>81</v>
      </c>
      <c r="BM20" t="s" s="0">
        <v>675</v>
      </c>
      <c r="BN20" t="s" s="0">
        <v>211</v>
      </c>
      <c r="BO20" t="s" s="0">
        <v>676</v>
      </c>
      <c r="BP20" t="s" s="0">
        <v>677</v>
      </c>
      <c r="BQ20" t="s" s="0">
        <v>678</v>
      </c>
      <c r="BR20" t="s" s="0">
        <v>679</v>
      </c>
      <c r="BS20" t="s" s="0">
        <v>680</v>
      </c>
      <c r="BT20" t="s" s="38">
        <f>HYPERLINK("https://www.webofscience.com/wos/woscc/full-record/WOS:001825285300001","View Record in Web of Science")</f>
        <v>114</v>
      </c>
      <c r="BU20" t="s" s="0">
        <v>301</v>
      </c>
      <c r="BV20" t="s" s="0">
        <v>81</v>
      </c>
      <c r="BW20" t="s" s="0">
        <v>81</v>
      </c>
      <c r="BX20" t="s" s="0">
        <v>116</v>
      </c>
    </row>
    <row r="21">
      <c r="A21" t="s" s="0">
        <v>77</v>
      </c>
      <c r="B21" t="s" s="0">
        <v>77</v>
      </c>
      <c r="C21" t="s" s="0">
        <v>316</v>
      </c>
      <c r="D21" t="s" s="0">
        <v>77</v>
      </c>
      <c r="E21" t="s" s="0">
        <v>681</v>
      </c>
      <c r="F21" t="s" s="0">
        <v>682</v>
      </c>
      <c r="G21" t="s" s="0">
        <v>683</v>
      </c>
      <c r="H21" t="s" s="0">
        <v>81</v>
      </c>
      <c r="I21" t="s" s="0">
        <v>82</v>
      </c>
      <c r="J21" t="s" s="0">
        <v>684</v>
      </c>
      <c r="K21" t="s" s="0">
        <v>685</v>
      </c>
      <c r="L21" t="s" s="0">
        <v>686</v>
      </c>
      <c r="M21" t="s" s="0">
        <v>687</v>
      </c>
      <c r="N21" t="s" s="0">
        <v>688</v>
      </c>
      <c r="O21" t="s" s="0">
        <v>689</v>
      </c>
      <c r="P21" t="s" s="0">
        <v>690</v>
      </c>
      <c r="Q21" t="s" s="0">
        <v>87</v>
      </c>
      <c r="R21" t="s" s="0">
        <v>81</v>
      </c>
      <c r="S21" t="s" s="0">
        <v>81</v>
      </c>
      <c r="T21" t="s" s="0">
        <v>81</v>
      </c>
      <c r="U21" t="s" s="0">
        <v>81</v>
      </c>
      <c r="V21" t="s" s="0">
        <v>691</v>
      </c>
      <c r="W21" t="s" s="0">
        <v>692</v>
      </c>
      <c r="X21" t="s" s="0">
        <v>81</v>
      </c>
      <c r="Y21" t="s" s="0">
        <v>81</v>
      </c>
      <c r="Z21" t="s" s="0">
        <v>90</v>
      </c>
      <c r="AA21" t="s" s="0">
        <v>91</v>
      </c>
      <c r="AB21" t="s" s="0">
        <v>81</v>
      </c>
      <c r="AC21" t="s" s="0">
        <v>81</v>
      </c>
      <c r="AD21" t="s" s="0">
        <v>81</v>
      </c>
      <c r="AE21" t="s" s="0">
        <v>81</v>
      </c>
      <c r="AF21" t="s" s="0">
        <v>81</v>
      </c>
      <c r="AG21" t="s" s="0">
        <v>693</v>
      </c>
      <c r="AH21" t="s" s="0">
        <v>81</v>
      </c>
      <c r="AI21" t="s" s="0">
        <v>694</v>
      </c>
      <c r="AJ21" t="s" s="0">
        <v>695</v>
      </c>
      <c r="AK21" t="s" s="0">
        <v>81</v>
      </c>
      <c r="AL21" t="s" s="0">
        <v>405</v>
      </c>
      <c r="AM21" t="s" s="0">
        <v>696</v>
      </c>
      <c r="AN21" t="s" s="0">
        <v>697</v>
      </c>
      <c r="AO21" t="s" s="0">
        <v>97</v>
      </c>
      <c r="AP21" t="s" s="0">
        <v>109</v>
      </c>
      <c r="AQ21" t="s" s="0">
        <v>698</v>
      </c>
      <c r="AR21" t="s" s="0">
        <v>699</v>
      </c>
      <c r="AS21" t="s" s="0">
        <v>700</v>
      </c>
      <c r="AT21" t="s" s="0">
        <v>701</v>
      </c>
      <c r="AU21" t="s" s="0">
        <v>702</v>
      </c>
      <c r="AV21" t="s" s="0">
        <v>81</v>
      </c>
      <c r="AW21" t="s" s="0">
        <v>703</v>
      </c>
      <c r="AX21" t="s" s="0">
        <v>704</v>
      </c>
      <c r="AY21" t="s" s="0">
        <v>190</v>
      </c>
      <c r="AZ21" t="s" s="0">
        <v>185</v>
      </c>
      <c r="BA21" t="s" s="0">
        <v>186</v>
      </c>
      <c r="BB21" t="s" s="0">
        <v>81</v>
      </c>
      <c r="BC21" t="s" s="0">
        <v>81</v>
      </c>
      <c r="BD21" t="s" s="0">
        <v>81</v>
      </c>
      <c r="BE21" t="s" s="0">
        <v>81</v>
      </c>
      <c r="BF21" t="s" s="0">
        <v>81</v>
      </c>
      <c r="BG21" t="s" s="0">
        <v>81</v>
      </c>
      <c r="BH21" t="s" s="0">
        <v>81</v>
      </c>
      <c r="BI21" t="s" s="0">
        <v>705</v>
      </c>
      <c r="BJ21" t="s" s="0">
        <v>706</v>
      </c>
      <c r="BK21" t="s" s="39">
        <f>HYPERLINK("http://dx.doi.org/10.1016/j.jbi.2024.104600","http://dx.doi.org/10.1016/j.jbi.2024.104600")</f>
        <v>707</v>
      </c>
      <c r="BL21" t="s" s="0">
        <v>81</v>
      </c>
      <c r="BM21" t="s" s="0">
        <v>190</v>
      </c>
      <c r="BN21" t="s" s="0">
        <v>261</v>
      </c>
      <c r="BO21" t="s" s="0">
        <v>708</v>
      </c>
      <c r="BP21" t="s" s="0">
        <v>709</v>
      </c>
      <c r="BQ21" t="s" s="0">
        <v>710</v>
      </c>
      <c r="BR21" t="s" s="0">
        <v>711</v>
      </c>
      <c r="BS21" t="s" s="0">
        <v>712</v>
      </c>
      <c r="BT21" t="s" s="40">
        <f>HYPERLINK("https://www.webofscience.com/wos/woscc/full-record/WOS:001182332600001","View Record in Web of Science")</f>
        <v>114</v>
      </c>
      <c r="BU21" t="s" s="0">
        <v>155</v>
      </c>
      <c r="BV21" t="s" s="0">
        <v>81</v>
      </c>
      <c r="BW21" t="s" s="0">
        <v>81</v>
      </c>
      <c r="BX21" t="s" s="0">
        <v>116</v>
      </c>
    </row>
    <row r="22">
      <c r="A22" t="s" s="0">
        <v>77</v>
      </c>
      <c r="B22" t="s" s="0">
        <v>77</v>
      </c>
      <c r="C22" t="s" s="0">
        <v>97</v>
      </c>
      <c r="D22" t="s" s="0">
        <v>77</v>
      </c>
      <c r="E22" t="s" s="0">
        <v>713</v>
      </c>
      <c r="F22" t="s" s="0">
        <v>714</v>
      </c>
      <c r="G22" t="s" s="0">
        <v>715</v>
      </c>
      <c r="H22" t="s" s="0">
        <v>81</v>
      </c>
      <c r="I22" t="s" s="0">
        <v>82</v>
      </c>
      <c r="J22" t="s" s="0">
        <v>716</v>
      </c>
      <c r="K22" t="s" s="0">
        <v>717</v>
      </c>
      <c r="L22" t="s" s="0">
        <v>718</v>
      </c>
      <c r="M22" t="s" s="0">
        <v>718</v>
      </c>
      <c r="N22" t="s" s="0">
        <v>719</v>
      </c>
      <c r="O22" t="s" s="0">
        <v>720</v>
      </c>
      <c r="P22" t="s" s="0">
        <v>81</v>
      </c>
      <c r="Q22" t="s" s="0">
        <v>87</v>
      </c>
      <c r="R22" t="s" s="0">
        <v>81</v>
      </c>
      <c r="S22" t="s" s="0">
        <v>81</v>
      </c>
      <c r="T22" t="s" s="0">
        <v>81</v>
      </c>
      <c r="U22" t="s" s="0">
        <v>81</v>
      </c>
      <c r="V22" t="s" s="0">
        <v>721</v>
      </c>
      <c r="W22" t="s" s="0">
        <v>722</v>
      </c>
      <c r="X22" t="s" s="0">
        <v>81</v>
      </c>
      <c r="Y22" t="s" s="0">
        <v>81</v>
      </c>
      <c r="Z22" t="s" s="0">
        <v>90</v>
      </c>
      <c r="AA22" t="s" s="0">
        <v>91</v>
      </c>
      <c r="AB22" t="s" s="0">
        <v>81</v>
      </c>
      <c r="AC22" t="s" s="0">
        <v>81</v>
      </c>
      <c r="AD22" t="s" s="0">
        <v>81</v>
      </c>
      <c r="AE22" t="s" s="0">
        <v>81</v>
      </c>
      <c r="AF22" t="s" s="0">
        <v>81</v>
      </c>
      <c r="AG22" t="s" s="0">
        <v>723</v>
      </c>
      <c r="AH22" t="s" s="0">
        <v>724</v>
      </c>
      <c r="AI22" t="s" s="0">
        <v>725</v>
      </c>
      <c r="AJ22" t="s" s="0">
        <v>81</v>
      </c>
      <c r="AK22" t="s" s="0">
        <v>81</v>
      </c>
      <c r="AL22" t="s" s="0">
        <v>176</v>
      </c>
      <c r="AM22" t="s" s="0">
        <v>175</v>
      </c>
      <c r="AN22" t="s" s="0">
        <v>175</v>
      </c>
      <c r="AO22" t="s" s="0">
        <v>77</v>
      </c>
      <c r="AP22" t="s" s="0">
        <v>196</v>
      </c>
      <c r="AQ22" t="s" s="0">
        <v>726</v>
      </c>
      <c r="AR22" t="s" s="0">
        <v>727</v>
      </c>
      <c r="AS22" t="s" s="0">
        <v>728</v>
      </c>
      <c r="AT22" t="s" s="0">
        <v>729</v>
      </c>
      <c r="AU22" t="s" s="0">
        <v>730</v>
      </c>
      <c r="AV22" t="s" s="0">
        <v>81</v>
      </c>
      <c r="AW22" t="s" s="0">
        <v>731</v>
      </c>
      <c r="AX22" t="s" s="0">
        <v>732</v>
      </c>
      <c r="AY22" t="s" s="0">
        <v>733</v>
      </c>
      <c r="AZ22" t="s" s="0">
        <v>290</v>
      </c>
      <c r="BA22" t="s" s="0">
        <v>734</v>
      </c>
      <c r="BB22" t="s" s="0">
        <v>234</v>
      </c>
      <c r="BC22" t="s" s="0">
        <v>81</v>
      </c>
      <c r="BD22" t="s" s="0">
        <v>81</v>
      </c>
      <c r="BE22" t="s" s="0">
        <v>81</v>
      </c>
      <c r="BF22" t="s" s="0">
        <v>81</v>
      </c>
      <c r="BG22" t="s" s="0">
        <v>81</v>
      </c>
      <c r="BH22" t="s" s="0">
        <v>81</v>
      </c>
      <c r="BI22" t="s" s="0">
        <v>735</v>
      </c>
      <c r="BJ22" t="s" s="0">
        <v>736</v>
      </c>
      <c r="BK22" t="s" s="41">
        <f>HYPERLINK("http://dx.doi.org/10.1002/mp.17940","http://dx.doi.org/10.1002/mp.17940")</f>
        <v>737</v>
      </c>
      <c r="BL22" t="s" s="0">
        <v>81</v>
      </c>
      <c r="BM22" t="s" s="0">
        <v>81</v>
      </c>
      <c r="BN22" t="s" s="0">
        <v>191</v>
      </c>
      <c r="BO22" t="s" s="0">
        <v>738</v>
      </c>
      <c r="BP22" t="s" s="0">
        <v>738</v>
      </c>
      <c r="BQ22" t="s" s="0">
        <v>739</v>
      </c>
      <c r="BR22" t="s" s="0">
        <v>740</v>
      </c>
      <c r="BS22" t="s" s="0">
        <v>741</v>
      </c>
      <c r="BT22" t="s" s="42">
        <f>HYPERLINK("https://www.webofscience.com/wos/woscc/full-record/WOS:001561978000041","View Record in Web of Science")</f>
        <v>114</v>
      </c>
      <c r="BU22" t="s" s="0">
        <v>742</v>
      </c>
      <c r="BV22" t="s" s="0">
        <v>81</v>
      </c>
      <c r="BW22" t="s" s="0">
        <v>81</v>
      </c>
      <c r="BX22" t="s" s="0">
        <v>116</v>
      </c>
    </row>
    <row r="23">
      <c r="A23" t="s" s="0">
        <v>97</v>
      </c>
      <c r="B23" t="s" s="0">
        <v>77</v>
      </c>
      <c r="C23" t="s" s="0">
        <v>381</v>
      </c>
      <c r="D23" t="s" s="0">
        <v>77</v>
      </c>
      <c r="E23" t="s" s="0">
        <v>743</v>
      </c>
      <c r="F23" t="s" s="0">
        <v>744</v>
      </c>
      <c r="G23" t="s" s="0">
        <v>745</v>
      </c>
      <c r="H23" t="s" s="0">
        <v>81</v>
      </c>
      <c r="I23" t="s" s="0">
        <v>82</v>
      </c>
      <c r="J23" t="s" s="0">
        <v>746</v>
      </c>
      <c r="K23" t="s" s="0">
        <v>747</v>
      </c>
      <c r="L23" t="s" s="0">
        <v>81</v>
      </c>
      <c r="M23" t="s" s="0">
        <v>81</v>
      </c>
      <c r="N23" t="s" s="0">
        <v>81</v>
      </c>
      <c r="O23" t="s" s="0">
        <v>748</v>
      </c>
      <c r="P23" t="s" s="0">
        <v>749</v>
      </c>
      <c r="Q23" t="s" s="0">
        <v>87</v>
      </c>
      <c r="R23" t="s" s="0">
        <v>81</v>
      </c>
      <c r="S23" t="s" s="0">
        <v>81</v>
      </c>
      <c r="T23" t="s" s="0">
        <v>81</v>
      </c>
      <c r="U23" t="s" s="0">
        <v>81</v>
      </c>
      <c r="V23" t="s" s="0">
        <v>750</v>
      </c>
      <c r="W23" t="s" s="0">
        <v>751</v>
      </c>
      <c r="X23" t="s" s="0">
        <v>81</v>
      </c>
      <c r="Y23" t="s" s="0">
        <v>81</v>
      </c>
      <c r="Z23" t="s" s="0">
        <v>90</v>
      </c>
      <c r="AA23" t="s" s="0">
        <v>91</v>
      </c>
      <c r="AB23" t="s" s="0">
        <v>81</v>
      </c>
      <c r="AC23" t="s" s="0">
        <v>81</v>
      </c>
      <c r="AD23" t="s" s="0">
        <v>81</v>
      </c>
      <c r="AE23" t="s" s="0">
        <v>81</v>
      </c>
      <c r="AF23" t="s" s="0">
        <v>81</v>
      </c>
      <c r="AG23" t="s" s="0">
        <v>752</v>
      </c>
      <c r="AH23" t="s" s="0">
        <v>753</v>
      </c>
      <c r="AI23" t="s" s="0">
        <v>754</v>
      </c>
      <c r="AJ23" t="s" s="0">
        <v>755</v>
      </c>
      <c r="AK23" t="s" s="0">
        <v>81</v>
      </c>
      <c r="AL23" t="s" s="0">
        <v>542</v>
      </c>
      <c r="AM23" t="s" s="0">
        <v>664</v>
      </c>
      <c r="AN23" t="s" s="0">
        <v>756</v>
      </c>
      <c r="AO23" t="s" s="0">
        <v>77</v>
      </c>
      <c r="AP23" t="s" s="0">
        <v>291</v>
      </c>
      <c r="AQ23" t="s" s="0">
        <v>284</v>
      </c>
      <c r="AR23" t="s" s="0">
        <v>285</v>
      </c>
      <c r="AS23" t="s" s="0">
        <v>286</v>
      </c>
      <c r="AT23" t="s" s="0">
        <v>81</v>
      </c>
      <c r="AU23" t="s" s="0">
        <v>757</v>
      </c>
      <c r="AV23" t="s" s="0">
        <v>81</v>
      </c>
      <c r="AW23" t="s" s="0">
        <v>758</v>
      </c>
      <c r="AX23" t="s" s="0">
        <v>759</v>
      </c>
      <c r="AY23" t="s" s="0">
        <v>760</v>
      </c>
      <c r="AZ23" t="s" s="0">
        <v>220</v>
      </c>
      <c r="BA23" t="s" s="0">
        <v>134</v>
      </c>
      <c r="BB23" t="s" s="0">
        <v>175</v>
      </c>
      <c r="BC23" t="s" s="0">
        <v>81</v>
      </c>
      <c r="BD23" t="s" s="0">
        <v>81</v>
      </c>
      <c r="BE23" t="s" s="0">
        <v>81</v>
      </c>
      <c r="BF23" t="s" s="0">
        <v>81</v>
      </c>
      <c r="BG23" t="s" s="0">
        <v>81</v>
      </c>
      <c r="BH23" t="s" s="0">
        <v>81</v>
      </c>
      <c r="BI23" t="s" s="0">
        <v>761</v>
      </c>
      <c r="BJ23" t="s" s="0">
        <v>762</v>
      </c>
      <c r="BK23" t="s" s="43">
        <f>HYPERLINK("http://dx.doi.org/10.3390/jpm12040607","http://dx.doi.org/10.3390/jpm12040607")</f>
        <v>763</v>
      </c>
      <c r="BL23" t="s" s="0">
        <v>81</v>
      </c>
      <c r="BM23" t="s" s="0">
        <v>81</v>
      </c>
      <c r="BN23" t="s" s="0">
        <v>222</v>
      </c>
      <c r="BO23" t="s" s="0">
        <v>764</v>
      </c>
      <c r="BP23" t="s" s="0">
        <v>765</v>
      </c>
      <c r="BQ23" t="s" s="0">
        <v>766</v>
      </c>
      <c r="BR23" t="s" s="0">
        <v>767</v>
      </c>
      <c r="BS23" t="s" s="0">
        <v>768</v>
      </c>
      <c r="BT23" t="s" s="44">
        <f>HYPERLINK("https://www.webofscience.com/wos/woscc/full-record/WOS:000787515700001","View Record in Web of Science")</f>
        <v>114</v>
      </c>
      <c r="BU23" t="s" s="0">
        <v>301</v>
      </c>
      <c r="BV23" t="s" s="0">
        <v>81</v>
      </c>
      <c r="BW23" t="s" s="0">
        <v>81</v>
      </c>
      <c r="BX23" t="s" s="0">
        <v>116</v>
      </c>
    </row>
    <row r="24">
      <c r="A24" t="s" s="0">
        <v>77</v>
      </c>
      <c r="B24" t="s" s="0">
        <v>77</v>
      </c>
      <c r="C24" t="s" s="0">
        <v>291</v>
      </c>
      <c r="D24" t="s" s="0">
        <v>156</v>
      </c>
      <c r="E24" t="s" s="0">
        <v>769</v>
      </c>
      <c r="F24" t="s" s="0">
        <v>770</v>
      </c>
      <c r="G24" t="s" s="0">
        <v>771</v>
      </c>
      <c r="H24" t="s" s="0">
        <v>81</v>
      </c>
      <c r="I24" t="s" s="0">
        <v>82</v>
      </c>
      <c r="J24" t="s" s="0">
        <v>772</v>
      </c>
      <c r="K24" t="s" s="0">
        <v>773</v>
      </c>
      <c r="L24" t="s" s="0">
        <v>81</v>
      </c>
      <c r="M24" t="s" s="0">
        <v>81</v>
      </c>
      <c r="N24" t="s" s="0">
        <v>81</v>
      </c>
      <c r="O24" t="s" s="0">
        <v>774</v>
      </c>
      <c r="P24" t="s" s="0">
        <v>775</v>
      </c>
      <c r="Q24" t="s" s="0">
        <v>87</v>
      </c>
      <c r="R24" t="s" s="0">
        <v>81</v>
      </c>
      <c r="S24" t="s" s="0">
        <v>81</v>
      </c>
      <c r="T24" t="s" s="0">
        <v>81</v>
      </c>
      <c r="U24" t="s" s="0">
        <v>81</v>
      </c>
      <c r="V24" t="s" s="0">
        <v>776</v>
      </c>
      <c r="W24" t="s" s="0">
        <v>777</v>
      </c>
      <c r="X24" t="s" s="0">
        <v>81</v>
      </c>
      <c r="Y24" t="s" s="0">
        <v>81</v>
      </c>
      <c r="Z24" t="s" s="0">
        <v>90</v>
      </c>
      <c r="AA24" t="s" s="0">
        <v>91</v>
      </c>
      <c r="AB24" t="s" s="0">
        <v>81</v>
      </c>
      <c r="AC24" t="s" s="0">
        <v>81</v>
      </c>
      <c r="AD24" t="s" s="0">
        <v>81</v>
      </c>
      <c r="AE24" t="s" s="0">
        <v>81</v>
      </c>
      <c r="AF24" t="s" s="0">
        <v>81</v>
      </c>
      <c r="AG24" t="s" s="0">
        <v>778</v>
      </c>
      <c r="AH24" t="s" s="0">
        <v>779</v>
      </c>
      <c r="AI24" t="s" s="0">
        <v>780</v>
      </c>
      <c r="AJ24" t="s" s="0">
        <v>781</v>
      </c>
      <c r="AK24" t="s" s="0">
        <v>81</v>
      </c>
      <c r="AL24" t="s" s="0">
        <v>174</v>
      </c>
      <c r="AM24" t="s" s="0">
        <v>782</v>
      </c>
      <c r="AN24" t="s" s="0">
        <v>783</v>
      </c>
      <c r="AO24" t="s" s="0">
        <v>133</v>
      </c>
      <c r="AP24" t="s" s="0">
        <v>251</v>
      </c>
      <c r="AQ24" t="s" s="0">
        <v>212</v>
      </c>
      <c r="AR24" t="s" s="0">
        <v>429</v>
      </c>
      <c r="AS24" t="s" s="0">
        <v>784</v>
      </c>
      <c r="AT24" t="s" s="0">
        <v>785</v>
      </c>
      <c r="AU24" t="s" s="0">
        <v>786</v>
      </c>
      <c r="AV24" t="s" s="0">
        <v>81</v>
      </c>
      <c r="AW24" t="s" s="0">
        <v>787</v>
      </c>
      <c r="AX24" t="s" s="0">
        <v>788</v>
      </c>
      <c r="AY24" t="s" s="0">
        <v>789</v>
      </c>
      <c r="AZ24" t="s" s="0">
        <v>220</v>
      </c>
      <c r="BA24" t="s" s="0">
        <v>343</v>
      </c>
      <c r="BB24" t="s" s="0">
        <v>156</v>
      </c>
      <c r="BC24" t="s" s="0">
        <v>81</v>
      </c>
      <c r="BD24" t="s" s="0">
        <v>81</v>
      </c>
      <c r="BE24" t="s" s="0">
        <v>81</v>
      </c>
      <c r="BF24" t="s" s="0">
        <v>81</v>
      </c>
      <c r="BG24" t="s" s="0">
        <v>81</v>
      </c>
      <c r="BH24" t="s" s="0">
        <v>81</v>
      </c>
      <c r="BI24" t="s" s="0">
        <v>134</v>
      </c>
      <c r="BJ24" t="s" s="0">
        <v>790</v>
      </c>
      <c r="BK24" t="s" s="45">
        <f>HYPERLINK("http://dx.doi.org/10.1007/s10916-021-01790-z","http://dx.doi.org/10.1007/s10916-021-01790-z")</f>
        <v>791</v>
      </c>
      <c r="BL24" t="s" s="0">
        <v>81</v>
      </c>
      <c r="BM24" t="s" s="0">
        <v>81</v>
      </c>
      <c r="BN24" t="s" s="0">
        <v>191</v>
      </c>
      <c r="BO24" t="s" s="0">
        <v>792</v>
      </c>
      <c r="BP24" t="s" s="0">
        <v>792</v>
      </c>
      <c r="BQ24" t="s" s="0">
        <v>793</v>
      </c>
      <c r="BR24" t="s" s="0">
        <v>794</v>
      </c>
      <c r="BS24" t="s" s="0">
        <v>795</v>
      </c>
      <c r="BT24" t="s" s="46">
        <f>HYPERLINK("https://www.webofscience.com/wos/woscc/full-record/WOS:000742000100001","View Record in Web of Science")</f>
        <v>114</v>
      </c>
      <c r="BU24" t="s" s="0">
        <v>155</v>
      </c>
      <c r="BV24" t="s" s="0">
        <v>81</v>
      </c>
      <c r="BW24" t="s" s="0">
        <v>81</v>
      </c>
      <c r="BX24" t="s" s="0">
        <v>116</v>
      </c>
    </row>
    <row r="25">
      <c r="A25" t="s" s="0">
        <v>196</v>
      </c>
      <c r="B25" t="s" s="0">
        <v>77</v>
      </c>
      <c r="C25" t="s" s="0">
        <v>261</v>
      </c>
      <c r="D25" t="s" s="0">
        <v>77</v>
      </c>
      <c r="E25" t="s" s="0">
        <v>796</v>
      </c>
      <c r="F25" t="s" s="0">
        <v>797</v>
      </c>
      <c r="G25" t="s" s="0">
        <v>798</v>
      </c>
      <c r="H25" t="s" s="0">
        <v>81</v>
      </c>
      <c r="I25" t="s" s="0">
        <v>82</v>
      </c>
      <c r="J25" t="s" s="0">
        <v>799</v>
      </c>
      <c r="K25" t="s" s="0">
        <v>800</v>
      </c>
      <c r="L25" t="s" s="0">
        <v>801</v>
      </c>
      <c r="M25" t="s" s="0">
        <v>802</v>
      </c>
      <c r="N25" t="s" s="0">
        <v>803</v>
      </c>
      <c r="O25" t="s" s="0">
        <v>804</v>
      </c>
      <c r="P25" t="s" s="0">
        <v>805</v>
      </c>
      <c r="Q25" t="s" s="0">
        <v>87</v>
      </c>
      <c r="R25" t="s" s="0">
        <v>81</v>
      </c>
      <c r="S25" t="s" s="0">
        <v>81</v>
      </c>
      <c r="T25" t="s" s="0">
        <v>81</v>
      </c>
      <c r="U25" t="s" s="0">
        <v>81</v>
      </c>
      <c r="V25" t="s" s="0">
        <v>806</v>
      </c>
      <c r="W25" t="s" s="0">
        <v>807</v>
      </c>
      <c r="X25" t="s" s="0">
        <v>81</v>
      </c>
      <c r="Y25" t="s" s="0">
        <v>81</v>
      </c>
      <c r="Z25" t="s" s="0">
        <v>90</v>
      </c>
      <c r="AA25" t="s" s="0">
        <v>91</v>
      </c>
      <c r="AB25" t="s" s="0">
        <v>81</v>
      </c>
      <c r="AC25" t="s" s="0">
        <v>81</v>
      </c>
      <c r="AD25" t="s" s="0">
        <v>81</v>
      </c>
      <c r="AE25" t="s" s="0">
        <v>81</v>
      </c>
      <c r="AF25" t="s" s="0">
        <v>81</v>
      </c>
      <c r="AG25" t="s" s="0">
        <v>81</v>
      </c>
      <c r="AH25" t="s" s="0">
        <v>808</v>
      </c>
      <c r="AI25" t="s" s="0">
        <v>809</v>
      </c>
      <c r="AJ25" t="s" s="0">
        <v>810</v>
      </c>
      <c r="AK25" t="s" s="0">
        <v>81</v>
      </c>
      <c r="AL25" t="s" s="0">
        <v>210</v>
      </c>
      <c r="AM25" t="s" s="0">
        <v>252</v>
      </c>
      <c r="AN25" t="s" s="0">
        <v>756</v>
      </c>
      <c r="AO25" t="s" s="0">
        <v>77</v>
      </c>
      <c r="AP25" t="s" s="0">
        <v>222</v>
      </c>
      <c r="AQ25" t="s" s="0">
        <v>811</v>
      </c>
      <c r="AR25" t="s" s="0">
        <v>812</v>
      </c>
      <c r="AS25" t="s" s="0">
        <v>813</v>
      </c>
      <c r="AT25" t="s" s="0">
        <v>814</v>
      </c>
      <c r="AU25" t="s" s="0">
        <v>815</v>
      </c>
      <c r="AV25" t="s" s="0">
        <v>81</v>
      </c>
      <c r="AW25" t="s" s="0">
        <v>816</v>
      </c>
      <c r="AX25" t="s" s="0">
        <v>817</v>
      </c>
      <c r="AY25" t="s" s="0">
        <v>818</v>
      </c>
      <c r="AZ25" t="s" s="0">
        <v>260</v>
      </c>
      <c r="BA25" t="s" s="0">
        <v>819</v>
      </c>
      <c r="BB25" t="s" s="0">
        <v>133</v>
      </c>
      <c r="BC25" t="s" s="0">
        <v>81</v>
      </c>
      <c r="BD25" t="s" s="0">
        <v>81</v>
      </c>
      <c r="BE25" t="s" s="0">
        <v>81</v>
      </c>
      <c r="BF25" t="s" s="0">
        <v>81</v>
      </c>
      <c r="BG25" t="s" s="0">
        <v>81</v>
      </c>
      <c r="BH25" t="s" s="0">
        <v>81</v>
      </c>
      <c r="BI25" t="s" s="0">
        <v>820</v>
      </c>
      <c r="BJ25" t="s" s="0">
        <v>821</v>
      </c>
      <c r="BK25" t="s" s="47">
        <f>HYPERLINK("http://dx.doi.org/10.1183/13993003.01720-2022","http://dx.doi.org/10.1183/13993003.01720-2022")</f>
        <v>822</v>
      </c>
      <c r="BL25" t="s" s="0">
        <v>81</v>
      </c>
      <c r="BM25" t="s" s="0">
        <v>81</v>
      </c>
      <c r="BN25" t="s" s="0">
        <v>211</v>
      </c>
      <c r="BO25" t="s" s="0">
        <v>823</v>
      </c>
      <c r="BP25" t="s" s="0">
        <v>823</v>
      </c>
      <c r="BQ25" t="s" s="0">
        <v>824</v>
      </c>
      <c r="BR25" t="s" s="0">
        <v>825</v>
      </c>
      <c r="BS25" t="s" s="0">
        <v>826</v>
      </c>
      <c r="BT25" t="s" s="48">
        <f>HYPERLINK("https://www.webofscience.com/wos/woscc/full-record/WOS:000999507000009","View Record in Web of Science")</f>
        <v>114</v>
      </c>
      <c r="BU25" t="s" s="0">
        <v>827</v>
      </c>
      <c r="BV25" t="s" s="0">
        <v>81</v>
      </c>
      <c r="BW25" t="s" s="0">
        <v>81</v>
      </c>
      <c r="BX25" t="s" s="0">
        <v>116</v>
      </c>
    </row>
    <row r="26">
      <c r="A26" t="s" s="0">
        <v>77</v>
      </c>
      <c r="B26" t="s" s="0">
        <v>77</v>
      </c>
      <c r="C26" t="s" s="0">
        <v>77</v>
      </c>
      <c r="D26" t="s" s="0">
        <v>77</v>
      </c>
      <c r="E26" t="s" s="0">
        <v>828</v>
      </c>
      <c r="F26" t="s" s="0">
        <v>829</v>
      </c>
      <c r="G26" t="s" s="0">
        <v>830</v>
      </c>
      <c r="H26" t="s" s="0">
        <v>81</v>
      </c>
      <c r="I26" t="s" s="0">
        <v>528</v>
      </c>
      <c r="J26" t="s" s="0">
        <v>831</v>
      </c>
      <c r="K26" t="s" s="0">
        <v>832</v>
      </c>
      <c r="L26" t="s" s="0">
        <v>833</v>
      </c>
      <c r="M26" t="s" s="0">
        <v>833</v>
      </c>
      <c r="N26" t="s" s="0">
        <v>834</v>
      </c>
      <c r="O26" t="s" s="0">
        <v>835</v>
      </c>
      <c r="P26" t="s" s="0">
        <v>836</v>
      </c>
      <c r="Q26" t="s" s="0">
        <v>87</v>
      </c>
      <c r="R26" t="s" s="0">
        <v>81</v>
      </c>
      <c r="S26" t="s" s="0">
        <v>81</v>
      </c>
      <c r="T26" t="s" s="0">
        <v>81</v>
      </c>
      <c r="U26" t="s" s="0">
        <v>81</v>
      </c>
      <c r="V26" t="s" s="0">
        <v>837</v>
      </c>
      <c r="W26" t="s" s="0">
        <v>838</v>
      </c>
      <c r="X26" t="s" s="0">
        <v>81</v>
      </c>
      <c r="Y26" t="s" s="0">
        <v>81</v>
      </c>
      <c r="Z26" t="s" s="0">
        <v>90</v>
      </c>
      <c r="AA26" t="s" s="0">
        <v>91</v>
      </c>
      <c r="AB26" t="s" s="0">
        <v>81</v>
      </c>
      <c r="AC26" t="s" s="0">
        <v>81</v>
      </c>
      <c r="AD26" t="s" s="0">
        <v>81</v>
      </c>
      <c r="AE26" t="s" s="0">
        <v>81</v>
      </c>
      <c r="AF26" t="s" s="0">
        <v>81</v>
      </c>
      <c r="AG26" t="s" s="0">
        <v>839</v>
      </c>
      <c r="AH26" t="s" s="0">
        <v>840</v>
      </c>
      <c r="AI26" t="s" s="0">
        <v>841</v>
      </c>
      <c r="AJ26" t="s" s="0">
        <v>81</v>
      </c>
      <c r="AK26" t="s" s="0">
        <v>81</v>
      </c>
      <c r="AL26" t="s" s="0">
        <v>174</v>
      </c>
      <c r="AM26" t="s" s="0">
        <v>77</v>
      </c>
      <c r="AN26" t="s" s="0">
        <v>77</v>
      </c>
      <c r="AO26" t="s" s="0">
        <v>77</v>
      </c>
      <c r="AP26" t="s" s="0">
        <v>77</v>
      </c>
      <c r="AQ26" t="s" s="0">
        <v>368</v>
      </c>
      <c r="AR26" t="s" s="0">
        <v>369</v>
      </c>
      <c r="AS26" t="s" s="0">
        <v>370</v>
      </c>
      <c r="AT26" t="s" s="0">
        <v>81</v>
      </c>
      <c r="AU26" t="s" s="0">
        <v>842</v>
      </c>
      <c r="AV26" t="s" s="0">
        <v>81</v>
      </c>
      <c r="AW26" t="s" s="0">
        <v>843</v>
      </c>
      <c r="AX26" t="s" s="0">
        <v>844</v>
      </c>
      <c r="AY26" t="s" s="0">
        <v>845</v>
      </c>
      <c r="AZ26" t="s" s="0">
        <v>103</v>
      </c>
      <c r="BA26" t="s" s="0">
        <v>104</v>
      </c>
      <c r="BB26" t="s" s="0">
        <v>81</v>
      </c>
      <c r="BC26" t="s" s="0">
        <v>81</v>
      </c>
      <c r="BD26" t="s" s="0">
        <v>81</v>
      </c>
      <c r="BE26" t="s" s="0">
        <v>81</v>
      </c>
      <c r="BF26" t="s" s="0">
        <v>81</v>
      </c>
      <c r="BG26" t="s" s="0">
        <v>81</v>
      </c>
      <c r="BH26" t="s" s="0">
        <v>81</v>
      </c>
      <c r="BI26" t="s" s="0">
        <v>846</v>
      </c>
      <c r="BJ26" t="s" s="0">
        <v>847</v>
      </c>
      <c r="BK26" t="s" s="49">
        <f>HYPERLINK("http://dx.doi.org/10.3389/fpubh.2026.1881829","http://dx.doi.org/10.3389/fpubh.2026.1881829")</f>
        <v>848</v>
      </c>
      <c r="BL26" t="s" s="0">
        <v>81</v>
      </c>
      <c r="BM26" t="s" s="0">
        <v>849</v>
      </c>
      <c r="BN26" t="s" s="0">
        <v>485</v>
      </c>
      <c r="BO26" t="s" s="0">
        <v>850</v>
      </c>
      <c r="BP26" t="s" s="0">
        <v>850</v>
      </c>
      <c r="BQ26" t="s" s="0">
        <v>851</v>
      </c>
      <c r="BR26" t="s" s="0">
        <v>852</v>
      </c>
      <c r="BS26" t="s" s="0">
        <v>853</v>
      </c>
      <c r="BT26" t="s" s="50">
        <f>HYPERLINK("https://www.webofscience.com/wos/woscc/full-record/WOS:001819606200001","View Record in Web of Science")</f>
        <v>114</v>
      </c>
      <c r="BU26" t="s" s="0">
        <v>301</v>
      </c>
      <c r="BV26" t="s" s="0">
        <v>81</v>
      </c>
      <c r="BW26" t="s" s="0">
        <v>81</v>
      </c>
      <c r="BX26" t="s" s="0">
        <v>116</v>
      </c>
    </row>
    <row r="27">
      <c r="A27" t="s" s="0">
        <v>77</v>
      </c>
      <c r="B27" t="s" s="0">
        <v>77</v>
      </c>
      <c r="C27" t="s" s="0">
        <v>77</v>
      </c>
      <c r="D27" t="s" s="0">
        <v>77</v>
      </c>
      <c r="E27" t="s" s="0">
        <v>854</v>
      </c>
      <c r="F27" t="s" s="0">
        <v>855</v>
      </c>
      <c r="G27" t="s" s="0">
        <v>856</v>
      </c>
      <c r="H27" t="s" s="0">
        <v>81</v>
      </c>
      <c r="I27" t="s" s="0">
        <v>82</v>
      </c>
      <c r="J27" t="s" s="0">
        <v>857</v>
      </c>
      <c r="K27" t="s" s="0">
        <v>858</v>
      </c>
      <c r="L27" t="s" s="0">
        <v>81</v>
      </c>
      <c r="M27" t="s" s="0">
        <v>81</v>
      </c>
      <c r="N27" t="s" s="0">
        <v>81</v>
      </c>
      <c r="O27" t="s" s="0">
        <v>859</v>
      </c>
      <c r="P27" t="s" s="0">
        <v>860</v>
      </c>
      <c r="Q27" t="s" s="0">
        <v>87</v>
      </c>
      <c r="R27" t="s" s="0">
        <v>81</v>
      </c>
      <c r="S27" t="s" s="0">
        <v>81</v>
      </c>
      <c r="T27" t="s" s="0">
        <v>81</v>
      </c>
      <c r="U27" t="s" s="0">
        <v>81</v>
      </c>
      <c r="V27" t="s" s="0">
        <v>861</v>
      </c>
      <c r="W27" t="s" s="0">
        <v>862</v>
      </c>
      <c r="X27" t="s" s="0">
        <v>81</v>
      </c>
      <c r="Y27" t="s" s="0">
        <v>81</v>
      </c>
      <c r="Z27" t="s" s="0">
        <v>90</v>
      </c>
      <c r="AA27" t="s" s="0">
        <v>91</v>
      </c>
      <c r="AB27" t="s" s="0">
        <v>81</v>
      </c>
      <c r="AC27" t="s" s="0">
        <v>81</v>
      </c>
      <c r="AD27" t="s" s="0">
        <v>81</v>
      </c>
      <c r="AE27" t="s" s="0">
        <v>81</v>
      </c>
      <c r="AF27" t="s" s="0">
        <v>81</v>
      </c>
      <c r="AG27" t="s" s="0">
        <v>863</v>
      </c>
      <c r="AH27" t="s" s="0">
        <v>864</v>
      </c>
      <c r="AI27" t="s" s="0">
        <v>81</v>
      </c>
      <c r="AJ27" t="s" s="0">
        <v>81</v>
      </c>
      <c r="AK27" t="s" s="0">
        <v>81</v>
      </c>
      <c r="AL27" t="s" s="0">
        <v>173</v>
      </c>
      <c r="AM27" t="s" s="0">
        <v>77</v>
      </c>
      <c r="AN27" t="s" s="0">
        <v>77</v>
      </c>
      <c r="AO27" t="s" s="0">
        <v>77</v>
      </c>
      <c r="AP27" t="s" s="0">
        <v>77</v>
      </c>
      <c r="AQ27" t="s" s="0">
        <v>865</v>
      </c>
      <c r="AR27" t="s" s="0">
        <v>546</v>
      </c>
      <c r="AS27" t="s" s="0">
        <v>866</v>
      </c>
      <c r="AT27" t="s" s="0">
        <v>81</v>
      </c>
      <c r="AU27" t="s" s="0">
        <v>867</v>
      </c>
      <c r="AV27" t="s" s="0">
        <v>81</v>
      </c>
      <c r="AW27" t="s" s="0">
        <v>868</v>
      </c>
      <c r="AX27" t="s" s="0">
        <v>869</v>
      </c>
      <c r="AY27" t="s" s="0">
        <v>870</v>
      </c>
      <c r="AZ27" t="s" s="0">
        <v>103</v>
      </c>
      <c r="BA27" t="s" s="0">
        <v>134</v>
      </c>
      <c r="BB27" t="s" s="0">
        <v>81</v>
      </c>
      <c r="BC27" t="s" s="0">
        <v>81</v>
      </c>
      <c r="BD27" t="s" s="0">
        <v>81</v>
      </c>
      <c r="BE27" t="s" s="0">
        <v>81</v>
      </c>
      <c r="BF27" t="s" s="0">
        <v>81</v>
      </c>
      <c r="BG27" t="s" s="0">
        <v>81</v>
      </c>
      <c r="BH27" t="s" s="0">
        <v>81</v>
      </c>
      <c r="BI27" t="s" s="0">
        <v>871</v>
      </c>
      <c r="BJ27" t="s" s="0">
        <v>872</v>
      </c>
      <c r="BK27" t="s" s="51">
        <f>HYPERLINK("http://dx.doi.org/10.7717/peerj-cs.4053","http://dx.doi.org/10.7717/peerj-cs.4053")</f>
        <v>873</v>
      </c>
      <c r="BL27" t="s" s="0">
        <v>81</v>
      </c>
      <c r="BM27" t="s" s="0">
        <v>81</v>
      </c>
      <c r="BN27" t="s" s="0">
        <v>874</v>
      </c>
      <c r="BO27" t="s" s="0">
        <v>875</v>
      </c>
      <c r="BP27" t="s" s="0">
        <v>152</v>
      </c>
      <c r="BQ27" t="s" s="0">
        <v>876</v>
      </c>
      <c r="BR27" t="s" s="0">
        <v>81</v>
      </c>
      <c r="BS27" t="s" s="0">
        <v>877</v>
      </c>
      <c r="BT27" t="s" s="52">
        <f>HYPERLINK("https://www.webofscience.com/wos/woscc/full-record/WOS:001844805800001","View Record in Web of Science")</f>
        <v>114</v>
      </c>
      <c r="BU27" t="s" s="0">
        <v>115</v>
      </c>
      <c r="BV27" t="s" s="0">
        <v>81</v>
      </c>
      <c r="BW27" t="s" s="0">
        <v>81</v>
      </c>
      <c r="BX27" t="s" s="0">
        <v>116</v>
      </c>
    </row>
    <row r="28">
      <c r="A28" t="s" s="0">
        <v>77</v>
      </c>
      <c r="B28" t="s" s="0">
        <v>77</v>
      </c>
      <c r="C28" t="s" s="0">
        <v>77</v>
      </c>
      <c r="D28" t="s" s="0">
        <v>77</v>
      </c>
      <c r="E28" t="s" s="0">
        <v>878</v>
      </c>
      <c r="F28" t="s" s="0">
        <v>879</v>
      </c>
      <c r="G28" t="s" s="0">
        <v>880</v>
      </c>
      <c r="H28" t="s" s="0">
        <v>81</v>
      </c>
      <c r="I28" t="s" s="0">
        <v>238</v>
      </c>
      <c r="J28" t="s" s="0">
        <v>881</v>
      </c>
      <c r="K28" t="s" s="0">
        <v>882</v>
      </c>
      <c r="L28" t="s" s="0">
        <v>81</v>
      </c>
      <c r="M28" t="s" s="0">
        <v>81</v>
      </c>
      <c r="N28" t="s" s="0">
        <v>81</v>
      </c>
      <c r="O28" t="s" s="0">
        <v>883</v>
      </c>
      <c r="P28" t="s" s="0">
        <v>884</v>
      </c>
      <c r="Q28" t="s" s="0">
        <v>87</v>
      </c>
      <c r="R28" t="s" s="0">
        <v>81</v>
      </c>
      <c r="S28" t="s" s="0">
        <v>81</v>
      </c>
      <c r="T28" t="s" s="0">
        <v>81</v>
      </c>
      <c r="U28" t="s" s="0">
        <v>81</v>
      </c>
      <c r="V28" t="s" s="0">
        <v>885</v>
      </c>
      <c r="W28" t="s" s="0">
        <v>886</v>
      </c>
      <c r="X28" t="s" s="0">
        <v>81</v>
      </c>
      <c r="Y28" t="s" s="0">
        <v>81</v>
      </c>
      <c r="Z28" t="s" s="0">
        <v>90</v>
      </c>
      <c r="AA28" t="s" s="0">
        <v>91</v>
      </c>
      <c r="AB28" t="s" s="0">
        <v>81</v>
      </c>
      <c r="AC28" t="s" s="0">
        <v>81</v>
      </c>
      <c r="AD28" t="s" s="0">
        <v>81</v>
      </c>
      <c r="AE28" t="s" s="0">
        <v>81</v>
      </c>
      <c r="AF28" t="s" s="0">
        <v>81</v>
      </c>
      <c r="AG28" t="s" s="0">
        <v>887</v>
      </c>
      <c r="AH28" t="s" s="0">
        <v>81</v>
      </c>
      <c r="AI28" t="s" s="0">
        <v>888</v>
      </c>
      <c r="AJ28" t="s" s="0">
        <v>889</v>
      </c>
      <c r="AK28" t="s" s="0">
        <v>81</v>
      </c>
      <c r="AL28" t="s" s="0">
        <v>890</v>
      </c>
      <c r="AM28" t="s" s="0">
        <v>77</v>
      </c>
      <c r="AN28" t="s" s="0">
        <v>77</v>
      </c>
      <c r="AO28" t="s" s="0">
        <v>77</v>
      </c>
      <c r="AP28" t="s" s="0">
        <v>97</v>
      </c>
      <c r="AQ28" t="s" s="0">
        <v>368</v>
      </c>
      <c r="AR28" t="s" s="0">
        <v>369</v>
      </c>
      <c r="AS28" t="s" s="0">
        <v>370</v>
      </c>
      <c r="AT28" t="s" s="0">
        <v>81</v>
      </c>
      <c r="AU28" t="s" s="0">
        <v>891</v>
      </c>
      <c r="AV28" t="s" s="0">
        <v>81</v>
      </c>
      <c r="AW28" t="s" s="0">
        <v>892</v>
      </c>
      <c r="AX28" t="s" s="0">
        <v>893</v>
      </c>
      <c r="AY28" t="s" s="0">
        <v>894</v>
      </c>
      <c r="AZ28" t="s" s="0">
        <v>290</v>
      </c>
      <c r="BA28" t="s" s="0">
        <v>381</v>
      </c>
      <c r="BB28" t="s" s="0">
        <v>81</v>
      </c>
      <c r="BC28" t="s" s="0">
        <v>81</v>
      </c>
      <c r="BD28" t="s" s="0">
        <v>81</v>
      </c>
      <c r="BE28" t="s" s="0">
        <v>81</v>
      </c>
      <c r="BF28" t="s" s="0">
        <v>81</v>
      </c>
      <c r="BG28" t="s" s="0">
        <v>81</v>
      </c>
      <c r="BH28" t="s" s="0">
        <v>81</v>
      </c>
      <c r="BI28" t="s" s="0">
        <v>895</v>
      </c>
      <c r="BJ28" t="s" s="0">
        <v>896</v>
      </c>
      <c r="BK28" t="s" s="53">
        <f>HYPERLINK("http://dx.doi.org/10.3389/frai.2025.1559302","http://dx.doi.org/10.3389/frai.2025.1559302")</f>
        <v>897</v>
      </c>
      <c r="BL28" t="s" s="0">
        <v>81</v>
      </c>
      <c r="BM28" t="s" s="0">
        <v>81</v>
      </c>
      <c r="BN28" t="s" s="0">
        <v>134</v>
      </c>
      <c r="BO28" t="s" s="0">
        <v>898</v>
      </c>
      <c r="BP28" t="s" s="0">
        <v>152</v>
      </c>
      <c r="BQ28" t="s" s="0">
        <v>899</v>
      </c>
      <c r="BR28" t="s" s="0">
        <v>900</v>
      </c>
      <c r="BS28" t="s" s="0">
        <v>901</v>
      </c>
      <c r="BT28" t="s" s="54">
        <f>HYPERLINK("https://www.webofscience.com/wos/woscc/full-record/WOS:001616205300001","View Record in Web of Science")</f>
        <v>114</v>
      </c>
      <c r="BU28" t="s" s="0">
        <v>301</v>
      </c>
      <c r="BV28" t="s" s="0">
        <v>81</v>
      </c>
      <c r="BW28" t="s" s="0">
        <v>81</v>
      </c>
      <c r="BX28" t="s" s="0">
        <v>116</v>
      </c>
    </row>
    <row r="29">
      <c r="A29" t="s" s="0">
        <v>97</v>
      </c>
      <c r="B29" t="s" s="0">
        <v>77</v>
      </c>
      <c r="C29" t="s" s="0">
        <v>175</v>
      </c>
      <c r="D29" t="s" s="0">
        <v>77</v>
      </c>
      <c r="E29" t="s" s="0">
        <v>902</v>
      </c>
      <c r="F29" t="s" s="0">
        <v>903</v>
      </c>
      <c r="G29" t="s" s="0">
        <v>904</v>
      </c>
      <c r="H29" t="s" s="0">
        <v>81</v>
      </c>
      <c r="I29" t="s" s="0">
        <v>82</v>
      </c>
      <c r="J29" t="s" s="0">
        <v>905</v>
      </c>
      <c r="K29" t="s" s="0">
        <v>906</v>
      </c>
      <c r="L29" t="s" s="0">
        <v>81</v>
      </c>
      <c r="M29" t="s" s="0">
        <v>81</v>
      </c>
      <c r="N29" t="s" s="0">
        <v>81</v>
      </c>
      <c r="O29" t="s" s="0">
        <v>907</v>
      </c>
      <c r="P29" t="s" s="0">
        <v>908</v>
      </c>
      <c r="Q29" t="s" s="0">
        <v>87</v>
      </c>
      <c r="R29" t="s" s="0">
        <v>81</v>
      </c>
      <c r="S29" t="s" s="0">
        <v>81</v>
      </c>
      <c r="T29" t="s" s="0">
        <v>81</v>
      </c>
      <c r="U29" t="s" s="0">
        <v>81</v>
      </c>
      <c r="V29" t="s" s="0">
        <v>909</v>
      </c>
      <c r="W29" t="s" s="0">
        <v>910</v>
      </c>
      <c r="X29" t="s" s="0">
        <v>81</v>
      </c>
      <c r="Y29" t="s" s="0">
        <v>81</v>
      </c>
      <c r="Z29" t="s" s="0">
        <v>90</v>
      </c>
      <c r="AA29" t="s" s="0">
        <v>91</v>
      </c>
      <c r="AB29" t="s" s="0">
        <v>81</v>
      </c>
      <c r="AC29" t="s" s="0">
        <v>81</v>
      </c>
      <c r="AD29" t="s" s="0">
        <v>81</v>
      </c>
      <c r="AE29" t="s" s="0">
        <v>81</v>
      </c>
      <c r="AF29" t="s" s="0">
        <v>81</v>
      </c>
      <c r="AG29" t="s" s="0">
        <v>911</v>
      </c>
      <c r="AH29" t="s" s="0">
        <v>912</v>
      </c>
      <c r="AI29" t="s" s="0">
        <v>913</v>
      </c>
      <c r="AJ29" t="s" s="0">
        <v>81</v>
      </c>
      <c r="AK29" t="s" s="0">
        <v>81</v>
      </c>
      <c r="AL29" t="s" s="0">
        <v>914</v>
      </c>
      <c r="AM29" t="s" s="0">
        <v>228</v>
      </c>
      <c r="AN29" t="s" s="0">
        <v>252</v>
      </c>
      <c r="AO29" t="s" s="0">
        <v>97</v>
      </c>
      <c r="AP29" t="s" s="0">
        <v>104</v>
      </c>
      <c r="AQ29" t="s" s="0">
        <v>915</v>
      </c>
      <c r="AR29" t="s" s="0">
        <v>916</v>
      </c>
      <c r="AS29" t="s" s="0">
        <v>917</v>
      </c>
      <c r="AT29" t="s" s="0">
        <v>918</v>
      </c>
      <c r="AU29" t="s" s="0">
        <v>81</v>
      </c>
      <c r="AV29" t="s" s="0">
        <v>81</v>
      </c>
      <c r="AW29" t="s" s="0">
        <v>919</v>
      </c>
      <c r="AX29" t="s" s="0">
        <v>920</v>
      </c>
      <c r="AY29" t="s" s="0">
        <v>921</v>
      </c>
      <c r="AZ29" t="s" s="0">
        <v>185</v>
      </c>
      <c r="BA29" t="s" s="0">
        <v>104</v>
      </c>
      <c r="BB29" t="s" s="0">
        <v>97</v>
      </c>
      <c r="BC29" t="s" s="0">
        <v>81</v>
      </c>
      <c r="BD29" t="s" s="0">
        <v>81</v>
      </c>
      <c r="BE29" t="s" s="0">
        <v>81</v>
      </c>
      <c r="BF29" t="s" s="0">
        <v>81</v>
      </c>
      <c r="BG29" t="s" s="0">
        <v>81</v>
      </c>
      <c r="BH29" t="s" s="0">
        <v>81</v>
      </c>
      <c r="BI29" t="s" s="0">
        <v>922</v>
      </c>
      <c r="BJ29" t="s" s="0">
        <v>923</v>
      </c>
      <c r="BK29" t="s" s="55">
        <f>HYPERLINK("http://dx.doi.org/10.1038/s41598-024-82931-5","http://dx.doi.org/10.1038/s41598-024-82931-5")</f>
        <v>924</v>
      </c>
      <c r="BL29" t="s" s="0">
        <v>81</v>
      </c>
      <c r="BM29" t="s" s="0">
        <v>81</v>
      </c>
      <c r="BN29" t="s" s="0">
        <v>925</v>
      </c>
      <c r="BO29" t="s" s="0">
        <v>926</v>
      </c>
      <c r="BP29" t="s" s="0">
        <v>927</v>
      </c>
      <c r="BQ29" t="s" s="0">
        <v>928</v>
      </c>
      <c r="BR29" t="s" s="0">
        <v>929</v>
      </c>
      <c r="BS29" t="s" s="0">
        <v>930</v>
      </c>
      <c r="BT29" t="s" s="56">
        <f>HYPERLINK("https://www.webofscience.com/wos/woscc/full-record/WOS:001385891300049","View Record in Web of Science")</f>
        <v>114</v>
      </c>
      <c r="BU29" t="s" s="0">
        <v>301</v>
      </c>
      <c r="BV29" t="s" s="0">
        <v>81</v>
      </c>
      <c r="BW29" t="s" s="0">
        <v>81</v>
      </c>
      <c r="BX29" t="s" s="0">
        <v>116</v>
      </c>
    </row>
    <row r="30">
      <c r="A30" t="s" s="0">
        <v>77</v>
      </c>
      <c r="B30" t="s" s="0">
        <v>77</v>
      </c>
      <c r="C30" t="s" s="0">
        <v>77</v>
      </c>
      <c r="D30" t="s" s="0">
        <v>77</v>
      </c>
      <c r="E30" t="s" s="0">
        <v>931</v>
      </c>
      <c r="F30" t="s" s="0">
        <v>932</v>
      </c>
      <c r="G30" t="s" s="0">
        <v>933</v>
      </c>
      <c r="H30" t="s" s="0">
        <v>81</v>
      </c>
      <c r="I30" t="s" s="0">
        <v>82</v>
      </c>
      <c r="J30" t="s" s="0">
        <v>934</v>
      </c>
      <c r="K30" t="s" s="0">
        <v>935</v>
      </c>
      <c r="L30" t="s" s="0">
        <v>936</v>
      </c>
      <c r="M30" t="s" s="0">
        <v>937</v>
      </c>
      <c r="N30" t="s" s="0">
        <v>938</v>
      </c>
      <c r="O30" t="s" s="0">
        <v>939</v>
      </c>
      <c r="P30" t="s" s="0">
        <v>940</v>
      </c>
      <c r="Q30" t="s" s="0">
        <v>87</v>
      </c>
      <c r="R30" t="s" s="0">
        <v>81</v>
      </c>
      <c r="S30" t="s" s="0">
        <v>81</v>
      </c>
      <c r="T30" t="s" s="0">
        <v>81</v>
      </c>
      <c r="U30" t="s" s="0">
        <v>81</v>
      </c>
      <c r="V30" t="s" s="0">
        <v>941</v>
      </c>
      <c r="W30" t="s" s="0">
        <v>362</v>
      </c>
      <c r="X30" t="s" s="0">
        <v>81</v>
      </c>
      <c r="Y30" t="s" s="0">
        <v>81</v>
      </c>
      <c r="Z30" t="s" s="0">
        <v>90</v>
      </c>
      <c r="AA30" t="s" s="0">
        <v>91</v>
      </c>
      <c r="AB30" t="s" s="0">
        <v>81</v>
      </c>
      <c r="AC30" t="s" s="0">
        <v>81</v>
      </c>
      <c r="AD30" t="s" s="0">
        <v>81</v>
      </c>
      <c r="AE30" t="s" s="0">
        <v>81</v>
      </c>
      <c r="AF30" t="s" s="0">
        <v>81</v>
      </c>
      <c r="AG30" t="s" s="0">
        <v>942</v>
      </c>
      <c r="AH30" t="s" s="0">
        <v>81</v>
      </c>
      <c r="AI30" t="s" s="0">
        <v>943</v>
      </c>
      <c r="AJ30" t="s" s="0">
        <v>81</v>
      </c>
      <c r="AK30" t="s" s="0">
        <v>81</v>
      </c>
      <c r="AL30" t="s" s="0">
        <v>295</v>
      </c>
      <c r="AM30" t="s" s="0">
        <v>77</v>
      </c>
      <c r="AN30" t="s" s="0">
        <v>77</v>
      </c>
      <c r="AO30" t="s" s="0">
        <v>196</v>
      </c>
      <c r="AP30" t="s" s="0">
        <v>196</v>
      </c>
      <c r="AQ30" t="s" s="0">
        <v>368</v>
      </c>
      <c r="AR30" t="s" s="0">
        <v>369</v>
      </c>
      <c r="AS30" t="s" s="0">
        <v>370</v>
      </c>
      <c r="AT30" t="s" s="0">
        <v>81</v>
      </c>
      <c r="AU30" t="s" s="0">
        <v>371</v>
      </c>
      <c r="AV30" t="s" s="0">
        <v>81</v>
      </c>
      <c r="AW30" t="s" s="0">
        <v>372</v>
      </c>
      <c r="AX30" t="s" s="0">
        <v>373</v>
      </c>
      <c r="AY30" t="s" s="0">
        <v>944</v>
      </c>
      <c r="AZ30" t="s" s="0">
        <v>103</v>
      </c>
      <c r="BA30" t="s" s="0">
        <v>486</v>
      </c>
      <c r="BB30" t="s" s="0">
        <v>81</v>
      </c>
      <c r="BC30" t="s" s="0">
        <v>81</v>
      </c>
      <c r="BD30" t="s" s="0">
        <v>81</v>
      </c>
      <c r="BE30" t="s" s="0">
        <v>81</v>
      </c>
      <c r="BF30" t="s" s="0">
        <v>81</v>
      </c>
      <c r="BG30" t="s" s="0">
        <v>81</v>
      </c>
      <c r="BH30" t="s" s="0">
        <v>81</v>
      </c>
      <c r="BI30" t="s" s="0">
        <v>945</v>
      </c>
      <c r="BJ30" t="s" s="0">
        <v>946</v>
      </c>
      <c r="BK30" t="s" s="57">
        <f>HYPERLINK("http://dx.doi.org/10.3389/fmed.2026.1759016","http://dx.doi.org/10.3389/fmed.2026.1759016")</f>
        <v>947</v>
      </c>
      <c r="BL30" t="s" s="0">
        <v>81</v>
      </c>
      <c r="BM30" t="s" s="0">
        <v>948</v>
      </c>
      <c r="BN30" t="s" s="0">
        <v>211</v>
      </c>
      <c r="BO30" t="s" s="0">
        <v>296</v>
      </c>
      <c r="BP30" t="s" s="0">
        <v>297</v>
      </c>
      <c r="BQ30" t="s" s="0">
        <v>949</v>
      </c>
      <c r="BR30" t="s" s="0">
        <v>950</v>
      </c>
      <c r="BS30" t="s" s="0">
        <v>951</v>
      </c>
      <c r="BT30" t="s" s="58">
        <f>HYPERLINK("https://www.webofscience.com/wos/woscc/full-record/WOS:001755973000001","View Record in Web of Science")</f>
        <v>114</v>
      </c>
      <c r="BU30" t="s" s="0">
        <v>301</v>
      </c>
      <c r="BV30" t="s" s="0">
        <v>81</v>
      </c>
      <c r="BW30" t="s" s="0">
        <v>81</v>
      </c>
      <c r="BX30" t="s" s="0">
        <v>116</v>
      </c>
    </row>
    <row r="31">
      <c r="A31" t="s" s="0">
        <v>77</v>
      </c>
      <c r="B31" t="s" s="0">
        <v>77</v>
      </c>
      <c r="C31" t="s" s="0">
        <v>77</v>
      </c>
      <c r="D31" t="s" s="0">
        <v>77</v>
      </c>
      <c r="E31" t="s" s="0">
        <v>952</v>
      </c>
      <c r="F31" t="s" s="0">
        <v>953</v>
      </c>
      <c r="G31" t="s" s="0">
        <v>954</v>
      </c>
      <c r="H31" t="s" s="0">
        <v>81</v>
      </c>
      <c r="I31" t="s" s="0">
        <v>238</v>
      </c>
      <c r="J31" t="s" s="0">
        <v>955</v>
      </c>
      <c r="K31" t="s" s="0">
        <v>956</v>
      </c>
      <c r="L31" t="s" s="0">
        <v>81</v>
      </c>
      <c r="M31" t="s" s="0">
        <v>81</v>
      </c>
      <c r="N31" t="s" s="0">
        <v>81</v>
      </c>
      <c r="O31" t="s" s="0">
        <v>957</v>
      </c>
      <c r="P31" t="s" s="0">
        <v>958</v>
      </c>
      <c r="Q31" t="s" s="0">
        <v>87</v>
      </c>
      <c r="R31" t="s" s="0">
        <v>81</v>
      </c>
      <c r="S31" t="s" s="0">
        <v>81</v>
      </c>
      <c r="T31" t="s" s="0">
        <v>81</v>
      </c>
      <c r="U31" t="s" s="0">
        <v>81</v>
      </c>
      <c r="V31" t="s" s="0">
        <v>959</v>
      </c>
      <c r="W31" t="s" s="0">
        <v>960</v>
      </c>
      <c r="X31" t="s" s="0">
        <v>81</v>
      </c>
      <c r="Y31" t="s" s="0">
        <v>81</v>
      </c>
      <c r="Z31" t="s" s="0">
        <v>90</v>
      </c>
      <c r="AA31" t="s" s="0">
        <v>91</v>
      </c>
      <c r="AB31" t="s" s="0">
        <v>81</v>
      </c>
      <c r="AC31" t="s" s="0">
        <v>81</v>
      </c>
      <c r="AD31" t="s" s="0">
        <v>81</v>
      </c>
      <c r="AE31" t="s" s="0">
        <v>81</v>
      </c>
      <c r="AF31" t="s" s="0">
        <v>81</v>
      </c>
      <c r="AG31" t="s" s="0">
        <v>961</v>
      </c>
      <c r="AH31" t="s" s="0">
        <v>962</v>
      </c>
      <c r="AI31" t="s" s="0">
        <v>963</v>
      </c>
      <c r="AJ31" t="s" s="0">
        <v>81</v>
      </c>
      <c r="AK31" t="s" s="0">
        <v>81</v>
      </c>
      <c r="AL31" t="s" s="0">
        <v>671</v>
      </c>
      <c r="AM31" t="s" s="0">
        <v>77</v>
      </c>
      <c r="AN31" t="s" s="0">
        <v>77</v>
      </c>
      <c r="AO31" t="s" s="0">
        <v>77</v>
      </c>
      <c r="AP31" t="s" s="0">
        <v>77</v>
      </c>
      <c r="AQ31" t="s" s="0">
        <v>964</v>
      </c>
      <c r="AR31" t="s" s="0">
        <v>965</v>
      </c>
      <c r="AS31" t="s" s="0">
        <v>966</v>
      </c>
      <c r="AT31" t="s" s="0">
        <v>967</v>
      </c>
      <c r="AU31" t="s" s="0">
        <v>81</v>
      </c>
      <c r="AV31" t="s" s="0">
        <v>81</v>
      </c>
      <c r="AW31" t="s" s="0">
        <v>968</v>
      </c>
      <c r="AX31" t="s" s="0">
        <v>968</v>
      </c>
      <c r="AY31" t="s" s="0">
        <v>103</v>
      </c>
      <c r="AZ31" t="s" s="0">
        <v>103</v>
      </c>
      <c r="BA31" t="s" s="0">
        <v>104</v>
      </c>
      <c r="BB31" t="s" s="0">
        <v>81</v>
      </c>
      <c r="BC31" t="s" s="0">
        <v>81</v>
      </c>
      <c r="BD31" t="s" s="0">
        <v>81</v>
      </c>
      <c r="BE31" t="s" s="0">
        <v>81</v>
      </c>
      <c r="BF31" t="s" s="0">
        <v>81</v>
      </c>
      <c r="BG31" t="s" s="0">
        <v>81</v>
      </c>
      <c r="BH31" t="s" s="0">
        <v>81</v>
      </c>
      <c r="BI31" t="s" s="0">
        <v>969</v>
      </c>
      <c r="BJ31" t="s" s="0">
        <v>970</v>
      </c>
      <c r="BK31" t="s" s="59">
        <f>HYPERLINK("http://dx.doi.org/10.5599/admet.3321","http://dx.doi.org/10.5599/admet.3321")</f>
        <v>971</v>
      </c>
      <c r="BL31" t="s" s="0">
        <v>81</v>
      </c>
      <c r="BM31" t="s" s="0">
        <v>81</v>
      </c>
      <c r="BN31" t="s" s="0">
        <v>925</v>
      </c>
      <c r="BO31" t="s" s="0">
        <v>972</v>
      </c>
      <c r="BP31" t="s" s="0">
        <v>973</v>
      </c>
      <c r="BQ31" t="s" s="0">
        <v>974</v>
      </c>
      <c r="BR31" t="s" s="0">
        <v>975</v>
      </c>
      <c r="BS31" t="s" s="0">
        <v>976</v>
      </c>
      <c r="BT31" t="s" s="60">
        <f>HYPERLINK("https://www.webofscience.com/wos/woscc/full-record/WOS:001759087600001","View Record in Web of Science")</f>
        <v>114</v>
      </c>
      <c r="BU31" t="s" s="0">
        <v>301</v>
      </c>
      <c r="BV31" t="s" s="0">
        <v>81</v>
      </c>
      <c r="BW31" t="s" s="0">
        <v>81</v>
      </c>
      <c r="BX31" t="s" s="0">
        <v>116</v>
      </c>
    </row>
    <row r="32">
      <c r="A32" t="s" s="0">
        <v>77</v>
      </c>
      <c r="B32" t="s" s="0">
        <v>77</v>
      </c>
      <c r="C32" t="s" s="0">
        <v>77</v>
      </c>
      <c r="D32" t="s" s="0">
        <v>77</v>
      </c>
      <c r="E32" t="s" s="0">
        <v>977</v>
      </c>
      <c r="F32" t="s" s="0">
        <v>978</v>
      </c>
      <c r="G32" t="s" s="0">
        <v>979</v>
      </c>
      <c r="H32" t="s" s="0">
        <v>81</v>
      </c>
      <c r="I32" t="s" s="0">
        <v>238</v>
      </c>
      <c r="J32" t="s" s="0">
        <v>980</v>
      </c>
      <c r="K32" t="s" s="0">
        <v>981</v>
      </c>
      <c r="L32" t="s" s="0">
        <v>982</v>
      </c>
      <c r="M32" t="s" s="0">
        <v>982</v>
      </c>
      <c r="N32" t="s" s="0">
        <v>983</v>
      </c>
      <c r="O32" t="s" s="0">
        <v>984</v>
      </c>
      <c r="P32" t="s" s="0">
        <v>985</v>
      </c>
      <c r="Q32" t="s" s="0">
        <v>87</v>
      </c>
      <c r="R32" t="s" s="0">
        <v>81</v>
      </c>
      <c r="S32" t="s" s="0">
        <v>81</v>
      </c>
      <c r="T32" t="s" s="0">
        <v>81</v>
      </c>
      <c r="U32" t="s" s="0">
        <v>81</v>
      </c>
      <c r="V32" t="s" s="0">
        <v>986</v>
      </c>
      <c r="W32" t="s" s="0">
        <v>987</v>
      </c>
      <c r="X32" t="s" s="0">
        <v>81</v>
      </c>
      <c r="Y32" t="s" s="0">
        <v>81</v>
      </c>
      <c r="Z32" t="s" s="0">
        <v>90</v>
      </c>
      <c r="AA32" t="s" s="0">
        <v>91</v>
      </c>
      <c r="AB32" t="s" s="0">
        <v>81</v>
      </c>
      <c r="AC32" t="s" s="0">
        <v>81</v>
      </c>
      <c r="AD32" t="s" s="0">
        <v>81</v>
      </c>
      <c r="AE32" t="s" s="0">
        <v>81</v>
      </c>
      <c r="AF32" t="s" s="0">
        <v>81</v>
      </c>
      <c r="AG32" t="s" s="0">
        <v>988</v>
      </c>
      <c r="AH32" t="s" s="0">
        <v>989</v>
      </c>
      <c r="AI32" t="s" s="0">
        <v>990</v>
      </c>
      <c r="AJ32" t="s" s="0">
        <v>991</v>
      </c>
      <c r="AK32" t="s" s="0">
        <v>81</v>
      </c>
      <c r="AL32" t="s" s="0">
        <v>734</v>
      </c>
      <c r="AM32" t="s" s="0">
        <v>77</v>
      </c>
      <c r="AN32" t="s" s="0">
        <v>77</v>
      </c>
      <c r="AO32" t="s" s="0">
        <v>97</v>
      </c>
      <c r="AP32" t="s" s="0">
        <v>97</v>
      </c>
      <c r="AQ32" t="s" s="0">
        <v>992</v>
      </c>
      <c r="AR32" t="s" s="0">
        <v>993</v>
      </c>
      <c r="AS32" t="s" s="0">
        <v>994</v>
      </c>
      <c r="AT32" t="s" s="0">
        <v>995</v>
      </c>
      <c r="AU32" t="s" s="0">
        <v>81</v>
      </c>
      <c r="AV32" t="s" s="0">
        <v>81</v>
      </c>
      <c r="AW32" t="s" s="0">
        <v>996</v>
      </c>
      <c r="AX32" t="s" s="0">
        <v>997</v>
      </c>
      <c r="AY32" t="s" s="0">
        <v>998</v>
      </c>
      <c r="AZ32" t="s" s="0">
        <v>103</v>
      </c>
      <c r="BA32" t="s" s="0">
        <v>381</v>
      </c>
      <c r="BB32" t="s" s="0">
        <v>196</v>
      </c>
      <c r="BC32" t="s" s="0">
        <v>81</v>
      </c>
      <c r="BD32" t="s" s="0">
        <v>81</v>
      </c>
      <c r="BE32" t="s" s="0">
        <v>81</v>
      </c>
      <c r="BF32" t="s" s="0">
        <v>81</v>
      </c>
      <c r="BG32" t="s" s="0">
        <v>81</v>
      </c>
      <c r="BH32" t="s" s="0">
        <v>81</v>
      </c>
      <c r="BI32" t="s" s="0">
        <v>999</v>
      </c>
      <c r="BJ32" t="s" s="0">
        <v>1000</v>
      </c>
      <c r="BK32" t="s" s="61">
        <f>HYPERLINK("http://dx.doi.org/10.1088/2631-8695/ae3ed1","http://dx.doi.org/10.1088/2631-8695/ae3ed1")</f>
        <v>1001</v>
      </c>
      <c r="BL32" t="s" s="0">
        <v>81</v>
      </c>
      <c r="BM32" t="s" s="0">
        <v>81</v>
      </c>
      <c r="BN32" t="s" s="0">
        <v>295</v>
      </c>
      <c r="BO32" t="s" s="0">
        <v>1002</v>
      </c>
      <c r="BP32" t="s" s="0">
        <v>1003</v>
      </c>
      <c r="BQ32" t="s" s="0">
        <v>1004</v>
      </c>
      <c r="BR32" t="s" s="0">
        <v>81</v>
      </c>
      <c r="BS32" t="s" s="0">
        <v>1005</v>
      </c>
      <c r="BT32" t="s" s="62">
        <f>HYPERLINK("https://www.webofscience.com/wos/woscc/full-record/WOS:001687167700001","View Record in Web of Science")</f>
        <v>114</v>
      </c>
      <c r="BU32" t="s" s="0">
        <v>81</v>
      </c>
      <c r="BV32" t="s" s="0">
        <v>81</v>
      </c>
      <c r="BW32" t="s" s="0">
        <v>81</v>
      </c>
      <c r="BX32" t="s" s="0">
        <v>116</v>
      </c>
    </row>
    <row r="33">
      <c r="A33" t="s" s="0">
        <v>77</v>
      </c>
      <c r="B33" t="s" s="0">
        <v>77</v>
      </c>
      <c r="C33" t="s" s="0">
        <v>77</v>
      </c>
      <c r="D33" t="s" s="0">
        <v>77</v>
      </c>
      <c r="E33" t="s" s="0">
        <v>1006</v>
      </c>
      <c r="F33" t="s" s="0">
        <v>1007</v>
      </c>
      <c r="G33" t="s" s="0">
        <v>1008</v>
      </c>
      <c r="H33" t="s" s="0">
        <v>81</v>
      </c>
      <c r="I33" t="s" s="0">
        <v>238</v>
      </c>
      <c r="J33" t="s" s="0">
        <v>1009</v>
      </c>
      <c r="K33" t="s" s="0">
        <v>1010</v>
      </c>
      <c r="L33" t="s" s="0">
        <v>1011</v>
      </c>
      <c r="M33" t="s" s="0">
        <v>1012</v>
      </c>
      <c r="N33" t="s" s="0">
        <v>1013</v>
      </c>
      <c r="O33" t="s" s="0">
        <v>1014</v>
      </c>
      <c r="P33" t="s" s="0">
        <v>1015</v>
      </c>
      <c r="Q33" t="s" s="0">
        <v>87</v>
      </c>
      <c r="R33" t="s" s="0">
        <v>81</v>
      </c>
      <c r="S33" t="s" s="0">
        <v>81</v>
      </c>
      <c r="T33" t="s" s="0">
        <v>81</v>
      </c>
      <c r="U33" t="s" s="0">
        <v>81</v>
      </c>
      <c r="V33" t="s" s="0">
        <v>1016</v>
      </c>
      <c r="W33" t="s" s="0">
        <v>1017</v>
      </c>
      <c r="X33" t="s" s="0">
        <v>81</v>
      </c>
      <c r="Y33" t="s" s="0">
        <v>81</v>
      </c>
      <c r="Z33" t="s" s="0">
        <v>90</v>
      </c>
      <c r="AA33" t="s" s="0">
        <v>91</v>
      </c>
      <c r="AB33" t="s" s="0">
        <v>81</v>
      </c>
      <c r="AC33" t="s" s="0">
        <v>81</v>
      </c>
      <c r="AD33" t="s" s="0">
        <v>81</v>
      </c>
      <c r="AE33" t="s" s="0">
        <v>81</v>
      </c>
      <c r="AF33" t="s" s="0">
        <v>81</v>
      </c>
      <c r="AG33" t="s" s="0">
        <v>1018</v>
      </c>
      <c r="AH33" t="s" s="0">
        <v>1019</v>
      </c>
      <c r="AI33" t="s" s="0">
        <v>1020</v>
      </c>
      <c r="AJ33" t="s" s="0">
        <v>1021</v>
      </c>
      <c r="AK33" t="s" s="0">
        <v>81</v>
      </c>
      <c r="AL33" t="s" s="0">
        <v>173</v>
      </c>
      <c r="AM33" t="s" s="0">
        <v>175</v>
      </c>
      <c r="AN33" t="s" s="0">
        <v>175</v>
      </c>
      <c r="AO33" t="s" s="0">
        <v>196</v>
      </c>
      <c r="AP33" t="s" s="0">
        <v>234</v>
      </c>
      <c r="AQ33" t="s" s="0">
        <v>136</v>
      </c>
      <c r="AR33" t="s" s="0">
        <v>137</v>
      </c>
      <c r="AS33" t="s" s="0">
        <v>138</v>
      </c>
      <c r="AT33" t="s" s="0">
        <v>81</v>
      </c>
      <c r="AU33" t="s" s="0">
        <v>1022</v>
      </c>
      <c r="AV33" t="s" s="0">
        <v>81</v>
      </c>
      <c r="AW33" t="s" s="0">
        <v>1023</v>
      </c>
      <c r="AX33" t="s" s="0">
        <v>1024</v>
      </c>
      <c r="AY33" t="s" s="0">
        <v>1025</v>
      </c>
      <c r="AZ33" t="s" s="0">
        <v>290</v>
      </c>
      <c r="BA33" t="s" s="0">
        <v>109</v>
      </c>
      <c r="BB33" t="s" s="0">
        <v>81</v>
      </c>
      <c r="BC33" t="s" s="0">
        <v>81</v>
      </c>
      <c r="BD33" t="s" s="0">
        <v>81</v>
      </c>
      <c r="BE33" t="s" s="0">
        <v>81</v>
      </c>
      <c r="BF33" t="s" s="0">
        <v>81</v>
      </c>
      <c r="BG33" t="s" s="0">
        <v>81</v>
      </c>
      <c r="BH33" t="s" s="0">
        <v>81</v>
      </c>
      <c r="BI33" t="s" s="0">
        <v>1026</v>
      </c>
      <c r="BJ33" t="s" s="0">
        <v>1027</v>
      </c>
      <c r="BK33" t="s" s="63">
        <f>HYPERLINK("http://dx.doi.org/10.1016/j.rineng.2025.104320","http://dx.doi.org/10.1016/j.rineng.2025.104320")</f>
        <v>1028</v>
      </c>
      <c r="BL33" t="s" s="0">
        <v>81</v>
      </c>
      <c r="BM33" t="s" s="0">
        <v>1029</v>
      </c>
      <c r="BN33" t="s" s="0">
        <v>135</v>
      </c>
      <c r="BO33" t="s" s="0">
        <v>1002</v>
      </c>
      <c r="BP33" t="s" s="0">
        <v>1003</v>
      </c>
      <c r="BQ33" t="s" s="0">
        <v>1030</v>
      </c>
      <c r="BR33" t="s" s="0">
        <v>81</v>
      </c>
      <c r="BS33" t="s" s="0">
        <v>1031</v>
      </c>
      <c r="BT33" t="s" s="64">
        <f>HYPERLINK("https://www.webofscience.com/wos/woscc/full-record/WOS:001426789500001","View Record in Web of Science")</f>
        <v>114</v>
      </c>
      <c r="BU33" t="s" s="0">
        <v>301</v>
      </c>
      <c r="BV33" t="s" s="0">
        <v>81</v>
      </c>
      <c r="BW33" t="s" s="0">
        <v>81</v>
      </c>
      <c r="BX33" t="s" s="0">
        <v>116</v>
      </c>
    </row>
    <row r="34">
      <c r="A34" t="s" s="0">
        <v>77</v>
      </c>
      <c r="B34" t="s" s="0">
        <v>77</v>
      </c>
      <c r="C34" t="s" s="0">
        <v>77</v>
      </c>
      <c r="D34" t="s" s="0">
        <v>77</v>
      </c>
      <c r="E34" t="s" s="0">
        <v>1032</v>
      </c>
      <c r="F34" t="s" s="0">
        <v>1033</v>
      </c>
      <c r="G34" t="s" s="0">
        <v>1034</v>
      </c>
      <c r="H34" t="s" s="0">
        <v>81</v>
      </c>
      <c r="I34" t="s" s="0">
        <v>82</v>
      </c>
      <c r="J34" t="s" s="0">
        <v>1035</v>
      </c>
      <c r="K34" t="s" s="0">
        <v>1036</v>
      </c>
      <c r="L34" t="s" s="0">
        <v>1037</v>
      </c>
      <c r="M34" t="s" s="0">
        <v>1038</v>
      </c>
      <c r="N34" t="s" s="0">
        <v>1039</v>
      </c>
      <c r="O34" t="s" s="0">
        <v>1040</v>
      </c>
      <c r="P34" t="s" s="0">
        <v>1041</v>
      </c>
      <c r="Q34" t="s" s="0">
        <v>87</v>
      </c>
      <c r="R34" t="s" s="0">
        <v>81</v>
      </c>
      <c r="S34" t="s" s="0">
        <v>81</v>
      </c>
      <c r="T34" t="s" s="0">
        <v>81</v>
      </c>
      <c r="U34" t="s" s="0">
        <v>81</v>
      </c>
      <c r="V34" t="s" s="0">
        <v>1042</v>
      </c>
      <c r="W34" t="s" s="0">
        <v>392</v>
      </c>
      <c r="X34" t="s" s="0">
        <v>81</v>
      </c>
      <c r="Y34" t="s" s="0">
        <v>81</v>
      </c>
      <c r="Z34" t="s" s="0">
        <v>90</v>
      </c>
      <c r="AA34" t="s" s="0">
        <v>91</v>
      </c>
      <c r="AB34" t="s" s="0">
        <v>81</v>
      </c>
      <c r="AC34" t="s" s="0">
        <v>81</v>
      </c>
      <c r="AD34" t="s" s="0">
        <v>81</v>
      </c>
      <c r="AE34" t="s" s="0">
        <v>81</v>
      </c>
      <c r="AF34" t="s" s="0">
        <v>81</v>
      </c>
      <c r="AG34" t="s" s="0">
        <v>1043</v>
      </c>
      <c r="AH34" t="s" s="0">
        <v>1044</v>
      </c>
      <c r="AI34" t="s" s="0">
        <v>1045</v>
      </c>
      <c r="AJ34" t="s" s="0">
        <v>1046</v>
      </c>
      <c r="AK34" t="s" s="0">
        <v>81</v>
      </c>
      <c r="AL34" t="s" s="0">
        <v>1047</v>
      </c>
      <c r="AM34" t="s" s="0">
        <v>196</v>
      </c>
      <c r="AN34" t="s" s="0">
        <v>175</v>
      </c>
      <c r="AO34" t="s" s="0">
        <v>97</v>
      </c>
      <c r="AP34" t="s" s="0">
        <v>97</v>
      </c>
      <c r="AQ34" t="s" s="0">
        <v>212</v>
      </c>
      <c r="AR34" t="s" s="0">
        <v>213</v>
      </c>
      <c r="AS34" t="s" s="0">
        <v>214</v>
      </c>
      <c r="AT34" t="s" s="0">
        <v>400</v>
      </c>
      <c r="AU34" t="s" s="0">
        <v>401</v>
      </c>
      <c r="AV34" t="s" s="0">
        <v>81</v>
      </c>
      <c r="AW34" t="s" s="0">
        <v>402</v>
      </c>
      <c r="AX34" t="s" s="0">
        <v>403</v>
      </c>
      <c r="AY34" t="s" s="0">
        <v>1048</v>
      </c>
      <c r="AZ34" t="s" s="0">
        <v>290</v>
      </c>
      <c r="BA34" t="s" s="0">
        <v>1049</v>
      </c>
      <c r="BB34" t="s" s="0">
        <v>316</v>
      </c>
      <c r="BC34" t="s" s="0">
        <v>81</v>
      </c>
      <c r="BD34" t="s" s="0">
        <v>81</v>
      </c>
      <c r="BE34" t="s" s="0">
        <v>81</v>
      </c>
      <c r="BF34" t="s" s="0">
        <v>81</v>
      </c>
      <c r="BG34" t="s" s="0">
        <v>81</v>
      </c>
      <c r="BH34" t="s" s="0">
        <v>81</v>
      </c>
      <c r="BI34" t="s" s="0">
        <v>1050</v>
      </c>
      <c r="BJ34" t="s" s="0">
        <v>1051</v>
      </c>
      <c r="BK34" t="s" s="65">
        <f>HYPERLINK("http://dx.doi.org/10.1007/s10462-025-11179-w","http://dx.doi.org/10.1007/s10462-025-11179-w")</f>
        <v>1052</v>
      </c>
      <c r="BL34" t="s" s="0">
        <v>81</v>
      </c>
      <c r="BM34" t="s" s="0">
        <v>81</v>
      </c>
      <c r="BN34" t="s" s="0">
        <v>174</v>
      </c>
      <c r="BO34" t="s" s="0">
        <v>409</v>
      </c>
      <c r="BP34" t="s" s="0">
        <v>152</v>
      </c>
      <c r="BQ34" t="s" s="0">
        <v>1053</v>
      </c>
      <c r="BR34" t="s" s="0">
        <v>81</v>
      </c>
      <c r="BS34" t="s" s="0">
        <v>1054</v>
      </c>
      <c r="BT34" t="s" s="66">
        <f>HYPERLINK("https://www.webofscience.com/wos/woscc/full-record/WOS:001451024500001","View Record in Web of Science")</f>
        <v>114</v>
      </c>
      <c r="BU34" t="s" s="0">
        <v>1055</v>
      </c>
      <c r="BV34" t="s" s="0">
        <v>81</v>
      </c>
      <c r="BW34" t="s" s="0">
        <v>81</v>
      </c>
      <c r="BX34" t="s" s="0">
        <v>116</v>
      </c>
    </row>
    <row r="35">
      <c r="A35" t="s" s="0">
        <v>77</v>
      </c>
      <c r="B35" t="s" s="0">
        <v>77</v>
      </c>
      <c r="C35" t="s" s="0">
        <v>77</v>
      </c>
      <c r="D35" t="s" s="0">
        <v>77</v>
      </c>
      <c r="E35" t="s" s="0">
        <v>1056</v>
      </c>
      <c r="F35" t="s" s="0">
        <v>1057</v>
      </c>
      <c r="G35" t="s" s="0">
        <v>1058</v>
      </c>
      <c r="H35" t="s" s="0">
        <v>81</v>
      </c>
      <c r="I35" t="s" s="0">
        <v>238</v>
      </c>
      <c r="J35" t="s" s="0">
        <v>1059</v>
      </c>
      <c r="K35" t="s" s="0">
        <v>1060</v>
      </c>
      <c r="L35" t="s" s="0">
        <v>81</v>
      </c>
      <c r="M35" t="s" s="0">
        <v>81</v>
      </c>
      <c r="N35" t="s" s="0">
        <v>81</v>
      </c>
      <c r="O35" t="s" s="0">
        <v>1061</v>
      </c>
      <c r="P35" t="s" s="0">
        <v>81</v>
      </c>
      <c r="Q35" t="s" s="0">
        <v>87</v>
      </c>
      <c r="R35" t="s" s="0">
        <v>81</v>
      </c>
      <c r="S35" t="s" s="0">
        <v>81</v>
      </c>
      <c r="T35" t="s" s="0">
        <v>81</v>
      </c>
      <c r="U35" t="s" s="0">
        <v>81</v>
      </c>
      <c r="V35" t="s" s="0">
        <v>1062</v>
      </c>
      <c r="W35" t="s" s="0">
        <v>1063</v>
      </c>
      <c r="X35" t="s" s="0">
        <v>81</v>
      </c>
      <c r="Y35" t="s" s="0">
        <v>81</v>
      </c>
      <c r="Z35" t="s" s="0">
        <v>90</v>
      </c>
      <c r="AA35" t="s" s="0">
        <v>91</v>
      </c>
      <c r="AB35" t="s" s="0">
        <v>81</v>
      </c>
      <c r="AC35" t="s" s="0">
        <v>81</v>
      </c>
      <c r="AD35" t="s" s="0">
        <v>81</v>
      </c>
      <c r="AE35" t="s" s="0">
        <v>81</v>
      </c>
      <c r="AF35" t="s" s="0">
        <v>81</v>
      </c>
      <c r="AG35" t="s" s="0">
        <v>1064</v>
      </c>
      <c r="AH35" t="s" s="0">
        <v>1065</v>
      </c>
      <c r="AI35" t="s" s="0">
        <v>1066</v>
      </c>
      <c r="AJ35" t="s" s="0">
        <v>81</v>
      </c>
      <c r="AK35" t="s" s="0">
        <v>81</v>
      </c>
      <c r="AL35" t="s" s="0">
        <v>697</v>
      </c>
      <c r="AM35" t="s" s="0">
        <v>77</v>
      </c>
      <c r="AN35" t="s" s="0">
        <v>77</v>
      </c>
      <c r="AO35" t="s" s="0">
        <v>133</v>
      </c>
      <c r="AP35" t="s" s="0">
        <v>133</v>
      </c>
      <c r="AQ35" t="s" s="0">
        <v>726</v>
      </c>
      <c r="AR35" t="s" s="0">
        <v>727</v>
      </c>
      <c r="AS35" t="s" s="0">
        <v>728</v>
      </c>
      <c r="AT35" t="s" s="0">
        <v>81</v>
      </c>
      <c r="AU35" t="s" s="0">
        <v>1067</v>
      </c>
      <c r="AV35" t="s" s="0">
        <v>81</v>
      </c>
      <c r="AW35" t="s" s="0">
        <v>1068</v>
      </c>
      <c r="AX35" t="s" s="0">
        <v>1069</v>
      </c>
      <c r="AY35" t="s" s="0">
        <v>1070</v>
      </c>
      <c r="AZ35" t="s" s="0">
        <v>103</v>
      </c>
      <c r="BA35" t="s" s="0">
        <v>261</v>
      </c>
      <c r="BB35" t="s" s="0">
        <v>175</v>
      </c>
      <c r="BC35" t="s" s="0">
        <v>81</v>
      </c>
      <c r="BD35" t="s" s="0">
        <v>81</v>
      </c>
      <c r="BE35" t="s" s="0">
        <v>81</v>
      </c>
      <c r="BF35" t="s" s="0">
        <v>81</v>
      </c>
      <c r="BG35" t="s" s="0">
        <v>81</v>
      </c>
      <c r="BH35" t="s" s="0">
        <v>81</v>
      </c>
      <c r="BI35" t="s" s="0">
        <v>1071</v>
      </c>
      <c r="BJ35" t="s" s="0">
        <v>1072</v>
      </c>
      <c r="BK35" t="s" s="67">
        <f>HYPERLINK("http://dx.doi.org/10.1002/hsr2.72280","http://dx.doi.org/10.1002/hsr2.72280")</f>
        <v>1073</v>
      </c>
      <c r="BL35" t="s" s="0">
        <v>81</v>
      </c>
      <c r="BM35" t="s" s="0">
        <v>81</v>
      </c>
      <c r="BN35" t="s" s="0">
        <v>291</v>
      </c>
      <c r="BO35" t="s" s="0">
        <v>1074</v>
      </c>
      <c r="BP35" t="s" s="0">
        <v>1075</v>
      </c>
      <c r="BQ35" t="s" s="0">
        <v>1076</v>
      </c>
      <c r="BR35" t="s" s="0">
        <v>1077</v>
      </c>
      <c r="BS35" t="s" s="0">
        <v>1078</v>
      </c>
      <c r="BT35" t="s" s="68">
        <f>HYPERLINK("https://www.webofscience.com/wos/woscc/full-record/WOS:001733290600001","View Record in Web of Science")</f>
        <v>114</v>
      </c>
      <c r="BU35" t="s" s="0">
        <v>301</v>
      </c>
      <c r="BV35" t="s" s="0">
        <v>81</v>
      </c>
      <c r="BW35" t="s" s="0">
        <v>81</v>
      </c>
      <c r="BX35" t="s" s="0">
        <v>116</v>
      </c>
    </row>
    <row r="36">
      <c r="A36" t="s" s="0">
        <v>77</v>
      </c>
      <c r="B36" t="s" s="0">
        <v>77</v>
      </c>
      <c r="C36" t="s" s="0">
        <v>97</v>
      </c>
      <c r="D36" t="s" s="0">
        <v>77</v>
      </c>
      <c r="E36" t="s" s="0">
        <v>1079</v>
      </c>
      <c r="F36" t="s" s="0">
        <v>1080</v>
      </c>
      <c r="G36" t="s" s="0">
        <v>1081</v>
      </c>
      <c r="H36" t="s" s="0">
        <v>81</v>
      </c>
      <c r="I36" t="s" s="0">
        <v>82</v>
      </c>
      <c r="J36" t="s" s="0">
        <v>1082</v>
      </c>
      <c r="K36" t="s" s="0">
        <v>1083</v>
      </c>
      <c r="L36" t="s" s="0">
        <v>1084</v>
      </c>
      <c r="M36" t="s" s="0">
        <v>1085</v>
      </c>
      <c r="N36" t="s" s="0">
        <v>1086</v>
      </c>
      <c r="O36" t="s" s="0">
        <v>1087</v>
      </c>
      <c r="P36" t="s" s="0">
        <v>1088</v>
      </c>
      <c r="Q36" t="s" s="0">
        <v>87</v>
      </c>
      <c r="R36" t="s" s="0">
        <v>81</v>
      </c>
      <c r="S36" t="s" s="0">
        <v>81</v>
      </c>
      <c r="T36" t="s" s="0">
        <v>81</v>
      </c>
      <c r="U36" t="s" s="0">
        <v>81</v>
      </c>
      <c r="V36" t="s" s="0">
        <v>1089</v>
      </c>
      <c r="W36" t="s" s="0">
        <v>279</v>
      </c>
      <c r="X36" t="s" s="0">
        <v>81</v>
      </c>
      <c r="Y36" t="s" s="0">
        <v>81</v>
      </c>
      <c r="Z36" t="s" s="0">
        <v>90</v>
      </c>
      <c r="AA36" t="s" s="0">
        <v>91</v>
      </c>
      <c r="AB36" t="s" s="0">
        <v>81</v>
      </c>
      <c r="AC36" t="s" s="0">
        <v>81</v>
      </c>
      <c r="AD36" t="s" s="0">
        <v>81</v>
      </c>
      <c r="AE36" t="s" s="0">
        <v>81</v>
      </c>
      <c r="AF36" t="s" s="0">
        <v>81</v>
      </c>
      <c r="AG36" t="s" s="0">
        <v>1090</v>
      </c>
      <c r="AH36" t="s" s="0">
        <v>989</v>
      </c>
      <c r="AI36" t="s" s="0">
        <v>1091</v>
      </c>
      <c r="AJ36" t="s" s="0">
        <v>1092</v>
      </c>
      <c r="AK36" t="s" s="0">
        <v>81</v>
      </c>
      <c r="AL36" t="s" s="0">
        <v>315</v>
      </c>
      <c r="AM36" t="s" s="0">
        <v>191</v>
      </c>
      <c r="AN36" t="s" s="0">
        <v>134</v>
      </c>
      <c r="AO36" t="s" s="0">
        <v>316</v>
      </c>
      <c r="AP36" t="s" s="0">
        <v>191</v>
      </c>
      <c r="AQ36" t="s" s="0">
        <v>284</v>
      </c>
      <c r="AR36" t="s" s="0">
        <v>285</v>
      </c>
      <c r="AS36" t="s" s="0">
        <v>286</v>
      </c>
      <c r="AT36" t="s" s="0">
        <v>81</v>
      </c>
      <c r="AU36" t="s" s="0">
        <v>287</v>
      </c>
      <c r="AV36" t="s" s="0">
        <v>81</v>
      </c>
      <c r="AW36" t="s" s="0">
        <v>279</v>
      </c>
      <c r="AX36" t="s" s="0">
        <v>288</v>
      </c>
      <c r="AY36" t="s" s="0">
        <v>1093</v>
      </c>
      <c r="AZ36" t="s" s="0">
        <v>290</v>
      </c>
      <c r="BA36" t="s" s="0">
        <v>291</v>
      </c>
      <c r="BB36" t="s" s="0">
        <v>925</v>
      </c>
      <c r="BC36" t="s" s="0">
        <v>81</v>
      </c>
      <c r="BD36" t="s" s="0">
        <v>81</v>
      </c>
      <c r="BE36" t="s" s="0">
        <v>81</v>
      </c>
      <c r="BF36" t="s" s="0">
        <v>81</v>
      </c>
      <c r="BG36" t="s" s="0">
        <v>81</v>
      </c>
      <c r="BH36" t="s" s="0">
        <v>81</v>
      </c>
      <c r="BI36" t="s" s="0">
        <v>1094</v>
      </c>
      <c r="BJ36" t="s" s="0">
        <v>1095</v>
      </c>
      <c r="BK36" t="s" s="69">
        <f>HYPERLINK("http://dx.doi.org/10.3390/diagnostics15162063","http://dx.doi.org/10.3390/diagnostics15162063")</f>
        <v>1096</v>
      </c>
      <c r="BL36" t="s" s="0">
        <v>81</v>
      </c>
      <c r="BM36" t="s" s="0">
        <v>81</v>
      </c>
      <c r="BN36" t="s" s="0">
        <v>210</v>
      </c>
      <c r="BO36" t="s" s="0">
        <v>296</v>
      </c>
      <c r="BP36" t="s" s="0">
        <v>297</v>
      </c>
      <c r="BQ36" t="s" s="0">
        <v>1097</v>
      </c>
      <c r="BR36" t="s" s="0">
        <v>1098</v>
      </c>
      <c r="BS36" t="s" s="0">
        <v>1099</v>
      </c>
      <c r="BT36" t="s" s="70">
        <f>HYPERLINK("https://www.webofscience.com/wos/woscc/full-record/WOS:001558469900001","View Record in Web of Science")</f>
        <v>114</v>
      </c>
      <c r="BU36" t="s" s="0">
        <v>301</v>
      </c>
      <c r="BV36" t="s" s="0">
        <v>81</v>
      </c>
      <c r="BW36" t="s" s="0">
        <v>81</v>
      </c>
      <c r="BX36" t="s" s="0">
        <v>116</v>
      </c>
    </row>
    <row r="37">
      <c r="A37" t="s" s="0">
        <v>77</v>
      </c>
      <c r="B37" t="s" s="0">
        <v>77</v>
      </c>
      <c r="C37" t="s" s="0">
        <v>77</v>
      </c>
      <c r="D37" t="s" s="0">
        <v>77</v>
      </c>
      <c r="E37" t="s" s="0">
        <v>1100</v>
      </c>
      <c r="F37" t="s" s="0">
        <v>1101</v>
      </c>
      <c r="G37" t="s" s="0">
        <v>1102</v>
      </c>
      <c r="H37" t="s" s="0">
        <v>81</v>
      </c>
      <c r="I37" t="s" s="0">
        <v>238</v>
      </c>
      <c r="J37" t="s" s="0">
        <v>1103</v>
      </c>
      <c r="K37" t="s" s="0">
        <v>1104</v>
      </c>
      <c r="L37" t="s" s="0">
        <v>1105</v>
      </c>
      <c r="M37" t="s" s="0">
        <v>1106</v>
      </c>
      <c r="N37" t="s" s="0">
        <v>1107</v>
      </c>
      <c r="O37" t="s" s="0">
        <v>1108</v>
      </c>
      <c r="P37" t="s" s="0">
        <v>1109</v>
      </c>
      <c r="Q37" t="s" s="0">
        <v>87</v>
      </c>
      <c r="R37" t="s" s="0">
        <v>81</v>
      </c>
      <c r="S37" t="s" s="0">
        <v>81</v>
      </c>
      <c r="T37" t="s" s="0">
        <v>81</v>
      </c>
      <c r="U37" t="s" s="0">
        <v>81</v>
      </c>
      <c r="V37" t="s" s="0">
        <v>1110</v>
      </c>
      <c r="W37" t="s" s="0">
        <v>1111</v>
      </c>
      <c r="X37" t="s" s="0">
        <v>81</v>
      </c>
      <c r="Y37" t="s" s="0">
        <v>81</v>
      </c>
      <c r="Z37" t="s" s="0">
        <v>90</v>
      </c>
      <c r="AA37" t="s" s="0">
        <v>91</v>
      </c>
      <c r="AB37" t="s" s="0">
        <v>81</v>
      </c>
      <c r="AC37" t="s" s="0">
        <v>81</v>
      </c>
      <c r="AD37" t="s" s="0">
        <v>81</v>
      </c>
      <c r="AE37" t="s" s="0">
        <v>81</v>
      </c>
      <c r="AF37" t="s" s="0">
        <v>81</v>
      </c>
      <c r="AG37" t="s" s="0">
        <v>1112</v>
      </c>
      <c r="AH37" t="s" s="0">
        <v>1113</v>
      </c>
      <c r="AI37" t="s" s="0">
        <v>1114</v>
      </c>
      <c r="AJ37" t="s" s="0">
        <v>1115</v>
      </c>
      <c r="AK37" t="s" s="0">
        <v>81</v>
      </c>
      <c r="AL37" t="s" s="0">
        <v>1116</v>
      </c>
      <c r="AM37" t="s" s="0">
        <v>175</v>
      </c>
      <c r="AN37" t="s" s="0">
        <v>175</v>
      </c>
      <c r="AO37" t="s" s="0">
        <v>97</v>
      </c>
      <c r="AP37" t="s" s="0">
        <v>156</v>
      </c>
      <c r="AQ37" t="s" s="0">
        <v>98</v>
      </c>
      <c r="AR37" t="s" s="0">
        <v>99</v>
      </c>
      <c r="AS37" t="s" s="0">
        <v>100</v>
      </c>
      <c r="AT37" t="s" s="0">
        <v>81</v>
      </c>
      <c r="AU37" t="s" s="0">
        <v>1117</v>
      </c>
      <c r="AV37" t="s" s="0">
        <v>81</v>
      </c>
      <c r="AW37" t="s" s="0">
        <v>1118</v>
      </c>
      <c r="AX37" t="s" s="0">
        <v>1119</v>
      </c>
      <c r="AY37" t="s" s="0">
        <v>290</v>
      </c>
      <c r="AZ37" t="s" s="0">
        <v>290</v>
      </c>
      <c r="BA37" t="s" s="0">
        <v>316</v>
      </c>
      <c r="BB37" t="s" s="0">
        <v>81</v>
      </c>
      <c r="BC37" t="s" s="0">
        <v>81</v>
      </c>
      <c r="BD37" t="s" s="0">
        <v>81</v>
      </c>
      <c r="BE37" t="s" s="0">
        <v>81</v>
      </c>
      <c r="BF37" t="s" s="0">
        <v>81</v>
      </c>
      <c r="BG37" t="s" s="0">
        <v>1120</v>
      </c>
      <c r="BH37" t="s" s="0">
        <v>1121</v>
      </c>
      <c r="BI37" t="s" s="0">
        <v>81</v>
      </c>
      <c r="BJ37" t="s" s="0">
        <v>1122</v>
      </c>
      <c r="BK37" t="s" s="71">
        <f>HYPERLINK("http://dx.doi.org/10.1109/OJCOMS.2025.3608784","http://dx.doi.org/10.1109/OJCOMS.2025.3608784")</f>
        <v>1123</v>
      </c>
      <c r="BL37" t="s" s="0">
        <v>81</v>
      </c>
      <c r="BM37" t="s" s="0">
        <v>81</v>
      </c>
      <c r="BN37" t="s" s="0">
        <v>874</v>
      </c>
      <c r="BO37" t="s" s="0">
        <v>1124</v>
      </c>
      <c r="BP37" t="s" s="0">
        <v>1125</v>
      </c>
      <c r="BQ37" t="s" s="0">
        <v>1126</v>
      </c>
      <c r="BR37" t="s" s="0">
        <v>81</v>
      </c>
      <c r="BS37" t="s" s="0">
        <v>1127</v>
      </c>
      <c r="BT37" t="s" s="72">
        <f>HYPERLINK("https://www.webofscience.com/wos/woscc/full-record/WOS:001591651000003","View Record in Web of Science")</f>
        <v>114</v>
      </c>
      <c r="BU37" t="s" s="0">
        <v>301</v>
      </c>
      <c r="BV37" t="s" s="0">
        <v>81</v>
      </c>
      <c r="BW37" t="s" s="0">
        <v>81</v>
      </c>
      <c r="BX37" t="s" s="0">
        <v>116</v>
      </c>
    </row>
    <row r="38">
      <c r="A38" t="s" s="0">
        <v>77</v>
      </c>
      <c r="B38" t="s" s="0">
        <v>77</v>
      </c>
      <c r="C38" t="s" s="0">
        <v>77</v>
      </c>
      <c r="D38" t="s" s="0">
        <v>77</v>
      </c>
      <c r="E38" t="s" s="0">
        <v>1128</v>
      </c>
      <c r="F38" t="s" s="0">
        <v>1129</v>
      </c>
      <c r="G38" t="s" s="0">
        <v>1130</v>
      </c>
      <c r="H38" t="s" s="0">
        <v>81</v>
      </c>
      <c r="I38" t="s" s="0">
        <v>82</v>
      </c>
      <c r="J38" t="s" s="0">
        <v>1131</v>
      </c>
      <c r="K38" t="s" s="0">
        <v>1132</v>
      </c>
      <c r="L38" t="s" s="0">
        <v>1133</v>
      </c>
      <c r="M38" t="s" s="0">
        <v>1133</v>
      </c>
      <c r="N38" t="s" s="0">
        <v>1134</v>
      </c>
      <c r="O38" t="s" s="0">
        <v>1135</v>
      </c>
      <c r="P38" t="s" s="0">
        <v>1136</v>
      </c>
      <c r="Q38" t="s" s="0">
        <v>87</v>
      </c>
      <c r="R38" t="s" s="0">
        <v>81</v>
      </c>
      <c r="S38" t="s" s="0">
        <v>81</v>
      </c>
      <c r="T38" t="s" s="0">
        <v>81</v>
      </c>
      <c r="U38" t="s" s="0">
        <v>81</v>
      </c>
      <c r="V38" t="s" s="0">
        <v>1137</v>
      </c>
      <c r="W38" t="s" s="0">
        <v>89</v>
      </c>
      <c r="X38" t="s" s="0">
        <v>81</v>
      </c>
      <c r="Y38" t="s" s="0">
        <v>81</v>
      </c>
      <c r="Z38" t="s" s="0">
        <v>90</v>
      </c>
      <c r="AA38" t="s" s="0">
        <v>91</v>
      </c>
      <c r="AB38" t="s" s="0">
        <v>81</v>
      </c>
      <c r="AC38" t="s" s="0">
        <v>81</v>
      </c>
      <c r="AD38" t="s" s="0">
        <v>81</v>
      </c>
      <c r="AE38" t="s" s="0">
        <v>81</v>
      </c>
      <c r="AF38" t="s" s="0">
        <v>81</v>
      </c>
      <c r="AG38" t="s" s="0">
        <v>1138</v>
      </c>
      <c r="AH38" t="s" s="0">
        <v>1139</v>
      </c>
      <c r="AI38" t="s" s="0">
        <v>1140</v>
      </c>
      <c r="AJ38" t="s" s="0">
        <v>1141</v>
      </c>
      <c r="AK38" t="s" s="0">
        <v>81</v>
      </c>
      <c r="AL38" t="s" s="0">
        <v>697</v>
      </c>
      <c r="AM38" t="s" s="0">
        <v>77</v>
      </c>
      <c r="AN38" t="s" s="0">
        <v>77</v>
      </c>
      <c r="AO38" t="s" s="0">
        <v>77</v>
      </c>
      <c r="AP38" t="s" s="0">
        <v>77</v>
      </c>
      <c r="AQ38" t="s" s="0">
        <v>98</v>
      </c>
      <c r="AR38" t="s" s="0">
        <v>99</v>
      </c>
      <c r="AS38" t="s" s="0">
        <v>100</v>
      </c>
      <c r="AT38" t="s" s="0">
        <v>101</v>
      </c>
      <c r="AU38" t="s" s="0">
        <v>81</v>
      </c>
      <c r="AV38" t="s" s="0">
        <v>81</v>
      </c>
      <c r="AW38" t="s" s="0">
        <v>89</v>
      </c>
      <c r="AX38" t="s" s="0">
        <v>102</v>
      </c>
      <c r="AY38" t="s" s="0">
        <v>290</v>
      </c>
      <c r="AZ38" t="s" s="0">
        <v>290</v>
      </c>
      <c r="BA38" t="s" s="0">
        <v>486</v>
      </c>
      <c r="BB38" t="s" s="0">
        <v>81</v>
      </c>
      <c r="BC38" t="s" s="0">
        <v>81</v>
      </c>
      <c r="BD38" t="s" s="0">
        <v>81</v>
      </c>
      <c r="BE38" t="s" s="0">
        <v>81</v>
      </c>
      <c r="BF38" t="s" s="0">
        <v>81</v>
      </c>
      <c r="BG38" t="s" s="0">
        <v>1142</v>
      </c>
      <c r="BH38" t="s" s="0">
        <v>1143</v>
      </c>
      <c r="BI38" t="s" s="0">
        <v>81</v>
      </c>
      <c r="BJ38" t="s" s="0">
        <v>1144</v>
      </c>
      <c r="BK38" t="s" s="73">
        <f>HYPERLINK("http://dx.doi.org/10.1109/ACCESS.2025.3636046","http://dx.doi.org/10.1109/ACCESS.2025.3636046")</f>
        <v>1145</v>
      </c>
      <c r="BL38" t="s" s="0">
        <v>81</v>
      </c>
      <c r="BM38" t="s" s="0">
        <v>81</v>
      </c>
      <c r="BN38" t="s" s="0">
        <v>222</v>
      </c>
      <c r="BO38" t="s" s="0">
        <v>110</v>
      </c>
      <c r="BP38" t="s" s="0">
        <v>111</v>
      </c>
      <c r="BQ38" t="s" s="0">
        <v>1146</v>
      </c>
      <c r="BR38" t="s" s="0">
        <v>81</v>
      </c>
      <c r="BS38" t="s" s="0">
        <v>1147</v>
      </c>
      <c r="BT38" t="s" s="74">
        <f>HYPERLINK("https://www.webofscience.com/wos/woscc/full-record/WOS:001627693200026","View Record in Web of Science")</f>
        <v>114</v>
      </c>
      <c r="BU38" t="s" s="0">
        <v>301</v>
      </c>
      <c r="BV38" t="s" s="0">
        <v>81</v>
      </c>
      <c r="BW38" t="s" s="0">
        <v>81</v>
      </c>
      <c r="BX38" t="s" s="0">
        <v>116</v>
      </c>
    </row>
    <row r="39">
      <c r="A39" t="s" s="0">
        <v>77</v>
      </c>
      <c r="B39" t="s" s="0">
        <v>77</v>
      </c>
      <c r="C39" t="s" s="0">
        <v>77</v>
      </c>
      <c r="D39" t="s" s="0">
        <v>77</v>
      </c>
      <c r="E39" t="s" s="0">
        <v>1148</v>
      </c>
      <c r="F39" t="s" s="0">
        <v>1149</v>
      </c>
      <c r="G39" t="s" s="0">
        <v>1150</v>
      </c>
      <c r="H39" t="s" s="0">
        <v>81</v>
      </c>
      <c r="I39" t="s" s="0">
        <v>528</v>
      </c>
      <c r="J39" t="s" s="0">
        <v>1151</v>
      </c>
      <c r="K39" t="s" s="0">
        <v>1152</v>
      </c>
      <c r="L39" t="s" s="0">
        <v>81</v>
      </c>
      <c r="M39" t="s" s="0">
        <v>81</v>
      </c>
      <c r="N39" t="s" s="0">
        <v>81</v>
      </c>
      <c r="O39" t="s" s="0">
        <v>1153</v>
      </c>
      <c r="P39" t="s" s="0">
        <v>1154</v>
      </c>
      <c r="Q39" t="s" s="0">
        <v>87</v>
      </c>
      <c r="R39" t="s" s="0">
        <v>81</v>
      </c>
      <c r="S39" t="s" s="0">
        <v>81</v>
      </c>
      <c r="T39" t="s" s="0">
        <v>81</v>
      </c>
      <c r="U39" t="s" s="0">
        <v>81</v>
      </c>
      <c r="V39" t="s" s="0">
        <v>1155</v>
      </c>
      <c r="W39" t="s" s="0">
        <v>838</v>
      </c>
      <c r="X39" t="s" s="0">
        <v>81</v>
      </c>
      <c r="Y39" t="s" s="0">
        <v>81</v>
      </c>
      <c r="Z39" t="s" s="0">
        <v>90</v>
      </c>
      <c r="AA39" t="s" s="0">
        <v>91</v>
      </c>
      <c r="AB39" t="s" s="0">
        <v>81</v>
      </c>
      <c r="AC39" t="s" s="0">
        <v>81</v>
      </c>
      <c r="AD39" t="s" s="0">
        <v>81</v>
      </c>
      <c r="AE39" t="s" s="0">
        <v>81</v>
      </c>
      <c r="AF39" t="s" s="0">
        <v>81</v>
      </c>
      <c r="AG39" t="s" s="0">
        <v>1156</v>
      </c>
      <c r="AH39" t="s" s="0">
        <v>340</v>
      </c>
      <c r="AI39" t="s" s="0">
        <v>81</v>
      </c>
      <c r="AJ39" t="s" s="0">
        <v>81</v>
      </c>
      <c r="AK39" t="s" s="0">
        <v>81</v>
      </c>
      <c r="AL39" t="s" s="0">
        <v>664</v>
      </c>
      <c r="AM39" t="s" s="0">
        <v>77</v>
      </c>
      <c r="AN39" t="s" s="0">
        <v>77</v>
      </c>
      <c r="AO39" t="s" s="0">
        <v>77</v>
      </c>
      <c r="AP39" t="s" s="0">
        <v>77</v>
      </c>
      <c r="AQ39" t="s" s="0">
        <v>368</v>
      </c>
      <c r="AR39" t="s" s="0">
        <v>369</v>
      </c>
      <c r="AS39" t="s" s="0">
        <v>370</v>
      </c>
      <c r="AT39" t="s" s="0">
        <v>81</v>
      </c>
      <c r="AU39" t="s" s="0">
        <v>842</v>
      </c>
      <c r="AV39" t="s" s="0">
        <v>81</v>
      </c>
      <c r="AW39" t="s" s="0">
        <v>843</v>
      </c>
      <c r="AX39" t="s" s="0">
        <v>844</v>
      </c>
      <c r="AY39" t="s" s="0">
        <v>1157</v>
      </c>
      <c r="AZ39" t="s" s="0">
        <v>103</v>
      </c>
      <c r="BA39" t="s" s="0">
        <v>104</v>
      </c>
      <c r="BB39" t="s" s="0">
        <v>81</v>
      </c>
      <c r="BC39" t="s" s="0">
        <v>81</v>
      </c>
      <c r="BD39" t="s" s="0">
        <v>81</v>
      </c>
      <c r="BE39" t="s" s="0">
        <v>81</v>
      </c>
      <c r="BF39" t="s" s="0">
        <v>81</v>
      </c>
      <c r="BG39" t="s" s="0">
        <v>81</v>
      </c>
      <c r="BH39" t="s" s="0">
        <v>81</v>
      </c>
      <c r="BI39" t="s" s="0">
        <v>1158</v>
      </c>
      <c r="BJ39" t="s" s="0">
        <v>1159</v>
      </c>
      <c r="BK39" t="s" s="75">
        <f>HYPERLINK("http://dx.doi.org/10.3389/fpubh.2026.1784189","http://dx.doi.org/10.3389/fpubh.2026.1784189")</f>
        <v>1160</v>
      </c>
      <c r="BL39" t="s" s="0">
        <v>81</v>
      </c>
      <c r="BM39" t="s" s="0">
        <v>948</v>
      </c>
      <c r="BN39" t="s" s="0">
        <v>486</v>
      </c>
      <c r="BO39" t="s" s="0">
        <v>850</v>
      </c>
      <c r="BP39" t="s" s="0">
        <v>850</v>
      </c>
      <c r="BQ39" t="s" s="0">
        <v>1161</v>
      </c>
      <c r="BR39" t="s" s="0">
        <v>1162</v>
      </c>
      <c r="BS39" t="s" s="0">
        <v>1163</v>
      </c>
      <c r="BT39" t="s" s="76">
        <f>HYPERLINK("https://www.webofscience.com/wos/woscc/full-record/WOS:001748998500001","View Record in Web of Science")</f>
        <v>114</v>
      </c>
      <c r="BU39" t="s" s="0">
        <v>301</v>
      </c>
      <c r="BV39" t="s" s="0">
        <v>81</v>
      </c>
      <c r="BW39" t="s" s="0">
        <v>81</v>
      </c>
      <c r="BX39" t="s" s="0">
        <v>116</v>
      </c>
    </row>
    <row r="40">
      <c r="A40" t="s" s="0">
        <v>77</v>
      </c>
      <c r="B40" t="s" s="0">
        <v>77</v>
      </c>
      <c r="C40" t="s" s="0">
        <v>77</v>
      </c>
      <c r="D40" t="s" s="0">
        <v>77</v>
      </c>
      <c r="E40" t="s" s="0">
        <v>1164</v>
      </c>
      <c r="F40" t="s" s="0">
        <v>1165</v>
      </c>
      <c r="G40" t="s" s="0">
        <v>1166</v>
      </c>
      <c r="H40" t="s" s="0">
        <v>81</v>
      </c>
      <c r="I40" t="s" s="0">
        <v>238</v>
      </c>
      <c r="J40" t="s" s="0">
        <v>1167</v>
      </c>
      <c r="K40" t="s" s="0">
        <v>1168</v>
      </c>
      <c r="L40" t="s" s="0">
        <v>81</v>
      </c>
      <c r="M40" t="s" s="0">
        <v>81</v>
      </c>
      <c r="N40" t="s" s="0">
        <v>81</v>
      </c>
      <c r="O40" t="s" s="0">
        <v>1169</v>
      </c>
      <c r="P40" t="s" s="0">
        <v>81</v>
      </c>
      <c r="Q40" t="s" s="0">
        <v>87</v>
      </c>
      <c r="R40" t="s" s="0">
        <v>81</v>
      </c>
      <c r="S40" t="s" s="0">
        <v>81</v>
      </c>
      <c r="T40" t="s" s="0">
        <v>81</v>
      </c>
      <c r="U40" t="s" s="0">
        <v>81</v>
      </c>
      <c r="V40" t="s" s="0">
        <v>1170</v>
      </c>
      <c r="W40" t="s" s="0">
        <v>1171</v>
      </c>
      <c r="X40" t="s" s="0">
        <v>81</v>
      </c>
      <c r="Y40" t="s" s="0">
        <v>81</v>
      </c>
      <c r="Z40" t="s" s="0">
        <v>90</v>
      </c>
      <c r="AA40" t="s" s="0">
        <v>91</v>
      </c>
      <c r="AB40" t="s" s="0">
        <v>81</v>
      </c>
      <c r="AC40" t="s" s="0">
        <v>81</v>
      </c>
      <c r="AD40" t="s" s="0">
        <v>81</v>
      </c>
      <c r="AE40" t="s" s="0">
        <v>81</v>
      </c>
      <c r="AF40" t="s" s="0">
        <v>81</v>
      </c>
      <c r="AG40" t="s" s="0">
        <v>1172</v>
      </c>
      <c r="AH40" t="s" s="0">
        <v>1173</v>
      </c>
      <c r="AI40" t="s" s="0">
        <v>1174</v>
      </c>
      <c r="AJ40" t="s" s="0">
        <v>1175</v>
      </c>
      <c r="AK40" t="s" s="0">
        <v>81</v>
      </c>
      <c r="AL40" t="s" s="0">
        <v>542</v>
      </c>
      <c r="AM40" t="s" s="0">
        <v>196</v>
      </c>
      <c r="AN40" t="s" s="0">
        <v>196</v>
      </c>
      <c r="AO40" t="s" s="0">
        <v>156</v>
      </c>
      <c r="AP40" t="s" s="0">
        <v>486</v>
      </c>
      <c r="AQ40" t="s" s="0">
        <v>1176</v>
      </c>
      <c r="AR40" t="s" s="0">
        <v>1177</v>
      </c>
      <c r="AS40" t="s" s="0">
        <v>1178</v>
      </c>
      <c r="AT40" t="s" s="0">
        <v>1179</v>
      </c>
      <c r="AU40" t="s" s="0">
        <v>1180</v>
      </c>
      <c r="AV40" t="s" s="0">
        <v>81</v>
      </c>
      <c r="AW40" t="s" s="0">
        <v>1181</v>
      </c>
      <c r="AX40" t="s" s="0">
        <v>1182</v>
      </c>
      <c r="AY40" t="s" s="0">
        <v>1183</v>
      </c>
      <c r="AZ40" t="s" s="0">
        <v>185</v>
      </c>
      <c r="BA40" t="s" s="0">
        <v>434</v>
      </c>
      <c r="BB40" t="s" s="0">
        <v>1184</v>
      </c>
      <c r="BC40" t="s" s="0">
        <v>81</v>
      </c>
      <c r="BD40" t="s" s="0">
        <v>81</v>
      </c>
      <c r="BE40" t="s" s="0">
        <v>81</v>
      </c>
      <c r="BF40" t="s" s="0">
        <v>81</v>
      </c>
      <c r="BG40" t="s" s="0">
        <v>1185</v>
      </c>
      <c r="BH40" t="s" s="0">
        <v>1186</v>
      </c>
      <c r="BI40" t="s" s="0">
        <v>81</v>
      </c>
      <c r="BJ40" t="s" s="0">
        <v>1187</v>
      </c>
      <c r="BK40" t="s" s="77">
        <f>HYPERLINK("http://dx.doi.org/10.4114/intartif.vol24iss74pp133-151","http://dx.doi.org/10.4114/intartif.vol24iss74pp133-151")</f>
        <v>1188</v>
      </c>
      <c r="BL40" t="s" s="0">
        <v>81</v>
      </c>
      <c r="BM40" t="s" s="0">
        <v>81</v>
      </c>
      <c r="BN40" t="s" s="0">
        <v>485</v>
      </c>
      <c r="BO40" t="s" s="0">
        <v>409</v>
      </c>
      <c r="BP40" t="s" s="0">
        <v>152</v>
      </c>
      <c r="BQ40" t="s" s="0">
        <v>1189</v>
      </c>
      <c r="BR40" t="s" s="0">
        <v>81</v>
      </c>
      <c r="BS40" t="s" s="0">
        <v>1190</v>
      </c>
      <c r="BT40" t="s" s="78">
        <f>HYPERLINK("https://www.webofscience.com/wos/woscc/full-record/WOS:001247542400002","View Record in Web of Science")</f>
        <v>114</v>
      </c>
      <c r="BU40" t="s" s="0">
        <v>81</v>
      </c>
      <c r="BV40" t="s" s="0">
        <v>81</v>
      </c>
      <c r="BW40" t="s" s="0">
        <v>81</v>
      </c>
      <c r="BX40" t="s" s="0">
        <v>116</v>
      </c>
    </row>
    <row r="41">
      <c r="A41" t="s" s="0">
        <v>77</v>
      </c>
      <c r="B41" t="s" s="0">
        <v>77</v>
      </c>
      <c r="C41" t="s" s="0">
        <v>77</v>
      </c>
      <c r="D41" t="s" s="0">
        <v>77</v>
      </c>
      <c r="E41" t="s" s="0">
        <v>1191</v>
      </c>
      <c r="F41" t="s" s="0">
        <v>1192</v>
      </c>
      <c r="G41" t="s" s="0">
        <v>1193</v>
      </c>
      <c r="H41" t="s" s="0">
        <v>81</v>
      </c>
      <c r="I41" t="s" s="0">
        <v>238</v>
      </c>
      <c r="J41" t="s" s="0">
        <v>1194</v>
      </c>
      <c r="K41" t="s" s="0">
        <v>1195</v>
      </c>
      <c r="L41" t="s" s="0">
        <v>1196</v>
      </c>
      <c r="M41" t="s" s="0">
        <v>1197</v>
      </c>
      <c r="N41" t="s" s="0">
        <v>1198</v>
      </c>
      <c r="O41" t="s" s="0">
        <v>1199</v>
      </c>
      <c r="P41" t="s" s="0">
        <v>1200</v>
      </c>
      <c r="Q41" t="s" s="0">
        <v>87</v>
      </c>
      <c r="R41" t="s" s="0">
        <v>81</v>
      </c>
      <c r="S41" t="s" s="0">
        <v>81</v>
      </c>
      <c r="T41" t="s" s="0">
        <v>81</v>
      </c>
      <c r="U41" t="s" s="0">
        <v>81</v>
      </c>
      <c r="V41" t="s" s="0">
        <v>1201</v>
      </c>
      <c r="W41" t="s" s="0">
        <v>1202</v>
      </c>
      <c r="X41" t="s" s="0">
        <v>81</v>
      </c>
      <c r="Y41" t="s" s="0">
        <v>81</v>
      </c>
      <c r="Z41" t="s" s="0">
        <v>90</v>
      </c>
      <c r="AA41" t="s" s="0">
        <v>91</v>
      </c>
      <c r="AB41" t="s" s="0">
        <v>81</v>
      </c>
      <c r="AC41" t="s" s="0">
        <v>81</v>
      </c>
      <c r="AD41" t="s" s="0">
        <v>81</v>
      </c>
      <c r="AE41" t="s" s="0">
        <v>81</v>
      </c>
      <c r="AF41" t="s" s="0">
        <v>81</v>
      </c>
      <c r="AG41" t="s" s="0">
        <v>1203</v>
      </c>
      <c r="AH41" t="s" s="0">
        <v>1204</v>
      </c>
      <c r="AI41" t="s" s="0">
        <v>1205</v>
      </c>
      <c r="AJ41" t="s" s="0">
        <v>1206</v>
      </c>
      <c r="AK41" t="s" s="0">
        <v>81</v>
      </c>
      <c r="AL41" t="s" s="0">
        <v>1207</v>
      </c>
      <c r="AM41" t="s" s="0">
        <v>97</v>
      </c>
      <c r="AN41" t="s" s="0">
        <v>97</v>
      </c>
      <c r="AO41" t="s" s="0">
        <v>77</v>
      </c>
      <c r="AP41" t="s" s="0">
        <v>97</v>
      </c>
      <c r="AQ41" t="s" s="0">
        <v>284</v>
      </c>
      <c r="AR41" t="s" s="0">
        <v>285</v>
      </c>
      <c r="AS41" t="s" s="0">
        <v>286</v>
      </c>
      <c r="AT41" t="s" s="0">
        <v>81</v>
      </c>
      <c r="AU41" t="s" s="0">
        <v>1208</v>
      </c>
      <c r="AV41" t="s" s="0">
        <v>81</v>
      </c>
      <c r="AW41" t="s" s="0">
        <v>1202</v>
      </c>
      <c r="AX41" t="s" s="0">
        <v>1209</v>
      </c>
      <c r="AY41" t="s" s="0">
        <v>1210</v>
      </c>
      <c r="AZ41" t="s" s="0">
        <v>290</v>
      </c>
      <c r="BA41" t="s" s="0">
        <v>367</v>
      </c>
      <c r="BB41" t="s" s="0">
        <v>191</v>
      </c>
      <c r="BC41" t="s" s="0">
        <v>81</v>
      </c>
      <c r="BD41" t="s" s="0">
        <v>81</v>
      </c>
      <c r="BE41" t="s" s="0">
        <v>81</v>
      </c>
      <c r="BF41" t="s" s="0">
        <v>81</v>
      </c>
      <c r="BG41" t="s" s="0">
        <v>81</v>
      </c>
      <c r="BH41" t="s" s="0">
        <v>81</v>
      </c>
      <c r="BI41" t="s" s="0">
        <v>1211</v>
      </c>
      <c r="BJ41" t="s" s="0">
        <v>1212</v>
      </c>
      <c r="BK41" t="s" s="79">
        <f>HYPERLINK("http://dx.doi.org/10.3390/a18110708","http://dx.doi.org/10.3390/a18110708")</f>
        <v>1213</v>
      </c>
      <c r="BL41" t="s" s="0">
        <v>81</v>
      </c>
      <c r="BM41" t="s" s="0">
        <v>81</v>
      </c>
      <c r="BN41" t="s" s="0">
        <v>671</v>
      </c>
      <c r="BO41" t="s" s="0">
        <v>151</v>
      </c>
      <c r="BP41" t="s" s="0">
        <v>152</v>
      </c>
      <c r="BQ41" t="s" s="0">
        <v>1214</v>
      </c>
      <c r="BR41" t="s" s="0">
        <v>81</v>
      </c>
      <c r="BS41" t="s" s="0">
        <v>1215</v>
      </c>
      <c r="BT41" t="s" s="80">
        <f>HYPERLINK("https://www.webofscience.com/wos/woscc/full-record/WOS:001623363600001","View Record in Web of Science")</f>
        <v>114</v>
      </c>
      <c r="BU41" t="s" s="0">
        <v>301</v>
      </c>
      <c r="BV41" t="s" s="0">
        <v>81</v>
      </c>
      <c r="BW41" t="s" s="0">
        <v>81</v>
      </c>
      <c r="BX41" t="s" s="0">
        <v>116</v>
      </c>
    </row>
    <row r="42">
      <c r="A42" t="s" s="0">
        <v>77</v>
      </c>
      <c r="B42" t="s" s="0">
        <v>77</v>
      </c>
      <c r="C42" t="s" s="0">
        <v>77</v>
      </c>
      <c r="D42" t="s" s="0">
        <v>77</v>
      </c>
      <c r="E42" t="s" s="0">
        <v>1216</v>
      </c>
      <c r="F42" t="s" s="0">
        <v>1217</v>
      </c>
      <c r="G42" t="s" s="0">
        <v>1218</v>
      </c>
      <c r="H42" t="s" s="0">
        <v>81</v>
      </c>
      <c r="I42" t="s" s="0">
        <v>82</v>
      </c>
      <c r="J42" t="s" s="0">
        <v>81</v>
      </c>
      <c r="K42" t="s" s="0">
        <v>1219</v>
      </c>
      <c r="L42" t="s" s="0">
        <v>1220</v>
      </c>
      <c r="M42" t="s" s="0">
        <v>1221</v>
      </c>
      <c r="N42" t="s" s="0">
        <v>1222</v>
      </c>
      <c r="O42" t="s" s="0">
        <v>1223</v>
      </c>
      <c r="P42" t="s" s="0">
        <v>1224</v>
      </c>
      <c r="Q42" t="s" s="0">
        <v>87</v>
      </c>
      <c r="R42" t="s" s="0">
        <v>81</v>
      </c>
      <c r="S42" t="s" s="0">
        <v>81</v>
      </c>
      <c r="T42" t="s" s="0">
        <v>81</v>
      </c>
      <c r="U42" t="s" s="0">
        <v>81</v>
      </c>
      <c r="V42" t="s" s="0">
        <v>1225</v>
      </c>
      <c r="W42" t="s" s="0">
        <v>1226</v>
      </c>
      <c r="X42" t="s" s="0">
        <v>81</v>
      </c>
      <c r="Y42" t="s" s="0">
        <v>81</v>
      </c>
      <c r="Z42" t="s" s="0">
        <v>90</v>
      </c>
      <c r="AA42" t="s" s="0">
        <v>91</v>
      </c>
      <c r="AB42" t="s" s="0">
        <v>81</v>
      </c>
      <c r="AC42" t="s" s="0">
        <v>81</v>
      </c>
      <c r="AD42" t="s" s="0">
        <v>81</v>
      </c>
      <c r="AE42" t="s" s="0">
        <v>81</v>
      </c>
      <c r="AF42" t="s" s="0">
        <v>81</v>
      </c>
      <c r="AG42" t="s" s="0">
        <v>1227</v>
      </c>
      <c r="AH42" t="s" s="0">
        <v>81</v>
      </c>
      <c r="AI42" t="s" s="0">
        <v>1228</v>
      </c>
      <c r="AJ42" t="s" s="0">
        <v>1229</v>
      </c>
      <c r="AK42" t="s" s="0">
        <v>81</v>
      </c>
      <c r="AL42" t="s" s="0">
        <v>252</v>
      </c>
      <c r="AM42" t="s" s="0">
        <v>133</v>
      </c>
      <c r="AN42" t="s" s="0">
        <v>316</v>
      </c>
      <c r="AO42" t="s" s="0">
        <v>316</v>
      </c>
      <c r="AP42" t="s" s="0">
        <v>261</v>
      </c>
      <c r="AQ42" t="s" s="0">
        <v>284</v>
      </c>
      <c r="AR42" t="s" s="0">
        <v>285</v>
      </c>
      <c r="AS42" t="s" s="0">
        <v>286</v>
      </c>
      <c r="AT42" t="s" s="0">
        <v>81</v>
      </c>
      <c r="AU42" t="s" s="0">
        <v>1230</v>
      </c>
      <c r="AV42" t="s" s="0">
        <v>81</v>
      </c>
      <c r="AW42" t="s" s="0">
        <v>1226</v>
      </c>
      <c r="AX42" t="s" s="0">
        <v>1231</v>
      </c>
      <c r="AY42" t="s" s="0">
        <v>1232</v>
      </c>
      <c r="AZ42" t="s" s="0">
        <v>290</v>
      </c>
      <c r="BA42" t="s" s="0">
        <v>134</v>
      </c>
      <c r="BB42" t="s" s="0">
        <v>191</v>
      </c>
      <c r="BC42" t="s" s="0">
        <v>81</v>
      </c>
      <c r="BD42" t="s" s="0">
        <v>81</v>
      </c>
      <c r="BE42" t="s" s="0">
        <v>81</v>
      </c>
      <c r="BF42" t="s" s="0">
        <v>81</v>
      </c>
      <c r="BG42" t="s" s="0">
        <v>81</v>
      </c>
      <c r="BH42" t="s" s="0">
        <v>81</v>
      </c>
      <c r="BI42" t="s" s="0">
        <v>1233</v>
      </c>
      <c r="BJ42" t="s" s="0">
        <v>1234</v>
      </c>
      <c r="BK42" t="s" s="81">
        <f>HYPERLINK("http://dx.doi.org/10.3390/bioengineering12111174","http://dx.doi.org/10.3390/bioengineering12111174")</f>
        <v>1235</v>
      </c>
      <c r="BL42" t="s" s="0">
        <v>81</v>
      </c>
      <c r="BM42" t="s" s="0">
        <v>81</v>
      </c>
      <c r="BN42" t="s" s="0">
        <v>434</v>
      </c>
      <c r="BO42" t="s" s="0">
        <v>1236</v>
      </c>
      <c r="BP42" t="s" s="0">
        <v>1237</v>
      </c>
      <c r="BQ42" t="s" s="0">
        <v>1238</v>
      </c>
      <c r="BR42" t="s" s="0">
        <v>1239</v>
      </c>
      <c r="BS42" t="s" s="0">
        <v>1240</v>
      </c>
      <c r="BT42" t="s" s="82">
        <f>HYPERLINK("https://www.webofscience.com/wos/woscc/full-record/WOS:001625737400001","View Record in Web of Science")</f>
        <v>114</v>
      </c>
      <c r="BU42" t="s" s="0">
        <v>301</v>
      </c>
      <c r="BV42" t="s" s="0">
        <v>81</v>
      </c>
      <c r="BW42" t="s" s="0">
        <v>81</v>
      </c>
      <c r="BX42" t="s" s="0">
        <v>116</v>
      </c>
    </row>
    <row r="43">
      <c r="A43" t="s" s="0">
        <v>77</v>
      </c>
      <c r="B43" t="s" s="0">
        <v>77</v>
      </c>
      <c r="C43" t="s" s="0">
        <v>77</v>
      </c>
      <c r="D43" t="s" s="0">
        <v>77</v>
      </c>
      <c r="E43" t="s" s="0">
        <v>1241</v>
      </c>
      <c r="F43" t="s" s="0">
        <v>1242</v>
      </c>
      <c r="G43" t="s" s="0">
        <v>1243</v>
      </c>
      <c r="H43" t="s" s="0">
        <v>81</v>
      </c>
      <c r="I43" t="s" s="0">
        <v>82</v>
      </c>
      <c r="J43" t="s" s="0">
        <v>1244</v>
      </c>
      <c r="K43" t="s" s="0">
        <v>1245</v>
      </c>
      <c r="L43" t="s" s="0">
        <v>1246</v>
      </c>
      <c r="M43" t="s" s="0">
        <v>1247</v>
      </c>
      <c r="N43" t="s" s="0">
        <v>1248</v>
      </c>
      <c r="O43" t="s" s="0">
        <v>1249</v>
      </c>
      <c r="P43" t="s" s="0">
        <v>1250</v>
      </c>
      <c r="Q43" t="s" s="0">
        <v>87</v>
      </c>
      <c r="R43" t="s" s="0">
        <v>81</v>
      </c>
      <c r="S43" t="s" s="0">
        <v>81</v>
      </c>
      <c r="T43" t="s" s="0">
        <v>81</v>
      </c>
      <c r="U43" t="s" s="0">
        <v>81</v>
      </c>
      <c r="V43" t="s" s="0">
        <v>1251</v>
      </c>
      <c r="W43" t="s" s="0">
        <v>862</v>
      </c>
      <c r="X43" t="s" s="0">
        <v>81</v>
      </c>
      <c r="Y43" t="s" s="0">
        <v>81</v>
      </c>
      <c r="Z43" t="s" s="0">
        <v>90</v>
      </c>
      <c r="AA43" t="s" s="0">
        <v>91</v>
      </c>
      <c r="AB43" t="s" s="0">
        <v>81</v>
      </c>
      <c r="AC43" t="s" s="0">
        <v>81</v>
      </c>
      <c r="AD43" t="s" s="0">
        <v>81</v>
      </c>
      <c r="AE43" t="s" s="0">
        <v>81</v>
      </c>
      <c r="AF43" t="s" s="0">
        <v>81</v>
      </c>
      <c r="AG43" t="s" s="0">
        <v>1252</v>
      </c>
      <c r="AH43" t="s" s="0">
        <v>81</v>
      </c>
      <c r="AI43" t="s" s="0">
        <v>1253</v>
      </c>
      <c r="AJ43" t="s" s="0">
        <v>81</v>
      </c>
      <c r="AK43" t="s" s="0">
        <v>81</v>
      </c>
      <c r="AL43" t="s" s="0">
        <v>1254</v>
      </c>
      <c r="AM43" t="s" s="0">
        <v>77</v>
      </c>
      <c r="AN43" t="s" s="0">
        <v>77</v>
      </c>
      <c r="AO43" t="s" s="0">
        <v>77</v>
      </c>
      <c r="AP43" t="s" s="0">
        <v>77</v>
      </c>
      <c r="AQ43" t="s" s="0">
        <v>865</v>
      </c>
      <c r="AR43" t="s" s="0">
        <v>546</v>
      </c>
      <c r="AS43" t="s" s="0">
        <v>866</v>
      </c>
      <c r="AT43" t="s" s="0">
        <v>81</v>
      </c>
      <c r="AU43" t="s" s="0">
        <v>867</v>
      </c>
      <c r="AV43" t="s" s="0">
        <v>81</v>
      </c>
      <c r="AW43" t="s" s="0">
        <v>868</v>
      </c>
      <c r="AX43" t="s" s="0">
        <v>869</v>
      </c>
      <c r="AY43" t="s" s="0">
        <v>1255</v>
      </c>
      <c r="AZ43" t="s" s="0">
        <v>103</v>
      </c>
      <c r="BA43" t="s" s="0">
        <v>134</v>
      </c>
      <c r="BB43" t="s" s="0">
        <v>81</v>
      </c>
      <c r="BC43" t="s" s="0">
        <v>81</v>
      </c>
      <c r="BD43" t="s" s="0">
        <v>81</v>
      </c>
      <c r="BE43" t="s" s="0">
        <v>81</v>
      </c>
      <c r="BF43" t="s" s="0">
        <v>81</v>
      </c>
      <c r="BG43" t="s" s="0">
        <v>81</v>
      </c>
      <c r="BH43" t="s" s="0">
        <v>81</v>
      </c>
      <c r="BI43" t="s" s="0">
        <v>1256</v>
      </c>
      <c r="BJ43" t="s" s="0">
        <v>1257</v>
      </c>
      <c r="BK43" t="s" s="83">
        <f>HYPERLINK("http://dx.doi.org/10.7717/peerj-cs.3479","http://dx.doi.org/10.7717/peerj-cs.3479")</f>
        <v>1258</v>
      </c>
      <c r="BL43" t="s" s="0">
        <v>81</v>
      </c>
      <c r="BM43" t="s" s="0">
        <v>81</v>
      </c>
      <c r="BN43" t="s" s="0">
        <v>756</v>
      </c>
      <c r="BO43" t="s" s="0">
        <v>875</v>
      </c>
      <c r="BP43" t="s" s="0">
        <v>152</v>
      </c>
      <c r="BQ43" t="s" s="0">
        <v>1259</v>
      </c>
      <c r="BR43" t="s" s="0">
        <v>81</v>
      </c>
      <c r="BS43" t="s" s="0">
        <v>1260</v>
      </c>
      <c r="BT43" t="s" s="84">
        <f>HYPERLINK("https://www.webofscience.com/wos/woscc/full-record/WOS:001708098300001","View Record in Web of Science")</f>
        <v>114</v>
      </c>
      <c r="BU43" t="s" s="0">
        <v>301</v>
      </c>
      <c r="BV43" t="s" s="0">
        <v>81</v>
      </c>
      <c r="BW43" t="s" s="0">
        <v>81</v>
      </c>
      <c r="BX43" t="s" s="0">
        <v>116</v>
      </c>
    </row>
    <row r="44">
      <c r="A44" t="s" s="0">
        <v>77</v>
      </c>
      <c r="B44" t="s" s="0">
        <v>77</v>
      </c>
      <c r="C44" t="s" s="0">
        <v>77</v>
      </c>
      <c r="D44" t="s" s="0">
        <v>77</v>
      </c>
      <c r="E44" t="s" s="0">
        <v>1261</v>
      </c>
      <c r="F44" t="s" s="0">
        <v>1262</v>
      </c>
      <c r="G44" t="s" s="0">
        <v>1263</v>
      </c>
      <c r="H44" t="s" s="0">
        <v>81</v>
      </c>
      <c r="I44" t="s" s="0">
        <v>238</v>
      </c>
      <c r="J44" t="s" s="0">
        <v>1264</v>
      </c>
      <c r="K44" t="s" s="0">
        <v>1265</v>
      </c>
      <c r="L44" t="s" s="0">
        <v>81</v>
      </c>
      <c r="M44" t="s" s="0">
        <v>81</v>
      </c>
      <c r="N44" t="s" s="0">
        <v>81</v>
      </c>
      <c r="O44" t="s" s="0">
        <v>1266</v>
      </c>
      <c r="P44" t="s" s="0">
        <v>1267</v>
      </c>
      <c r="Q44" t="s" s="0">
        <v>87</v>
      </c>
      <c r="R44" t="s" s="0">
        <v>81</v>
      </c>
      <c r="S44" t="s" s="0">
        <v>81</v>
      </c>
      <c r="T44" t="s" s="0">
        <v>81</v>
      </c>
      <c r="U44" t="s" s="0">
        <v>81</v>
      </c>
      <c r="V44" t="s" s="0">
        <v>1268</v>
      </c>
      <c r="W44" t="s" s="0">
        <v>1269</v>
      </c>
      <c r="X44" t="s" s="0">
        <v>81</v>
      </c>
      <c r="Y44" t="s" s="0">
        <v>81</v>
      </c>
      <c r="Z44" t="s" s="0">
        <v>90</v>
      </c>
      <c r="AA44" t="s" s="0">
        <v>91</v>
      </c>
      <c r="AB44" t="s" s="0">
        <v>81</v>
      </c>
      <c r="AC44" t="s" s="0">
        <v>81</v>
      </c>
      <c r="AD44" t="s" s="0">
        <v>81</v>
      </c>
      <c r="AE44" t="s" s="0">
        <v>81</v>
      </c>
      <c r="AF44" t="s" s="0">
        <v>81</v>
      </c>
      <c r="AG44" t="s" s="0">
        <v>1270</v>
      </c>
      <c r="AH44" t="s" s="0">
        <v>81</v>
      </c>
      <c r="AI44" t="s" s="0">
        <v>1271</v>
      </c>
      <c r="AJ44" t="s" s="0">
        <v>81</v>
      </c>
      <c r="AK44" t="s" s="0">
        <v>81</v>
      </c>
      <c r="AL44" t="s" s="0">
        <v>228</v>
      </c>
      <c r="AM44" t="s" s="0">
        <v>77</v>
      </c>
      <c r="AN44" t="s" s="0">
        <v>77</v>
      </c>
      <c r="AO44" t="s" s="0">
        <v>97</v>
      </c>
      <c r="AP44" t="s" s="0">
        <v>97</v>
      </c>
      <c r="AQ44" t="s" s="0">
        <v>1272</v>
      </c>
      <c r="AR44" t="s" s="0">
        <v>1273</v>
      </c>
      <c r="AS44" t="s" s="0">
        <v>1274</v>
      </c>
      <c r="AT44" t="s" s="0">
        <v>1275</v>
      </c>
      <c r="AU44" t="s" s="0">
        <v>81</v>
      </c>
      <c r="AV44" t="s" s="0">
        <v>81</v>
      </c>
      <c r="AW44" t="s" s="0">
        <v>1276</v>
      </c>
      <c r="AX44" t="s" s="0">
        <v>1277</v>
      </c>
      <c r="AY44" t="s" s="0">
        <v>1278</v>
      </c>
      <c r="AZ44" t="s" s="0">
        <v>103</v>
      </c>
      <c r="BA44" t="s" s="0">
        <v>222</v>
      </c>
      <c r="BB44" t="s" s="0">
        <v>156</v>
      </c>
      <c r="BC44" t="s" s="0">
        <v>81</v>
      </c>
      <c r="BD44" t="s" s="0">
        <v>81</v>
      </c>
      <c r="BE44" t="s" s="0">
        <v>81</v>
      </c>
      <c r="BF44" t="s" s="0">
        <v>81</v>
      </c>
      <c r="BG44" t="s" s="0">
        <v>81</v>
      </c>
      <c r="BH44" t="s" s="0">
        <v>81</v>
      </c>
      <c r="BI44" t="s" s="0">
        <v>1279</v>
      </c>
      <c r="BJ44" t="s" s="0">
        <v>1280</v>
      </c>
      <c r="BK44" t="s" s="85">
        <f>HYPERLINK("http://dx.doi.org/10.5585/2026.31451","http://dx.doi.org/10.5585/2026.31451")</f>
        <v>1281</v>
      </c>
      <c r="BL44" t="s" s="0">
        <v>81</v>
      </c>
      <c r="BM44" t="s" s="0">
        <v>81</v>
      </c>
      <c r="BN44" t="s" s="0">
        <v>696</v>
      </c>
      <c r="BO44" t="s" s="0">
        <v>469</v>
      </c>
      <c r="BP44" t="s" s="0">
        <v>326</v>
      </c>
      <c r="BQ44" t="s" s="0">
        <v>1282</v>
      </c>
      <c r="BR44" t="s" s="0">
        <v>81</v>
      </c>
      <c r="BS44" t="s" s="0">
        <v>1283</v>
      </c>
      <c r="BT44" t="s" s="86">
        <f>HYPERLINK("https://www.webofscience.com/wos/woscc/full-record/WOS:001810270500001","View Record in Web of Science")</f>
        <v>114</v>
      </c>
      <c r="BU44" t="s" s="0">
        <v>115</v>
      </c>
      <c r="BV44" t="s" s="0">
        <v>81</v>
      </c>
      <c r="BW44" t="s" s="0">
        <v>81</v>
      </c>
      <c r="BX44" t="s" s="0">
        <v>116</v>
      </c>
    </row>
    <row r="45">
      <c r="A45" t="s" s="0">
        <v>77</v>
      </c>
      <c r="B45" t="s" s="0">
        <v>77</v>
      </c>
      <c r="C45" t="s" s="0">
        <v>77</v>
      </c>
      <c r="D45" t="s" s="0">
        <v>77</v>
      </c>
      <c r="E45" t="s" s="0">
        <v>1284</v>
      </c>
      <c r="F45" t="s" s="0">
        <v>1285</v>
      </c>
      <c r="G45" t="s" s="0">
        <v>1286</v>
      </c>
      <c r="H45" t="s" s="0">
        <v>81</v>
      </c>
      <c r="I45" t="s" s="0">
        <v>82</v>
      </c>
      <c r="J45" t="s" s="0">
        <v>1287</v>
      </c>
      <c r="K45" t="s" s="0">
        <v>1288</v>
      </c>
      <c r="L45" t="s" s="0">
        <v>81</v>
      </c>
      <c r="M45" t="s" s="0">
        <v>81</v>
      </c>
      <c r="N45" t="s" s="0">
        <v>81</v>
      </c>
      <c r="O45" t="s" s="0">
        <v>1289</v>
      </c>
      <c r="P45" t="s" s="0">
        <v>1290</v>
      </c>
      <c r="Q45" t="s" s="0">
        <v>87</v>
      </c>
      <c r="R45" t="s" s="0">
        <v>81</v>
      </c>
      <c r="S45" t="s" s="0">
        <v>81</v>
      </c>
      <c r="T45" t="s" s="0">
        <v>81</v>
      </c>
      <c r="U45" t="s" s="0">
        <v>81</v>
      </c>
      <c r="V45" t="s" s="0">
        <v>1291</v>
      </c>
      <c r="W45" t="s" s="0">
        <v>89</v>
      </c>
      <c r="X45" t="s" s="0">
        <v>81</v>
      </c>
      <c r="Y45" t="s" s="0">
        <v>81</v>
      </c>
      <c r="Z45" t="s" s="0">
        <v>90</v>
      </c>
      <c r="AA45" t="s" s="0">
        <v>91</v>
      </c>
      <c r="AB45" t="s" s="0">
        <v>81</v>
      </c>
      <c r="AC45" t="s" s="0">
        <v>81</v>
      </c>
      <c r="AD45" t="s" s="0">
        <v>81</v>
      </c>
      <c r="AE45" t="s" s="0">
        <v>81</v>
      </c>
      <c r="AF45" t="s" s="0">
        <v>81</v>
      </c>
      <c r="AG45" t="s" s="0">
        <v>1292</v>
      </c>
      <c r="AH45" t="s" s="0">
        <v>1293</v>
      </c>
      <c r="AI45" t="s" s="0">
        <v>1294</v>
      </c>
      <c r="AJ45" t="s" s="0">
        <v>1295</v>
      </c>
      <c r="AK45" t="s" s="0">
        <v>81</v>
      </c>
      <c r="AL45" t="s" s="0">
        <v>228</v>
      </c>
      <c r="AM45" t="s" s="0">
        <v>77</v>
      </c>
      <c r="AN45" t="s" s="0">
        <v>77</v>
      </c>
      <c r="AO45" t="s" s="0">
        <v>156</v>
      </c>
      <c r="AP45" t="s" s="0">
        <v>133</v>
      </c>
      <c r="AQ45" t="s" s="0">
        <v>98</v>
      </c>
      <c r="AR45" t="s" s="0">
        <v>99</v>
      </c>
      <c r="AS45" t="s" s="0">
        <v>100</v>
      </c>
      <c r="AT45" t="s" s="0">
        <v>101</v>
      </c>
      <c r="AU45" t="s" s="0">
        <v>81</v>
      </c>
      <c r="AV45" t="s" s="0">
        <v>81</v>
      </c>
      <c r="AW45" t="s" s="0">
        <v>89</v>
      </c>
      <c r="AX45" t="s" s="0">
        <v>102</v>
      </c>
      <c r="AY45" t="s" s="0">
        <v>290</v>
      </c>
      <c r="AZ45" t="s" s="0">
        <v>290</v>
      </c>
      <c r="BA45" t="s" s="0">
        <v>486</v>
      </c>
      <c r="BB45" t="s" s="0">
        <v>81</v>
      </c>
      <c r="BC45" t="s" s="0">
        <v>81</v>
      </c>
      <c r="BD45" t="s" s="0">
        <v>81</v>
      </c>
      <c r="BE45" t="s" s="0">
        <v>81</v>
      </c>
      <c r="BF45" t="s" s="0">
        <v>81</v>
      </c>
      <c r="BG45" t="s" s="0">
        <v>1296</v>
      </c>
      <c r="BH45" t="s" s="0">
        <v>1297</v>
      </c>
      <c r="BI45" t="s" s="0">
        <v>81</v>
      </c>
      <c r="BJ45" t="s" s="0">
        <v>1298</v>
      </c>
      <c r="BK45" t="s" s="87">
        <f>HYPERLINK("http://dx.doi.org/10.1109/ACCESS.2025.3588190","http://dx.doi.org/10.1109/ACCESS.2025.3588190")</f>
        <v>1299</v>
      </c>
      <c r="BL45" t="s" s="0">
        <v>81</v>
      </c>
      <c r="BM45" t="s" s="0">
        <v>81</v>
      </c>
      <c r="BN45" t="s" s="0">
        <v>486</v>
      </c>
      <c r="BO45" t="s" s="0">
        <v>110</v>
      </c>
      <c r="BP45" t="s" s="0">
        <v>111</v>
      </c>
      <c r="BQ45" t="s" s="0">
        <v>1300</v>
      </c>
      <c r="BR45" t="s" s="0">
        <v>81</v>
      </c>
      <c r="BS45" t="s" s="0">
        <v>1301</v>
      </c>
      <c r="BT45" t="s" s="88">
        <f>HYPERLINK("https://www.webofscience.com/wos/woscc/full-record/WOS:001552001300026","View Record in Web of Science")</f>
        <v>114</v>
      </c>
      <c r="BU45" t="s" s="0">
        <v>301</v>
      </c>
      <c r="BV45" t="s" s="0">
        <v>81</v>
      </c>
      <c r="BW45" t="s" s="0">
        <v>81</v>
      </c>
      <c r="BX45" t="s" s="0">
        <v>116</v>
      </c>
    </row>
    <row r="46">
      <c r="A46" t="s" s="0">
        <v>77</v>
      </c>
      <c r="B46" t="s" s="0">
        <v>77</v>
      </c>
      <c r="C46" t="s" s="0">
        <v>77</v>
      </c>
      <c r="D46" t="s" s="0">
        <v>77</v>
      </c>
      <c r="E46" t="s" s="0">
        <v>1302</v>
      </c>
      <c r="F46" t="s" s="0">
        <v>1303</v>
      </c>
      <c r="G46" t="s" s="0">
        <v>1304</v>
      </c>
      <c r="H46" t="s" s="0">
        <v>81</v>
      </c>
      <c r="I46" t="s" s="0">
        <v>82</v>
      </c>
      <c r="J46" t="s" s="0">
        <v>1305</v>
      </c>
      <c r="K46" t="s" s="0">
        <v>1306</v>
      </c>
      <c r="L46" t="s" s="0">
        <v>1307</v>
      </c>
      <c r="M46" t="s" s="0">
        <v>1308</v>
      </c>
      <c r="N46" t="s" s="0">
        <v>1309</v>
      </c>
      <c r="O46" t="s" s="0">
        <v>1310</v>
      </c>
      <c r="P46" t="s" s="0">
        <v>1311</v>
      </c>
      <c r="Q46" t="s" s="0">
        <v>87</v>
      </c>
      <c r="R46" t="s" s="0">
        <v>81</v>
      </c>
      <c r="S46" t="s" s="0">
        <v>81</v>
      </c>
      <c r="T46" t="s" s="0">
        <v>81</v>
      </c>
      <c r="U46" t="s" s="0">
        <v>81</v>
      </c>
      <c r="V46" t="s" s="0">
        <v>1312</v>
      </c>
      <c r="W46" t="s" s="0">
        <v>1313</v>
      </c>
      <c r="X46" t="s" s="0">
        <v>81</v>
      </c>
      <c r="Y46" t="s" s="0">
        <v>81</v>
      </c>
      <c r="Z46" t="s" s="0">
        <v>90</v>
      </c>
      <c r="AA46" t="s" s="0">
        <v>91</v>
      </c>
      <c r="AB46" t="s" s="0">
        <v>81</v>
      </c>
      <c r="AC46" t="s" s="0">
        <v>81</v>
      </c>
      <c r="AD46" t="s" s="0">
        <v>81</v>
      </c>
      <c r="AE46" t="s" s="0">
        <v>81</v>
      </c>
      <c r="AF46" t="s" s="0">
        <v>81</v>
      </c>
      <c r="AG46" t="s" s="0">
        <v>81</v>
      </c>
      <c r="AH46" t="s" s="0">
        <v>1314</v>
      </c>
      <c r="AI46" t="s" s="0">
        <v>1315</v>
      </c>
      <c r="AJ46" t="s" s="0">
        <v>1316</v>
      </c>
      <c r="AK46" t="s" s="0">
        <v>81</v>
      </c>
      <c r="AL46" t="s" s="0">
        <v>324</v>
      </c>
      <c r="AM46" t="s" s="0">
        <v>77</v>
      </c>
      <c r="AN46" t="s" s="0">
        <v>77</v>
      </c>
      <c r="AO46" t="s" s="0">
        <v>156</v>
      </c>
      <c r="AP46" t="s" s="0">
        <v>156</v>
      </c>
      <c r="AQ46" t="s" s="0">
        <v>1317</v>
      </c>
      <c r="AR46" t="s" s="0">
        <v>1318</v>
      </c>
      <c r="AS46" t="s" s="0">
        <v>1319</v>
      </c>
      <c r="AT46" t="s" s="0">
        <v>81</v>
      </c>
      <c r="AU46" t="s" s="0">
        <v>1320</v>
      </c>
      <c r="AV46" t="s" s="0">
        <v>81</v>
      </c>
      <c r="AW46" t="s" s="0">
        <v>1313</v>
      </c>
      <c r="AX46" t="s" s="0">
        <v>1321</v>
      </c>
      <c r="AY46" t="s" s="0">
        <v>1322</v>
      </c>
      <c r="AZ46" t="s" s="0">
        <v>103</v>
      </c>
      <c r="BA46" t="s" s="0">
        <v>874</v>
      </c>
      <c r="BB46" t="s" s="0">
        <v>156</v>
      </c>
      <c r="BC46" t="s" s="0">
        <v>81</v>
      </c>
      <c r="BD46" t="s" s="0">
        <v>81</v>
      </c>
      <c r="BE46" t="s" s="0">
        <v>81</v>
      </c>
      <c r="BF46" t="s" s="0">
        <v>81</v>
      </c>
      <c r="BG46" t="s" s="0">
        <v>81</v>
      </c>
      <c r="BH46" t="s" s="0">
        <v>81</v>
      </c>
      <c r="BI46" t="s" s="0">
        <v>1323</v>
      </c>
      <c r="BJ46" t="s" s="0">
        <v>1324</v>
      </c>
      <c r="BK46" t="s" s="89">
        <f>HYPERLINK("http://dx.doi.org/10.1371/journal.pone.0341067","http://dx.doi.org/10.1371/journal.pone.0341067")</f>
        <v>1325</v>
      </c>
      <c r="BL46" t="s" s="0">
        <v>81</v>
      </c>
      <c r="BM46" t="s" s="0">
        <v>81</v>
      </c>
      <c r="BN46" t="s" s="0">
        <v>344</v>
      </c>
      <c r="BO46" t="s" s="0">
        <v>926</v>
      </c>
      <c r="BP46" t="s" s="0">
        <v>927</v>
      </c>
      <c r="BQ46" t="s" s="0">
        <v>1326</v>
      </c>
      <c r="BR46" t="s" s="0">
        <v>1327</v>
      </c>
      <c r="BS46" t="s" s="0">
        <v>1328</v>
      </c>
      <c r="BT46" t="s" s="90">
        <f>HYPERLINK("https://www.webofscience.com/wos/woscc/full-record/WOS:001707431700016","View Record in Web of Science")</f>
        <v>114</v>
      </c>
      <c r="BU46" t="s" s="0">
        <v>301</v>
      </c>
      <c r="BV46" t="s" s="0">
        <v>81</v>
      </c>
      <c r="BW46" t="s" s="0">
        <v>81</v>
      </c>
      <c r="BX46" t="s" s="0">
        <v>116</v>
      </c>
    </row>
    <row r="47">
      <c r="A47" t="s" s="0">
        <v>77</v>
      </c>
      <c r="B47" t="s" s="0">
        <v>77</v>
      </c>
      <c r="C47" t="s" s="0">
        <v>77</v>
      </c>
      <c r="D47" t="s" s="0">
        <v>77</v>
      </c>
      <c r="E47" t="s" s="0">
        <v>1329</v>
      </c>
      <c r="F47" t="s" s="0">
        <v>1330</v>
      </c>
      <c r="G47" t="s" s="0">
        <v>1331</v>
      </c>
      <c r="H47" t="s" s="0">
        <v>81</v>
      </c>
      <c r="I47" t="s" s="0">
        <v>82</v>
      </c>
      <c r="J47" t="s" s="0">
        <v>1332</v>
      </c>
      <c r="K47" t="s" s="0">
        <v>1333</v>
      </c>
      <c r="L47" t="s" s="0">
        <v>1334</v>
      </c>
      <c r="M47" t="s" s="0">
        <v>1335</v>
      </c>
      <c r="N47" t="s" s="0">
        <v>1336</v>
      </c>
      <c r="O47" t="s" s="0">
        <v>1337</v>
      </c>
      <c r="P47" t="s" s="0">
        <v>1338</v>
      </c>
      <c r="Q47" t="s" s="0">
        <v>87</v>
      </c>
      <c r="R47" t="s" s="0">
        <v>81</v>
      </c>
      <c r="S47" t="s" s="0">
        <v>81</v>
      </c>
      <c r="T47" t="s" s="0">
        <v>81</v>
      </c>
      <c r="U47" t="s" s="0">
        <v>81</v>
      </c>
      <c r="V47" t="s" s="0">
        <v>1339</v>
      </c>
      <c r="W47" t="s" s="0">
        <v>1340</v>
      </c>
      <c r="X47" t="s" s="0">
        <v>81</v>
      </c>
      <c r="Y47" t="s" s="0">
        <v>81</v>
      </c>
      <c r="Z47" t="s" s="0">
        <v>90</v>
      </c>
      <c r="AA47" t="s" s="0">
        <v>91</v>
      </c>
      <c r="AB47" t="s" s="0">
        <v>81</v>
      </c>
      <c r="AC47" t="s" s="0">
        <v>81</v>
      </c>
      <c r="AD47" t="s" s="0">
        <v>81</v>
      </c>
      <c r="AE47" t="s" s="0">
        <v>81</v>
      </c>
      <c r="AF47" t="s" s="0">
        <v>81</v>
      </c>
      <c r="AG47" t="s" s="0">
        <v>1341</v>
      </c>
      <c r="AH47" t="s" s="0">
        <v>1342</v>
      </c>
      <c r="AI47" t="s" s="0">
        <v>1343</v>
      </c>
      <c r="AJ47" t="s" s="0">
        <v>81</v>
      </c>
      <c r="AK47" t="s" s="0">
        <v>81</v>
      </c>
      <c r="AL47" t="s" s="0">
        <v>1049</v>
      </c>
      <c r="AM47" t="s" s="0">
        <v>97</v>
      </c>
      <c r="AN47" t="s" s="0">
        <v>97</v>
      </c>
      <c r="AO47" t="s" s="0">
        <v>211</v>
      </c>
      <c r="AP47" t="s" s="0">
        <v>211</v>
      </c>
      <c r="AQ47" t="s" s="0">
        <v>1344</v>
      </c>
      <c r="AR47" t="s" s="0">
        <v>1345</v>
      </c>
      <c r="AS47" t="s" s="0">
        <v>1346</v>
      </c>
      <c r="AT47" t="s" s="0">
        <v>1347</v>
      </c>
      <c r="AU47" t="s" s="0">
        <v>1348</v>
      </c>
      <c r="AV47" t="s" s="0">
        <v>81</v>
      </c>
      <c r="AW47" t="s" s="0">
        <v>1349</v>
      </c>
      <c r="AX47" t="s" s="0">
        <v>1350</v>
      </c>
      <c r="AY47" t="s" s="0">
        <v>1351</v>
      </c>
      <c r="AZ47" t="s" s="0">
        <v>103</v>
      </c>
      <c r="BA47" t="s" s="0">
        <v>1352</v>
      </c>
      <c r="BB47" t="s" s="0">
        <v>81</v>
      </c>
      <c r="BC47" t="s" s="0">
        <v>81</v>
      </c>
      <c r="BD47" t="s" s="0">
        <v>81</v>
      </c>
      <c r="BE47" t="s" s="0">
        <v>81</v>
      </c>
      <c r="BF47" t="s" s="0">
        <v>81</v>
      </c>
      <c r="BG47" t="s" s="0">
        <v>81</v>
      </c>
      <c r="BH47" t="s" s="0">
        <v>81</v>
      </c>
      <c r="BI47" t="s" s="0">
        <v>1353</v>
      </c>
      <c r="BJ47" t="s" s="0">
        <v>1354</v>
      </c>
      <c r="BK47" t="s" s="91">
        <f>HYPERLINK("http://dx.doi.org/10.1016/j.eswa.2026.131513","http://dx.doi.org/10.1016/j.eswa.2026.131513")</f>
        <v>1355</v>
      </c>
      <c r="BL47" t="s" s="0">
        <v>81</v>
      </c>
      <c r="BM47" t="s" s="0">
        <v>81</v>
      </c>
      <c r="BN47" t="s" s="0">
        <v>925</v>
      </c>
      <c r="BO47" t="s" s="0">
        <v>1356</v>
      </c>
      <c r="BP47" t="s" s="0">
        <v>1357</v>
      </c>
      <c r="BQ47" t="s" s="0">
        <v>1358</v>
      </c>
      <c r="BR47" t="s" s="0">
        <v>81</v>
      </c>
      <c r="BS47" t="s" s="0">
        <v>1359</v>
      </c>
      <c r="BT47" t="s" s="92">
        <f>HYPERLINK("https://www.webofscience.com/wos/woscc/full-record/WOS:001705713200001","View Record in Web of Science")</f>
        <v>114</v>
      </c>
      <c r="BU47" t="s" s="0">
        <v>1360</v>
      </c>
      <c r="BV47" t="s" s="0">
        <v>81</v>
      </c>
      <c r="BW47" t="s" s="0">
        <v>81</v>
      </c>
      <c r="BX47" t="s" s="0">
        <v>116</v>
      </c>
    </row>
    <row r="48">
      <c r="A48" t="s" s="0">
        <v>77</v>
      </c>
      <c r="B48" t="s" s="0">
        <v>77</v>
      </c>
      <c r="C48" t="s" s="0">
        <v>97</v>
      </c>
      <c r="D48" t="s" s="0">
        <v>77</v>
      </c>
      <c r="E48" t="s" s="0">
        <v>1361</v>
      </c>
      <c r="F48" t="s" s="0">
        <v>1362</v>
      </c>
      <c r="G48" t="s" s="0">
        <v>1363</v>
      </c>
      <c r="H48" t="s" s="0">
        <v>81</v>
      </c>
      <c r="I48" t="s" s="0">
        <v>82</v>
      </c>
      <c r="J48" t="s" s="0">
        <v>1364</v>
      </c>
      <c r="K48" t="s" s="0">
        <v>1365</v>
      </c>
      <c r="L48" t="s" s="0">
        <v>81</v>
      </c>
      <c r="M48" t="s" s="0">
        <v>81</v>
      </c>
      <c r="N48" t="s" s="0">
        <v>81</v>
      </c>
      <c r="O48" t="s" s="0">
        <v>1366</v>
      </c>
      <c r="P48" t="s" s="0">
        <v>1367</v>
      </c>
      <c r="Q48" t="s" s="0">
        <v>87</v>
      </c>
      <c r="R48" t="s" s="0">
        <v>81</v>
      </c>
      <c r="S48" t="s" s="0">
        <v>81</v>
      </c>
      <c r="T48" t="s" s="0">
        <v>81</v>
      </c>
      <c r="U48" t="s" s="0">
        <v>81</v>
      </c>
      <c r="V48" t="s" s="0">
        <v>1368</v>
      </c>
      <c r="W48" t="s" s="0">
        <v>1369</v>
      </c>
      <c r="X48" t="s" s="0">
        <v>81</v>
      </c>
      <c r="Y48" t="s" s="0">
        <v>81</v>
      </c>
      <c r="Z48" t="s" s="0">
        <v>90</v>
      </c>
      <c r="AA48" t="s" s="0">
        <v>91</v>
      </c>
      <c r="AB48" t="s" s="0">
        <v>81</v>
      </c>
      <c r="AC48" t="s" s="0">
        <v>81</v>
      </c>
      <c r="AD48" t="s" s="0">
        <v>81</v>
      </c>
      <c r="AE48" t="s" s="0">
        <v>81</v>
      </c>
      <c r="AF48" t="s" s="0">
        <v>81</v>
      </c>
      <c r="AG48" t="s" s="0">
        <v>1370</v>
      </c>
      <c r="AH48" t="s" s="0">
        <v>1371</v>
      </c>
      <c r="AI48" t="s" s="0">
        <v>1372</v>
      </c>
      <c r="AJ48" t="s" s="0">
        <v>1373</v>
      </c>
      <c r="AK48" t="s" s="0">
        <v>81</v>
      </c>
      <c r="AL48" t="s" s="0">
        <v>1374</v>
      </c>
      <c r="AM48" t="s" s="0">
        <v>97</v>
      </c>
      <c r="AN48" t="s" s="0">
        <v>97</v>
      </c>
      <c r="AO48" t="s" s="0">
        <v>77</v>
      </c>
      <c r="AP48" t="s" s="0">
        <v>261</v>
      </c>
      <c r="AQ48" t="s" s="0">
        <v>284</v>
      </c>
      <c r="AR48" t="s" s="0">
        <v>285</v>
      </c>
      <c r="AS48" t="s" s="0">
        <v>286</v>
      </c>
      <c r="AT48" t="s" s="0">
        <v>81</v>
      </c>
      <c r="AU48" t="s" s="0">
        <v>1375</v>
      </c>
      <c r="AV48" t="s" s="0">
        <v>81</v>
      </c>
      <c r="AW48" t="s" s="0">
        <v>1369</v>
      </c>
      <c r="AX48" t="s" s="0">
        <v>1376</v>
      </c>
      <c r="AY48" t="s" s="0">
        <v>320</v>
      </c>
      <c r="AZ48" t="s" s="0">
        <v>185</v>
      </c>
      <c r="BA48" t="s" s="0">
        <v>925</v>
      </c>
      <c r="BB48" t="s" s="0">
        <v>211</v>
      </c>
      <c r="BC48" t="s" s="0">
        <v>81</v>
      </c>
      <c r="BD48" t="s" s="0">
        <v>81</v>
      </c>
      <c r="BE48" t="s" s="0">
        <v>81</v>
      </c>
      <c r="BF48" t="s" s="0">
        <v>81</v>
      </c>
      <c r="BG48" t="s" s="0">
        <v>81</v>
      </c>
      <c r="BH48" t="s" s="0">
        <v>81</v>
      </c>
      <c r="BI48" t="s" s="0">
        <v>1377</v>
      </c>
      <c r="BJ48" t="s" s="0">
        <v>1378</v>
      </c>
      <c r="BK48" t="s" s="93">
        <f>HYPERLINK("http://dx.doi.org/10.3390/cancers16101915","http://dx.doi.org/10.3390/cancers16101915")</f>
        <v>1379</v>
      </c>
      <c r="BL48" t="s" s="0">
        <v>81</v>
      </c>
      <c r="BM48" t="s" s="0">
        <v>81</v>
      </c>
      <c r="BN48" t="s" s="0">
        <v>291</v>
      </c>
      <c r="BO48" t="s" s="0">
        <v>1380</v>
      </c>
      <c r="BP48" t="s" s="0">
        <v>1380</v>
      </c>
      <c r="BQ48" t="s" s="0">
        <v>1381</v>
      </c>
      <c r="BR48" t="s" s="0">
        <v>1382</v>
      </c>
      <c r="BS48" t="s" s="0">
        <v>1383</v>
      </c>
      <c r="BT48" t="s" s="94">
        <f>HYPERLINK("https://www.webofscience.com/wos/woscc/full-record/WOS:001232651100001","View Record in Web of Science")</f>
        <v>114</v>
      </c>
      <c r="BU48" t="s" s="0">
        <v>301</v>
      </c>
      <c r="BV48" t="s" s="0">
        <v>81</v>
      </c>
      <c r="BW48" t="s" s="0">
        <v>81</v>
      </c>
      <c r="BX48" t="s" s="0">
        <v>116</v>
      </c>
    </row>
    <row r="49">
      <c r="A49" t="s" s="0">
        <v>77</v>
      </c>
      <c r="B49" t="s" s="0">
        <v>77</v>
      </c>
      <c r="C49" t="s" s="0">
        <v>77</v>
      </c>
      <c r="D49" t="s" s="0">
        <v>77</v>
      </c>
      <c r="E49" t="s" s="0">
        <v>1384</v>
      </c>
      <c r="F49" t="s" s="0">
        <v>1385</v>
      </c>
      <c r="G49" t="s" s="0">
        <v>1386</v>
      </c>
      <c r="H49" t="s" s="0">
        <v>81</v>
      </c>
      <c r="I49" t="s" s="0">
        <v>82</v>
      </c>
      <c r="J49" t="s" s="0">
        <v>1387</v>
      </c>
      <c r="K49" t="s" s="0">
        <v>1388</v>
      </c>
      <c r="L49" t="s" s="0">
        <v>1389</v>
      </c>
      <c r="M49" t="s" s="0">
        <v>1390</v>
      </c>
      <c r="N49" t="s" s="0">
        <v>1391</v>
      </c>
      <c r="O49" t="s" s="0">
        <v>1392</v>
      </c>
      <c r="P49" t="s" s="0">
        <v>1393</v>
      </c>
      <c r="Q49" t="s" s="0">
        <v>87</v>
      </c>
      <c r="R49" t="s" s="0">
        <v>81</v>
      </c>
      <c r="S49" t="s" s="0">
        <v>81</v>
      </c>
      <c r="T49" t="s" s="0">
        <v>81</v>
      </c>
      <c r="U49" t="s" s="0">
        <v>81</v>
      </c>
      <c r="V49" t="s" s="0">
        <v>1394</v>
      </c>
      <c r="W49" t="s" s="0">
        <v>89</v>
      </c>
      <c r="X49" t="s" s="0">
        <v>81</v>
      </c>
      <c r="Y49" t="s" s="0">
        <v>81</v>
      </c>
      <c r="Z49" t="s" s="0">
        <v>90</v>
      </c>
      <c r="AA49" t="s" s="0">
        <v>91</v>
      </c>
      <c r="AB49" t="s" s="0">
        <v>81</v>
      </c>
      <c r="AC49" t="s" s="0">
        <v>81</v>
      </c>
      <c r="AD49" t="s" s="0">
        <v>81</v>
      </c>
      <c r="AE49" t="s" s="0">
        <v>81</v>
      </c>
      <c r="AF49" t="s" s="0">
        <v>81</v>
      </c>
      <c r="AG49" t="s" s="0">
        <v>1395</v>
      </c>
      <c r="AH49" t="s" s="0">
        <v>81</v>
      </c>
      <c r="AI49" t="s" s="0">
        <v>1396</v>
      </c>
      <c r="AJ49" t="s" s="0">
        <v>1397</v>
      </c>
      <c r="AK49" t="s" s="0">
        <v>81</v>
      </c>
      <c r="AL49" t="s" s="0">
        <v>1398</v>
      </c>
      <c r="AM49" t="s" s="0">
        <v>97</v>
      </c>
      <c r="AN49" t="s" s="0">
        <v>97</v>
      </c>
      <c r="AO49" t="s" s="0">
        <v>196</v>
      </c>
      <c r="AP49" t="s" s="0">
        <v>234</v>
      </c>
      <c r="AQ49" t="s" s="0">
        <v>98</v>
      </c>
      <c r="AR49" t="s" s="0">
        <v>99</v>
      </c>
      <c r="AS49" t="s" s="0">
        <v>100</v>
      </c>
      <c r="AT49" t="s" s="0">
        <v>101</v>
      </c>
      <c r="AU49" t="s" s="0">
        <v>81</v>
      </c>
      <c r="AV49" t="s" s="0">
        <v>81</v>
      </c>
      <c r="AW49" t="s" s="0">
        <v>89</v>
      </c>
      <c r="AX49" t="s" s="0">
        <v>102</v>
      </c>
      <c r="AY49" t="s" s="0">
        <v>290</v>
      </c>
      <c r="AZ49" t="s" s="0">
        <v>290</v>
      </c>
      <c r="BA49" t="s" s="0">
        <v>486</v>
      </c>
      <c r="BB49" t="s" s="0">
        <v>81</v>
      </c>
      <c r="BC49" t="s" s="0">
        <v>81</v>
      </c>
      <c r="BD49" t="s" s="0">
        <v>81</v>
      </c>
      <c r="BE49" t="s" s="0">
        <v>81</v>
      </c>
      <c r="BF49" t="s" s="0">
        <v>81</v>
      </c>
      <c r="BG49" t="s" s="0">
        <v>1399</v>
      </c>
      <c r="BH49" t="s" s="0">
        <v>1400</v>
      </c>
      <c r="BI49" t="s" s="0">
        <v>81</v>
      </c>
      <c r="BJ49" t="s" s="0">
        <v>1401</v>
      </c>
      <c r="BK49" t="s" s="95">
        <f>HYPERLINK("http://dx.doi.org/10.1109/ACCESS.2025.3611992","http://dx.doi.org/10.1109/ACCESS.2025.3611992")</f>
        <v>1402</v>
      </c>
      <c r="BL49" t="s" s="0">
        <v>81</v>
      </c>
      <c r="BM49" t="s" s="0">
        <v>81</v>
      </c>
      <c r="BN49" t="s" s="0">
        <v>291</v>
      </c>
      <c r="BO49" t="s" s="0">
        <v>110</v>
      </c>
      <c r="BP49" t="s" s="0">
        <v>111</v>
      </c>
      <c r="BQ49" t="s" s="0">
        <v>1403</v>
      </c>
      <c r="BR49" t="s" s="0">
        <v>81</v>
      </c>
      <c r="BS49" t="s" s="0">
        <v>1404</v>
      </c>
      <c r="BT49" t="s" s="96">
        <f>HYPERLINK("https://www.webofscience.com/wos/woscc/full-record/WOS:001582187200044","View Record in Web of Science")</f>
        <v>114</v>
      </c>
      <c r="BU49" t="s" s="0">
        <v>301</v>
      </c>
      <c r="BV49" t="s" s="0">
        <v>81</v>
      </c>
      <c r="BW49" t="s" s="0">
        <v>81</v>
      </c>
      <c r="BX49" t="s" s="0">
        <v>116</v>
      </c>
    </row>
    <row r="50">
      <c r="A50" t="s" s="0">
        <v>77</v>
      </c>
      <c r="B50" t="s" s="0">
        <v>77</v>
      </c>
      <c r="C50" t="s" s="0">
        <v>77</v>
      </c>
      <c r="D50" t="s" s="0">
        <v>77</v>
      </c>
      <c r="E50" t="s" s="0">
        <v>1405</v>
      </c>
      <c r="F50" t="s" s="0">
        <v>1406</v>
      </c>
      <c r="G50" t="s" s="0">
        <v>1407</v>
      </c>
      <c r="H50" t="s" s="0">
        <v>81</v>
      </c>
      <c r="I50" t="s" s="0">
        <v>238</v>
      </c>
      <c r="J50" t="s" s="0">
        <v>1408</v>
      </c>
      <c r="K50" t="s" s="0">
        <v>1409</v>
      </c>
      <c r="L50" t="s" s="0">
        <v>1410</v>
      </c>
      <c r="M50" t="s" s="0">
        <v>1411</v>
      </c>
      <c r="N50" t="s" s="0">
        <v>1412</v>
      </c>
      <c r="O50" t="s" s="0">
        <v>1413</v>
      </c>
      <c r="P50" t="s" s="0">
        <v>1414</v>
      </c>
      <c r="Q50" t="s" s="0">
        <v>87</v>
      </c>
      <c r="R50" t="s" s="0">
        <v>81</v>
      </c>
      <c r="S50" t="s" s="0">
        <v>81</v>
      </c>
      <c r="T50" t="s" s="0">
        <v>81</v>
      </c>
      <c r="U50" t="s" s="0">
        <v>81</v>
      </c>
      <c r="V50" t="s" s="0">
        <v>1415</v>
      </c>
      <c r="W50" t="s" s="0">
        <v>1416</v>
      </c>
      <c r="X50" t="s" s="0">
        <v>81</v>
      </c>
      <c r="Y50" t="s" s="0">
        <v>81</v>
      </c>
      <c r="Z50" t="s" s="0">
        <v>90</v>
      </c>
      <c r="AA50" t="s" s="0">
        <v>91</v>
      </c>
      <c r="AB50" t="s" s="0">
        <v>81</v>
      </c>
      <c r="AC50" t="s" s="0">
        <v>81</v>
      </c>
      <c r="AD50" t="s" s="0">
        <v>81</v>
      </c>
      <c r="AE50" t="s" s="0">
        <v>81</v>
      </c>
      <c r="AF50" t="s" s="0">
        <v>81</v>
      </c>
      <c r="AG50" t="s" s="0">
        <v>1417</v>
      </c>
      <c r="AH50" t="s" s="0">
        <v>1418</v>
      </c>
      <c r="AI50" t="s" s="0">
        <v>1419</v>
      </c>
      <c r="AJ50" t="s" s="0">
        <v>1420</v>
      </c>
      <c r="AK50" t="s" s="0">
        <v>81</v>
      </c>
      <c r="AL50" t="s" s="0">
        <v>542</v>
      </c>
      <c r="AM50" t="s" s="0">
        <v>156</v>
      </c>
      <c r="AN50" t="s" s="0">
        <v>156</v>
      </c>
      <c r="AO50" t="s" s="0">
        <v>156</v>
      </c>
      <c r="AP50" t="s" s="0">
        <v>133</v>
      </c>
      <c r="AQ50" t="s" s="0">
        <v>368</v>
      </c>
      <c r="AR50" t="s" s="0">
        <v>369</v>
      </c>
      <c r="AS50" t="s" s="0">
        <v>370</v>
      </c>
      <c r="AT50" t="s" s="0">
        <v>81</v>
      </c>
      <c r="AU50" t="s" s="0">
        <v>1421</v>
      </c>
      <c r="AV50" t="s" s="0">
        <v>81</v>
      </c>
      <c r="AW50" t="s" s="0">
        <v>1422</v>
      </c>
      <c r="AX50" t="s" s="0">
        <v>1423</v>
      </c>
      <c r="AY50" t="s" s="0">
        <v>1424</v>
      </c>
      <c r="AZ50" t="s" s="0">
        <v>290</v>
      </c>
      <c r="BA50" t="s" s="0">
        <v>234</v>
      </c>
      <c r="BB50" t="s" s="0">
        <v>81</v>
      </c>
      <c r="BC50" t="s" s="0">
        <v>81</v>
      </c>
      <c r="BD50" t="s" s="0">
        <v>81</v>
      </c>
      <c r="BE50" t="s" s="0">
        <v>81</v>
      </c>
      <c r="BF50" t="s" s="0">
        <v>81</v>
      </c>
      <c r="BG50" t="s" s="0">
        <v>81</v>
      </c>
      <c r="BH50" t="s" s="0">
        <v>81</v>
      </c>
      <c r="BI50" t="s" s="0">
        <v>1425</v>
      </c>
      <c r="BJ50" t="s" s="0">
        <v>1426</v>
      </c>
      <c r="BK50" t="s" s="97">
        <f>HYPERLINK("http://dx.doi.org/10.3389/fdgth.2025.1637195","http://dx.doi.org/10.3389/fdgth.2025.1637195")</f>
        <v>1427</v>
      </c>
      <c r="BL50" t="s" s="0">
        <v>81</v>
      </c>
      <c r="BM50" t="s" s="0">
        <v>81</v>
      </c>
      <c r="BN50" t="s" s="0">
        <v>211</v>
      </c>
      <c r="BO50" t="s" s="0">
        <v>792</v>
      </c>
      <c r="BP50" t="s" s="0">
        <v>792</v>
      </c>
      <c r="BQ50" t="s" s="0">
        <v>1428</v>
      </c>
      <c r="BR50" t="s" s="0">
        <v>1429</v>
      </c>
      <c r="BS50" t="s" s="0">
        <v>1430</v>
      </c>
      <c r="BT50" t="s" s="98">
        <f>HYPERLINK("https://www.webofscience.com/wos/woscc/full-record/WOS:001591391600001","View Record in Web of Science")</f>
        <v>114</v>
      </c>
      <c r="BU50" t="s" s="0">
        <v>301</v>
      </c>
      <c r="BV50" t="s" s="0">
        <v>81</v>
      </c>
      <c r="BW50" t="s" s="0">
        <v>81</v>
      </c>
      <c r="BX50" t="s" s="0">
        <v>116</v>
      </c>
    </row>
    <row r="51">
      <c r="A51" t="s" s="0">
        <v>97</v>
      </c>
      <c r="B51" t="s" s="0">
        <v>77</v>
      </c>
      <c r="C51" t="s" s="0">
        <v>156</v>
      </c>
      <c r="D51" t="s" s="0">
        <v>156</v>
      </c>
      <c r="E51" t="s" s="0">
        <v>1431</v>
      </c>
      <c r="F51" t="s" s="0">
        <v>1432</v>
      </c>
      <c r="G51" t="s" s="0">
        <v>1433</v>
      </c>
      <c r="H51" t="s" s="0">
        <v>81</v>
      </c>
      <c r="I51" t="s" s="0">
        <v>82</v>
      </c>
      <c r="J51" t="s" s="0">
        <v>1434</v>
      </c>
      <c r="K51" t="s" s="0">
        <v>1435</v>
      </c>
      <c r="L51" t="s" s="0">
        <v>81</v>
      </c>
      <c r="M51" t="s" s="0">
        <v>81</v>
      </c>
      <c r="N51" t="s" s="0">
        <v>81</v>
      </c>
      <c r="O51" t="s" s="0">
        <v>1436</v>
      </c>
      <c r="P51" t="s" s="0">
        <v>1290</v>
      </c>
      <c r="Q51" t="s" s="0">
        <v>87</v>
      </c>
      <c r="R51" t="s" s="0">
        <v>81</v>
      </c>
      <c r="S51" t="s" s="0">
        <v>81</v>
      </c>
      <c r="T51" t="s" s="0">
        <v>81</v>
      </c>
      <c r="U51" t="s" s="0">
        <v>81</v>
      </c>
      <c r="V51" t="s" s="0">
        <v>1437</v>
      </c>
      <c r="W51" t="s" s="0">
        <v>1438</v>
      </c>
      <c r="X51" t="s" s="0">
        <v>81</v>
      </c>
      <c r="Y51" t="s" s="0">
        <v>81</v>
      </c>
      <c r="Z51" t="s" s="0">
        <v>90</v>
      </c>
      <c r="AA51" t="s" s="0">
        <v>91</v>
      </c>
      <c r="AB51" t="s" s="0">
        <v>81</v>
      </c>
      <c r="AC51" t="s" s="0">
        <v>81</v>
      </c>
      <c r="AD51" t="s" s="0">
        <v>81</v>
      </c>
      <c r="AE51" t="s" s="0">
        <v>81</v>
      </c>
      <c r="AF51" t="s" s="0">
        <v>81</v>
      </c>
      <c r="AG51" t="s" s="0">
        <v>1439</v>
      </c>
      <c r="AH51" t="s" s="0">
        <v>1440</v>
      </c>
      <c r="AI51" t="s" s="0">
        <v>81</v>
      </c>
      <c r="AJ51" t="s" s="0">
        <v>1441</v>
      </c>
      <c r="AK51" t="s" s="0">
        <v>81</v>
      </c>
      <c r="AL51" t="s" s="0">
        <v>1442</v>
      </c>
      <c r="AM51" t="s" s="0">
        <v>252</v>
      </c>
      <c r="AN51" t="s" s="0">
        <v>324</v>
      </c>
      <c r="AO51" t="s" s="0">
        <v>97</v>
      </c>
      <c r="AP51" t="s" s="0">
        <v>874</v>
      </c>
      <c r="AQ51" t="s" s="0">
        <v>254</v>
      </c>
      <c r="AR51" t="s" s="0">
        <v>255</v>
      </c>
      <c r="AS51" t="s" s="0">
        <v>256</v>
      </c>
      <c r="AT51" t="s" s="0">
        <v>81</v>
      </c>
      <c r="AU51" t="s" s="0">
        <v>1443</v>
      </c>
      <c r="AV51" t="s" s="0">
        <v>81</v>
      </c>
      <c r="AW51" t="s" s="0">
        <v>1438</v>
      </c>
      <c r="AX51" t="s" s="0">
        <v>1444</v>
      </c>
      <c r="AY51" t="s" s="0">
        <v>1445</v>
      </c>
      <c r="AZ51" t="s" s="0">
        <v>185</v>
      </c>
      <c r="BA51" t="s" s="0">
        <v>211</v>
      </c>
      <c r="BB51" t="s" s="0">
        <v>211</v>
      </c>
      <c r="BC51" t="s" s="0">
        <v>81</v>
      </c>
      <c r="BD51" t="s" s="0">
        <v>81</v>
      </c>
      <c r="BE51" t="s" s="0">
        <v>81</v>
      </c>
      <c r="BF51" t="s" s="0">
        <v>81</v>
      </c>
      <c r="BG51" t="s" s="0">
        <v>81</v>
      </c>
      <c r="BH51" t="s" s="0">
        <v>81</v>
      </c>
      <c r="BI51" t="s" s="0">
        <v>1446</v>
      </c>
      <c r="BJ51" t="s" s="0">
        <v>1447</v>
      </c>
      <c r="BK51" t="s" s="99">
        <f>HYPERLINK("http://dx.doi.org/10.5061/dryad.qd2nj","http://dx.doi.org/10.5061/dryad.qd2nj")</f>
        <v>1448</v>
      </c>
      <c r="BL51" t="s" s="0">
        <v>81</v>
      </c>
      <c r="BM51" t="s" s="0">
        <v>81</v>
      </c>
      <c r="BN51" t="s" s="0">
        <v>252</v>
      </c>
      <c r="BO51" t="s" s="0">
        <v>926</v>
      </c>
      <c r="BP51" t="s" s="0">
        <v>927</v>
      </c>
      <c r="BQ51" t="s" s="0">
        <v>1449</v>
      </c>
      <c r="BR51" t="s" s="0">
        <v>1450</v>
      </c>
      <c r="BS51" t="s" s="0">
        <v>1451</v>
      </c>
      <c r="BT51" t="s" s="100">
        <f>HYPERLINK("https://www.webofscience.com/wos/woscc/full-record/WOS:001298513600001","View Record in Web of Science")</f>
        <v>114</v>
      </c>
      <c r="BU51" t="s" s="0">
        <v>81</v>
      </c>
      <c r="BV51" t="s" s="0">
        <v>81</v>
      </c>
      <c r="BW51" t="s" s="0">
        <v>81</v>
      </c>
      <c r="BX51" t="s" s="0">
        <v>116</v>
      </c>
    </row>
    <row r="52">
      <c r="A52" t="s" s="0">
        <v>77</v>
      </c>
      <c r="B52" t="s" s="0">
        <v>77</v>
      </c>
      <c r="C52" t="s" s="0">
        <v>77</v>
      </c>
      <c r="D52" t="s" s="0">
        <v>77</v>
      </c>
      <c r="E52" t="s" s="0">
        <v>1452</v>
      </c>
      <c r="F52" t="s" s="0">
        <v>1453</v>
      </c>
      <c r="G52" t="s" s="0">
        <v>1454</v>
      </c>
      <c r="H52" t="s" s="0">
        <v>81</v>
      </c>
      <c r="I52" t="s" s="0">
        <v>82</v>
      </c>
      <c r="J52" t="s" s="0">
        <v>1455</v>
      </c>
      <c r="K52" t="s" s="0">
        <v>1456</v>
      </c>
      <c r="L52" t="s" s="0">
        <v>1457</v>
      </c>
      <c r="M52" t="s" s="0">
        <v>1458</v>
      </c>
      <c r="N52" t="s" s="0">
        <v>1459</v>
      </c>
      <c r="O52" t="s" s="0">
        <v>1460</v>
      </c>
      <c r="P52" t="s" s="0">
        <v>1461</v>
      </c>
      <c r="Q52" t="s" s="0">
        <v>87</v>
      </c>
      <c r="R52" t="s" s="0">
        <v>81</v>
      </c>
      <c r="S52" t="s" s="0">
        <v>81</v>
      </c>
      <c r="T52" t="s" s="0">
        <v>81</v>
      </c>
      <c r="U52" t="s" s="0">
        <v>81</v>
      </c>
      <c r="V52" t="s" s="0">
        <v>1462</v>
      </c>
      <c r="W52" t="s" s="0">
        <v>910</v>
      </c>
      <c r="X52" t="s" s="0">
        <v>81</v>
      </c>
      <c r="Y52" t="s" s="0">
        <v>81</v>
      </c>
      <c r="Z52" t="s" s="0">
        <v>90</v>
      </c>
      <c r="AA52" t="s" s="0">
        <v>91</v>
      </c>
      <c r="AB52" t="s" s="0">
        <v>81</v>
      </c>
      <c r="AC52" t="s" s="0">
        <v>81</v>
      </c>
      <c r="AD52" t="s" s="0">
        <v>81</v>
      </c>
      <c r="AE52" t="s" s="0">
        <v>81</v>
      </c>
      <c r="AF52" t="s" s="0">
        <v>81</v>
      </c>
      <c r="AG52" t="s" s="0">
        <v>81</v>
      </c>
      <c r="AH52" t="s" s="0">
        <v>1463</v>
      </c>
      <c r="AI52" t="s" s="0">
        <v>1464</v>
      </c>
      <c r="AJ52" t="s" s="0">
        <v>81</v>
      </c>
      <c r="AK52" t="s" s="0">
        <v>81</v>
      </c>
      <c r="AL52" t="s" s="0">
        <v>1049</v>
      </c>
      <c r="AM52" t="s" s="0">
        <v>77</v>
      </c>
      <c r="AN52" t="s" s="0">
        <v>97</v>
      </c>
      <c r="AO52" t="s" s="0">
        <v>97</v>
      </c>
      <c r="AP52" t="s" s="0">
        <v>97</v>
      </c>
      <c r="AQ52" t="s" s="0">
        <v>915</v>
      </c>
      <c r="AR52" t="s" s="0">
        <v>916</v>
      </c>
      <c r="AS52" t="s" s="0">
        <v>917</v>
      </c>
      <c r="AT52" t="s" s="0">
        <v>918</v>
      </c>
      <c r="AU52" t="s" s="0">
        <v>81</v>
      </c>
      <c r="AV52" t="s" s="0">
        <v>81</v>
      </c>
      <c r="AW52" t="s" s="0">
        <v>919</v>
      </c>
      <c r="AX52" t="s" s="0">
        <v>920</v>
      </c>
      <c r="AY52" t="s" s="0">
        <v>1465</v>
      </c>
      <c r="AZ52" t="s" s="0">
        <v>103</v>
      </c>
      <c r="BA52" t="s" s="0">
        <v>925</v>
      </c>
      <c r="BB52" t="s" s="0">
        <v>97</v>
      </c>
      <c r="BC52" t="s" s="0">
        <v>81</v>
      </c>
      <c r="BD52" t="s" s="0">
        <v>81</v>
      </c>
      <c r="BE52" t="s" s="0">
        <v>81</v>
      </c>
      <c r="BF52" t="s" s="0">
        <v>81</v>
      </c>
      <c r="BG52" t="s" s="0">
        <v>81</v>
      </c>
      <c r="BH52" t="s" s="0">
        <v>81</v>
      </c>
      <c r="BI52" t="s" s="0">
        <v>1466</v>
      </c>
      <c r="BJ52" t="s" s="0">
        <v>1467</v>
      </c>
      <c r="BK52" t="s" s="101">
        <f>HYPERLINK("http://dx.doi.org/10.1038/s41598-026-37199-2","http://dx.doi.org/10.1038/s41598-026-37199-2")</f>
        <v>1468</v>
      </c>
      <c r="BL52" t="s" s="0">
        <v>81</v>
      </c>
      <c r="BM52" t="s" s="0">
        <v>81</v>
      </c>
      <c r="BN52" t="s" s="0">
        <v>228</v>
      </c>
      <c r="BO52" t="s" s="0">
        <v>926</v>
      </c>
      <c r="BP52" t="s" s="0">
        <v>927</v>
      </c>
      <c r="BQ52" t="s" s="0">
        <v>1469</v>
      </c>
      <c r="BR52" t="s" s="0">
        <v>1470</v>
      </c>
      <c r="BS52" t="s" s="0">
        <v>1471</v>
      </c>
      <c r="BT52" t="s" s="102">
        <f>HYPERLINK("https://www.webofscience.com/wos/woscc/full-record/WOS:001696313500001","View Record in Web of Science")</f>
        <v>114</v>
      </c>
      <c r="BU52" t="s" s="0">
        <v>301</v>
      </c>
      <c r="BV52" t="s" s="0">
        <v>81</v>
      </c>
      <c r="BW52" t="s" s="0">
        <v>81</v>
      </c>
      <c r="BX52" t="s" s="0">
        <v>116</v>
      </c>
    </row>
    <row r="53">
      <c r="A53" t="s" s="0">
        <v>77</v>
      </c>
      <c r="B53" t="s" s="0">
        <v>77</v>
      </c>
      <c r="C53" t="s" s="0">
        <v>77</v>
      </c>
      <c r="D53" t="s" s="0">
        <v>77</v>
      </c>
      <c r="E53" t="s" s="0">
        <v>1472</v>
      </c>
      <c r="F53" t="s" s="0">
        <v>1473</v>
      </c>
      <c r="G53" t="s" s="0">
        <v>1474</v>
      </c>
      <c r="H53" t="s" s="0">
        <v>81</v>
      </c>
      <c r="I53" t="s" s="0">
        <v>238</v>
      </c>
      <c r="J53" t="s" s="0">
        <v>1475</v>
      </c>
      <c r="K53" t="s" s="0">
        <v>1476</v>
      </c>
      <c r="L53" t="s" s="0">
        <v>1477</v>
      </c>
      <c r="M53" t="s" s="0">
        <v>1477</v>
      </c>
      <c r="N53" t="s" s="0">
        <v>1478</v>
      </c>
      <c r="O53" t="s" s="0">
        <v>1479</v>
      </c>
      <c r="P53" t="s" s="0">
        <v>1480</v>
      </c>
      <c r="Q53" t="s" s="0">
        <v>87</v>
      </c>
      <c r="R53" t="s" s="0">
        <v>81</v>
      </c>
      <c r="S53" t="s" s="0">
        <v>81</v>
      </c>
      <c r="T53" t="s" s="0">
        <v>81</v>
      </c>
      <c r="U53" t="s" s="0">
        <v>81</v>
      </c>
      <c r="V53" t="s" s="0">
        <v>1481</v>
      </c>
      <c r="W53" t="s" s="0">
        <v>1482</v>
      </c>
      <c r="X53" t="s" s="0">
        <v>81</v>
      </c>
      <c r="Y53" t="s" s="0">
        <v>81</v>
      </c>
      <c r="Z53" t="s" s="0">
        <v>90</v>
      </c>
      <c r="AA53" t="s" s="0">
        <v>91</v>
      </c>
      <c r="AB53" t="s" s="0">
        <v>81</v>
      </c>
      <c r="AC53" t="s" s="0">
        <v>81</v>
      </c>
      <c r="AD53" t="s" s="0">
        <v>81</v>
      </c>
      <c r="AE53" t="s" s="0">
        <v>81</v>
      </c>
      <c r="AF53" t="s" s="0">
        <v>81</v>
      </c>
      <c r="AG53" t="s" s="0">
        <v>1483</v>
      </c>
      <c r="AH53" t="s" s="0">
        <v>1484</v>
      </c>
      <c r="AI53" t="s" s="0">
        <v>1485</v>
      </c>
      <c r="AJ53" t="s" s="0">
        <v>1486</v>
      </c>
      <c r="AK53" t="s" s="0">
        <v>81</v>
      </c>
      <c r="AL53" t="s" s="0">
        <v>756</v>
      </c>
      <c r="AM53" t="s" s="0">
        <v>133</v>
      </c>
      <c r="AN53" t="s" s="0">
        <v>133</v>
      </c>
      <c r="AO53" t="s" s="0">
        <v>77</v>
      </c>
      <c r="AP53" t="s" s="0">
        <v>97</v>
      </c>
      <c r="AQ53" t="s" s="0">
        <v>284</v>
      </c>
      <c r="AR53" t="s" s="0">
        <v>285</v>
      </c>
      <c r="AS53" t="s" s="0">
        <v>286</v>
      </c>
      <c r="AT53" t="s" s="0">
        <v>1487</v>
      </c>
      <c r="AU53" t="s" s="0">
        <v>81</v>
      </c>
      <c r="AV53" t="s" s="0">
        <v>81</v>
      </c>
      <c r="AW53" t="s" s="0">
        <v>1482</v>
      </c>
      <c r="AX53" t="s" s="0">
        <v>1488</v>
      </c>
      <c r="AY53" t="s" s="0">
        <v>1489</v>
      </c>
      <c r="AZ53" t="s" s="0">
        <v>290</v>
      </c>
      <c r="BA53" t="s" s="0">
        <v>104</v>
      </c>
      <c r="BB53" t="s" s="0">
        <v>211</v>
      </c>
      <c r="BC53" t="s" s="0">
        <v>81</v>
      </c>
      <c r="BD53" t="s" s="0">
        <v>81</v>
      </c>
      <c r="BE53" t="s" s="0">
        <v>81</v>
      </c>
      <c r="BF53" t="s" s="0">
        <v>81</v>
      </c>
      <c r="BG53" t="s" s="0">
        <v>81</v>
      </c>
      <c r="BH53" t="s" s="0">
        <v>81</v>
      </c>
      <c r="BI53" t="s" s="0">
        <v>1490</v>
      </c>
      <c r="BJ53" t="s" s="0">
        <v>1491</v>
      </c>
      <c r="BK53" t="s" s="103">
        <f>HYPERLINK("http://dx.doi.org/10.3390/computers14100419","http://dx.doi.org/10.3390/computers14100419")</f>
        <v>1492</v>
      </c>
      <c r="BL53" t="s" s="0">
        <v>81</v>
      </c>
      <c r="BM53" t="s" s="0">
        <v>81</v>
      </c>
      <c r="BN53" t="s" s="0">
        <v>874</v>
      </c>
      <c r="BO53" t="s" s="0">
        <v>1493</v>
      </c>
      <c r="BP53" t="s" s="0">
        <v>152</v>
      </c>
      <c r="BQ53" t="s" s="0">
        <v>1494</v>
      </c>
      <c r="BR53" t="s" s="0">
        <v>81</v>
      </c>
      <c r="BS53" t="s" s="0">
        <v>1495</v>
      </c>
      <c r="BT53" t="s" s="104">
        <f>HYPERLINK("https://www.webofscience.com/wos/woscc/full-record/WOS:001602377500001","View Record in Web of Science")</f>
        <v>114</v>
      </c>
      <c r="BU53" t="s" s="0">
        <v>301</v>
      </c>
      <c r="BV53" t="s" s="0">
        <v>81</v>
      </c>
      <c r="BW53" t="s" s="0">
        <v>81</v>
      </c>
      <c r="BX53" t="s" s="0">
        <v>116</v>
      </c>
    </row>
    <row r="54">
      <c r="A54" t="s" s="0">
        <v>77</v>
      </c>
      <c r="B54" t="s" s="0">
        <v>77</v>
      </c>
      <c r="C54" t="s" s="0">
        <v>77</v>
      </c>
      <c r="D54" t="s" s="0">
        <v>77</v>
      </c>
      <c r="E54" t="s" s="0">
        <v>1496</v>
      </c>
      <c r="F54" t="s" s="0">
        <v>1497</v>
      </c>
      <c r="G54" t="s" s="0">
        <v>1498</v>
      </c>
      <c r="H54" t="s" s="0">
        <v>81</v>
      </c>
      <c r="I54" t="s" s="0">
        <v>82</v>
      </c>
      <c r="J54" t="s" s="0">
        <v>1499</v>
      </c>
      <c r="K54" t="s" s="0">
        <v>1500</v>
      </c>
      <c r="L54" t="s" s="0">
        <v>1501</v>
      </c>
      <c r="M54" t="s" s="0">
        <v>1502</v>
      </c>
      <c r="N54" t="s" s="0">
        <v>1503</v>
      </c>
      <c r="O54" t="s" s="0">
        <v>1504</v>
      </c>
      <c r="P54" t="s" s="0">
        <v>1505</v>
      </c>
      <c r="Q54" t="s" s="0">
        <v>87</v>
      </c>
      <c r="R54" t="s" s="0">
        <v>81</v>
      </c>
      <c r="S54" t="s" s="0">
        <v>81</v>
      </c>
      <c r="T54" t="s" s="0">
        <v>81</v>
      </c>
      <c r="U54" t="s" s="0">
        <v>81</v>
      </c>
      <c r="V54" t="s" s="0">
        <v>1506</v>
      </c>
      <c r="W54" t="s" s="0">
        <v>1507</v>
      </c>
      <c r="X54" t="s" s="0">
        <v>81</v>
      </c>
      <c r="Y54" t="s" s="0">
        <v>81</v>
      </c>
      <c r="Z54" t="s" s="0">
        <v>90</v>
      </c>
      <c r="AA54" t="s" s="0">
        <v>91</v>
      </c>
      <c r="AB54" t="s" s="0">
        <v>81</v>
      </c>
      <c r="AC54" t="s" s="0">
        <v>81</v>
      </c>
      <c r="AD54" t="s" s="0">
        <v>81</v>
      </c>
      <c r="AE54" t="s" s="0">
        <v>81</v>
      </c>
      <c r="AF54" t="s" s="0">
        <v>81</v>
      </c>
      <c r="AG54" t="s" s="0">
        <v>1508</v>
      </c>
      <c r="AH54" t="s" s="0">
        <v>1509</v>
      </c>
      <c r="AI54" t="s" s="0">
        <v>1510</v>
      </c>
      <c r="AJ54" t="s" s="0">
        <v>81</v>
      </c>
      <c r="AK54" t="s" s="0">
        <v>81</v>
      </c>
      <c r="AL54" t="s" s="0">
        <v>1511</v>
      </c>
      <c r="AM54" t="s" s="0">
        <v>77</v>
      </c>
      <c r="AN54" t="s" s="0">
        <v>77</v>
      </c>
      <c r="AO54" t="s" s="0">
        <v>156</v>
      </c>
      <c r="AP54" t="s" s="0">
        <v>156</v>
      </c>
      <c r="AQ54" t="s" s="0">
        <v>665</v>
      </c>
      <c r="AR54" t="s" s="0">
        <v>546</v>
      </c>
      <c r="AS54" t="s" s="0">
        <v>666</v>
      </c>
      <c r="AT54" t="s" s="0">
        <v>81</v>
      </c>
      <c r="AU54" t="s" s="0">
        <v>1512</v>
      </c>
      <c r="AV54" t="s" s="0">
        <v>81</v>
      </c>
      <c r="AW54" t="s" s="0">
        <v>1513</v>
      </c>
      <c r="AX54" t="s" s="0">
        <v>1514</v>
      </c>
      <c r="AY54" t="s" s="0">
        <v>1515</v>
      </c>
      <c r="AZ54" t="s" s="0">
        <v>103</v>
      </c>
      <c r="BA54" t="s" s="0">
        <v>228</v>
      </c>
      <c r="BB54" t="s" s="0">
        <v>97</v>
      </c>
      <c r="BC54" t="s" s="0">
        <v>81</v>
      </c>
      <c r="BD54" t="s" s="0">
        <v>81</v>
      </c>
      <c r="BE54" t="s" s="0">
        <v>81</v>
      </c>
      <c r="BF54" t="s" s="0">
        <v>81</v>
      </c>
      <c r="BG54" t="s" s="0">
        <v>81</v>
      </c>
      <c r="BH54" t="s" s="0">
        <v>81</v>
      </c>
      <c r="BI54" t="s" s="0">
        <v>1516</v>
      </c>
      <c r="BJ54" t="s" s="0">
        <v>1517</v>
      </c>
      <c r="BK54" t="s" s="105">
        <f>HYPERLINK("http://dx.doi.org/10.1186/s12876-026-04890-7","http://dx.doi.org/10.1186/s12876-026-04890-7")</f>
        <v>1518</v>
      </c>
      <c r="BL54" t="s" s="0">
        <v>81</v>
      </c>
      <c r="BM54" t="s" s="0">
        <v>675</v>
      </c>
      <c r="BN54" t="s" s="0">
        <v>367</v>
      </c>
      <c r="BO54" t="s" s="0">
        <v>1519</v>
      </c>
      <c r="BP54" t="s" s="0">
        <v>1519</v>
      </c>
      <c r="BQ54" t="s" s="0">
        <v>1520</v>
      </c>
      <c r="BR54" t="s" s="0">
        <v>1521</v>
      </c>
      <c r="BS54" t="s" s="0">
        <v>1522</v>
      </c>
      <c r="BT54" t="s" s="106">
        <f>HYPERLINK("https://www.webofscience.com/wos/woscc/full-record/WOS:001772124600001","View Record in Web of Science")</f>
        <v>114</v>
      </c>
      <c r="BU54" t="s" s="0">
        <v>301</v>
      </c>
      <c r="BV54" t="s" s="0">
        <v>81</v>
      </c>
      <c r="BW54" t="s" s="0">
        <v>81</v>
      </c>
      <c r="BX54" t="s" s="0">
        <v>116</v>
      </c>
    </row>
    <row r="55">
      <c r="A55" t="s" s="0">
        <v>77</v>
      </c>
      <c r="B55" t="s" s="0">
        <v>77</v>
      </c>
      <c r="C55" t="s" s="0">
        <v>77</v>
      </c>
      <c r="D55" t="s" s="0">
        <v>77</v>
      </c>
      <c r="E55" t="s" s="0">
        <v>1523</v>
      </c>
      <c r="F55" t="s" s="0">
        <v>1524</v>
      </c>
      <c r="G55" t="s" s="0">
        <v>1525</v>
      </c>
      <c r="H55" t="s" s="0">
        <v>81</v>
      </c>
      <c r="I55" t="s" s="0">
        <v>82</v>
      </c>
      <c r="J55" t="s" s="0">
        <v>1526</v>
      </c>
      <c r="K55" t="s" s="0">
        <v>1527</v>
      </c>
      <c r="L55" t="s" s="0">
        <v>1528</v>
      </c>
      <c r="M55" t="s" s="0">
        <v>1529</v>
      </c>
      <c r="N55" t="s" s="0">
        <v>1530</v>
      </c>
      <c r="O55" t="s" s="0">
        <v>1531</v>
      </c>
      <c r="P55" t="s" s="0">
        <v>1532</v>
      </c>
      <c r="Q55" t="s" s="0">
        <v>87</v>
      </c>
      <c r="R55" t="s" s="0">
        <v>81</v>
      </c>
      <c r="S55" t="s" s="0">
        <v>81</v>
      </c>
      <c r="T55" t="s" s="0">
        <v>81</v>
      </c>
      <c r="U55" t="s" s="0">
        <v>81</v>
      </c>
      <c r="V55" t="s" s="0">
        <v>1533</v>
      </c>
      <c r="W55" t="s" s="0">
        <v>1534</v>
      </c>
      <c r="X55" t="s" s="0">
        <v>81</v>
      </c>
      <c r="Y55" t="s" s="0">
        <v>81</v>
      </c>
      <c r="Z55" t="s" s="0">
        <v>90</v>
      </c>
      <c r="AA55" t="s" s="0">
        <v>91</v>
      </c>
      <c r="AB55" t="s" s="0">
        <v>81</v>
      </c>
      <c r="AC55" t="s" s="0">
        <v>81</v>
      </c>
      <c r="AD55" t="s" s="0">
        <v>81</v>
      </c>
      <c r="AE55" t="s" s="0">
        <v>81</v>
      </c>
      <c r="AF55" t="s" s="0">
        <v>81</v>
      </c>
      <c r="AG55" t="s" s="0">
        <v>1535</v>
      </c>
      <c r="AH55" t="s" s="0">
        <v>1536</v>
      </c>
      <c r="AI55" t="s" s="0">
        <v>1537</v>
      </c>
      <c r="AJ55" t="s" s="0">
        <v>1538</v>
      </c>
      <c r="AK55" t="s" s="0">
        <v>81</v>
      </c>
      <c r="AL55" t="s" s="0">
        <v>399</v>
      </c>
      <c r="AM55" t="s" s="0">
        <v>156</v>
      </c>
      <c r="AN55" t="s" s="0">
        <v>196</v>
      </c>
      <c r="AO55" t="s" s="0">
        <v>196</v>
      </c>
      <c r="AP55" t="s" s="0">
        <v>486</v>
      </c>
      <c r="AQ55" t="s" s="0">
        <v>284</v>
      </c>
      <c r="AR55" t="s" s="0">
        <v>285</v>
      </c>
      <c r="AS55" t="s" s="0">
        <v>286</v>
      </c>
      <c r="AT55" t="s" s="0">
        <v>81</v>
      </c>
      <c r="AU55" t="s" s="0">
        <v>1539</v>
      </c>
      <c r="AV55" t="s" s="0">
        <v>81</v>
      </c>
      <c r="AW55" t="s" s="0">
        <v>1540</v>
      </c>
      <c r="AX55" t="s" s="0">
        <v>1541</v>
      </c>
      <c r="AY55" t="s" s="0">
        <v>1542</v>
      </c>
      <c r="AZ55" t="s" s="0">
        <v>290</v>
      </c>
      <c r="BA55" t="s" s="0">
        <v>367</v>
      </c>
      <c r="BB55" t="s" s="0">
        <v>191</v>
      </c>
      <c r="BC55" t="s" s="0">
        <v>81</v>
      </c>
      <c r="BD55" t="s" s="0">
        <v>81</v>
      </c>
      <c r="BE55" t="s" s="0">
        <v>81</v>
      </c>
      <c r="BF55" t="s" s="0">
        <v>81</v>
      </c>
      <c r="BG55" t="s" s="0">
        <v>81</v>
      </c>
      <c r="BH55" t="s" s="0">
        <v>81</v>
      </c>
      <c r="BI55" t="s" s="0">
        <v>1543</v>
      </c>
      <c r="BJ55" t="s" s="0">
        <v>1544</v>
      </c>
      <c r="BK55" t="s" s="107">
        <f>HYPERLINK("http://dx.doi.org/10.3390/ph18111659","http://dx.doi.org/10.3390/ph18111659")</f>
        <v>1545</v>
      </c>
      <c r="BL55" t="s" s="0">
        <v>81</v>
      </c>
      <c r="BM55" t="s" s="0">
        <v>81</v>
      </c>
      <c r="BN55" t="s" s="0">
        <v>104</v>
      </c>
      <c r="BO55" t="s" s="0">
        <v>972</v>
      </c>
      <c r="BP55" t="s" s="0">
        <v>973</v>
      </c>
      <c r="BQ55" t="s" s="0">
        <v>1546</v>
      </c>
      <c r="BR55" t="s" s="0">
        <v>1547</v>
      </c>
      <c r="BS55" t="s" s="0">
        <v>1548</v>
      </c>
      <c r="BT55" t="s" s="108">
        <f>HYPERLINK("https://www.webofscience.com/wos/woscc/full-record/WOS:001625620000001","View Record in Web of Science")</f>
        <v>114</v>
      </c>
      <c r="BU55" t="s" s="0">
        <v>301</v>
      </c>
      <c r="BV55" t="s" s="0">
        <v>81</v>
      </c>
      <c r="BW55" t="s" s="0">
        <v>81</v>
      </c>
      <c r="BX55" t="s" s="0">
        <v>116</v>
      </c>
    </row>
    <row r="56">
      <c r="A56" t="s" s="0">
        <v>77</v>
      </c>
      <c r="B56" t="s" s="0">
        <v>77</v>
      </c>
      <c r="C56" t="s" s="0">
        <v>77</v>
      </c>
      <c r="D56" t="s" s="0">
        <v>77</v>
      </c>
      <c r="E56" t="s" s="0">
        <v>1549</v>
      </c>
      <c r="F56" t="s" s="0">
        <v>1550</v>
      </c>
      <c r="G56" t="s" s="0">
        <v>1551</v>
      </c>
      <c r="H56" t="s" s="0">
        <v>81</v>
      </c>
      <c r="I56" t="s" s="0">
        <v>82</v>
      </c>
      <c r="J56" t="s" s="0">
        <v>1552</v>
      </c>
      <c r="K56" t="s" s="0">
        <v>1553</v>
      </c>
      <c r="L56" t="s" s="0">
        <v>1554</v>
      </c>
      <c r="M56" t="s" s="0">
        <v>1555</v>
      </c>
      <c r="N56" t="s" s="0">
        <v>1556</v>
      </c>
      <c r="O56" t="s" s="0">
        <v>1557</v>
      </c>
      <c r="P56" t="s" s="0">
        <v>1558</v>
      </c>
      <c r="Q56" t="s" s="0">
        <v>87</v>
      </c>
      <c r="R56" t="s" s="0">
        <v>81</v>
      </c>
      <c r="S56" t="s" s="0">
        <v>81</v>
      </c>
      <c r="T56" t="s" s="0">
        <v>81</v>
      </c>
      <c r="U56" t="s" s="0">
        <v>81</v>
      </c>
      <c r="V56" t="s" s="0">
        <v>1559</v>
      </c>
      <c r="W56" t="s" s="0">
        <v>1313</v>
      </c>
      <c r="X56" t="s" s="0">
        <v>81</v>
      </c>
      <c r="Y56" t="s" s="0">
        <v>81</v>
      </c>
      <c r="Z56" t="s" s="0">
        <v>90</v>
      </c>
      <c r="AA56" t="s" s="0">
        <v>91</v>
      </c>
      <c r="AB56" t="s" s="0">
        <v>81</v>
      </c>
      <c r="AC56" t="s" s="0">
        <v>81</v>
      </c>
      <c r="AD56" t="s" s="0">
        <v>81</v>
      </c>
      <c r="AE56" t="s" s="0">
        <v>81</v>
      </c>
      <c r="AF56" t="s" s="0">
        <v>81</v>
      </c>
      <c r="AG56" t="s" s="0">
        <v>81</v>
      </c>
      <c r="AH56" t="s" s="0">
        <v>281</v>
      </c>
      <c r="AI56" t="s" s="0">
        <v>1560</v>
      </c>
      <c r="AJ56" t="s" s="0">
        <v>81</v>
      </c>
      <c r="AK56" t="s" s="0">
        <v>81</v>
      </c>
      <c r="AL56" t="s" s="0">
        <v>1561</v>
      </c>
      <c r="AM56" t="s" s="0">
        <v>97</v>
      </c>
      <c r="AN56" t="s" s="0">
        <v>97</v>
      </c>
      <c r="AO56" t="s" s="0">
        <v>97</v>
      </c>
      <c r="AP56" t="s" s="0">
        <v>156</v>
      </c>
      <c r="AQ56" t="s" s="0">
        <v>1317</v>
      </c>
      <c r="AR56" t="s" s="0">
        <v>1318</v>
      </c>
      <c r="AS56" t="s" s="0">
        <v>1319</v>
      </c>
      <c r="AT56" t="s" s="0">
        <v>81</v>
      </c>
      <c r="AU56" t="s" s="0">
        <v>1320</v>
      </c>
      <c r="AV56" t="s" s="0">
        <v>81</v>
      </c>
      <c r="AW56" t="s" s="0">
        <v>1313</v>
      </c>
      <c r="AX56" t="s" s="0">
        <v>1321</v>
      </c>
      <c r="AY56" t="s" s="0">
        <v>1562</v>
      </c>
      <c r="AZ56" t="s" s="0">
        <v>103</v>
      </c>
      <c r="BA56" t="s" s="0">
        <v>874</v>
      </c>
      <c r="BB56" t="s" s="0">
        <v>97</v>
      </c>
      <c r="BC56" t="s" s="0">
        <v>81</v>
      </c>
      <c r="BD56" t="s" s="0">
        <v>81</v>
      </c>
      <c r="BE56" t="s" s="0">
        <v>81</v>
      </c>
      <c r="BF56" t="s" s="0">
        <v>81</v>
      </c>
      <c r="BG56" t="s" s="0">
        <v>81</v>
      </c>
      <c r="BH56" t="s" s="0">
        <v>81</v>
      </c>
      <c r="BI56" t="s" s="0">
        <v>1563</v>
      </c>
      <c r="BJ56" t="s" s="0">
        <v>1564</v>
      </c>
      <c r="BK56" t="s" s="109">
        <f>HYPERLINK("http://dx.doi.org/10.1371/journal.pone.0341168","http://dx.doi.org/10.1371/journal.pone.0341168")</f>
        <v>1565</v>
      </c>
      <c r="BL56" t="s" s="0">
        <v>81</v>
      </c>
      <c r="BM56" t="s" s="0">
        <v>81</v>
      </c>
      <c r="BN56" t="s" s="0">
        <v>671</v>
      </c>
      <c r="BO56" t="s" s="0">
        <v>926</v>
      </c>
      <c r="BP56" t="s" s="0">
        <v>927</v>
      </c>
      <c r="BQ56" t="s" s="0">
        <v>1566</v>
      </c>
      <c r="BR56" t="s" s="0">
        <v>1567</v>
      </c>
      <c r="BS56" t="s" s="0">
        <v>1568</v>
      </c>
      <c r="BT56" t="s" s="110">
        <f>HYPERLINK("https://www.webofscience.com/wos/woscc/full-record/WOS:001681097100019","View Record in Web of Science")</f>
        <v>114</v>
      </c>
      <c r="BU56" t="s" s="0">
        <v>301</v>
      </c>
      <c r="BV56" t="s" s="0">
        <v>81</v>
      </c>
      <c r="BW56" t="s" s="0">
        <v>81</v>
      </c>
      <c r="BX56" t="s" s="0">
        <v>116</v>
      </c>
    </row>
    <row r="57">
      <c r="A57" t="s" s="0">
        <v>77</v>
      </c>
      <c r="B57" t="s" s="0">
        <v>77</v>
      </c>
      <c r="C57" t="s" s="0">
        <v>77</v>
      </c>
      <c r="D57" t="s" s="0">
        <v>77</v>
      </c>
      <c r="E57" t="s" s="0">
        <v>1569</v>
      </c>
      <c r="F57" t="s" s="0">
        <v>1570</v>
      </c>
      <c r="G57" t="s" s="0">
        <v>1571</v>
      </c>
      <c r="H57" t="s" s="0">
        <v>81</v>
      </c>
      <c r="I57" t="s" s="0">
        <v>82</v>
      </c>
      <c r="J57" t="s" s="0">
        <v>1572</v>
      </c>
      <c r="K57" t="s" s="0">
        <v>1573</v>
      </c>
      <c r="L57" t="s" s="0">
        <v>1574</v>
      </c>
      <c r="M57" t="s" s="0">
        <v>1575</v>
      </c>
      <c r="N57" t="s" s="0">
        <v>1576</v>
      </c>
      <c r="O57" t="s" s="0">
        <v>1577</v>
      </c>
      <c r="P57" t="s" s="0">
        <v>1578</v>
      </c>
      <c r="Q57" t="s" s="0">
        <v>87</v>
      </c>
      <c r="R57" t="s" s="0">
        <v>81</v>
      </c>
      <c r="S57" t="s" s="0">
        <v>81</v>
      </c>
      <c r="T57" t="s" s="0">
        <v>81</v>
      </c>
      <c r="U57" t="s" s="0">
        <v>81</v>
      </c>
      <c r="V57" t="s" s="0">
        <v>1579</v>
      </c>
      <c r="W57" t="s" s="0">
        <v>1580</v>
      </c>
      <c r="X57" t="s" s="0">
        <v>81</v>
      </c>
      <c r="Y57" t="s" s="0">
        <v>81</v>
      </c>
      <c r="Z57" t="s" s="0">
        <v>90</v>
      </c>
      <c r="AA57" t="s" s="0">
        <v>1581</v>
      </c>
      <c r="AB57" t="s" s="0">
        <v>81</v>
      </c>
      <c r="AC57" t="s" s="0">
        <v>81</v>
      </c>
      <c r="AD57" t="s" s="0">
        <v>81</v>
      </c>
      <c r="AE57" t="s" s="0">
        <v>81</v>
      </c>
      <c r="AF57" t="s" s="0">
        <v>81</v>
      </c>
      <c r="AG57" t="s" s="0">
        <v>81</v>
      </c>
      <c r="AH57" t="s" s="0">
        <v>1582</v>
      </c>
      <c r="AI57" t="s" s="0">
        <v>1583</v>
      </c>
      <c r="AJ57" t="s" s="0">
        <v>1584</v>
      </c>
      <c r="AK57" t="s" s="0">
        <v>81</v>
      </c>
      <c r="AL57" t="s" s="0">
        <v>176</v>
      </c>
      <c r="AM57" t="s" s="0">
        <v>97</v>
      </c>
      <c r="AN57" t="s" s="0">
        <v>156</v>
      </c>
      <c r="AO57" t="s" s="0">
        <v>97</v>
      </c>
      <c r="AP57" t="s" s="0">
        <v>97</v>
      </c>
      <c r="AQ57" t="s" s="0">
        <v>726</v>
      </c>
      <c r="AR57" t="s" s="0">
        <v>727</v>
      </c>
      <c r="AS57" t="s" s="0">
        <v>728</v>
      </c>
      <c r="AT57" t="s" s="0">
        <v>1585</v>
      </c>
      <c r="AU57" t="s" s="0">
        <v>1586</v>
      </c>
      <c r="AV57" t="s" s="0">
        <v>81</v>
      </c>
      <c r="AW57" t="s" s="0">
        <v>1587</v>
      </c>
      <c r="AX57" t="s" s="0">
        <v>1588</v>
      </c>
      <c r="AY57" t="s" s="0">
        <v>81</v>
      </c>
      <c r="AZ57" t="s" s="0">
        <v>290</v>
      </c>
      <c r="BA57" t="s" s="0">
        <v>81</v>
      </c>
      <c r="BB57" t="s" s="0">
        <v>81</v>
      </c>
      <c r="BC57" t="s" s="0">
        <v>81</v>
      </c>
      <c r="BD57" t="s" s="0">
        <v>81</v>
      </c>
      <c r="BE57" t="s" s="0">
        <v>81</v>
      </c>
      <c r="BF57" t="s" s="0">
        <v>81</v>
      </c>
      <c r="BG57" t="s" s="0">
        <v>81</v>
      </c>
      <c r="BH57" t="s" s="0">
        <v>81</v>
      </c>
      <c r="BI57" t="s" s="0">
        <v>81</v>
      </c>
      <c r="BJ57" t="s" s="0">
        <v>1589</v>
      </c>
      <c r="BK57" t="s" s="111">
        <f>HYPERLINK("http://dx.doi.org/10.1002/cpt.3758","http://dx.doi.org/10.1002/cpt.3758")</f>
        <v>1590</v>
      </c>
      <c r="BL57" t="s" s="0">
        <v>81</v>
      </c>
      <c r="BM57" t="s" s="0">
        <v>733</v>
      </c>
      <c r="BN57" t="s" s="0">
        <v>211</v>
      </c>
      <c r="BO57" t="s" s="0">
        <v>973</v>
      </c>
      <c r="BP57" t="s" s="0">
        <v>973</v>
      </c>
      <c r="BQ57" t="s" s="0">
        <v>1591</v>
      </c>
      <c r="BR57" t="s" s="0">
        <v>1592</v>
      </c>
      <c r="BS57" t="s" s="0">
        <v>1593</v>
      </c>
      <c r="BT57" t="s" s="112">
        <f>HYPERLINK("https://www.webofscience.com/wos/woscc/full-record/WOS:001533873300001","View Record in Web of Science")</f>
        <v>114</v>
      </c>
      <c r="BU57" t="s" s="0">
        <v>81</v>
      </c>
      <c r="BV57" t="s" s="0">
        <v>81</v>
      </c>
      <c r="BW57" t="s" s="0">
        <v>81</v>
      </c>
      <c r="BX57" t="s" s="0">
        <v>116</v>
      </c>
    </row>
    <row r="58">
      <c r="A58" t="s" s="0">
        <v>77</v>
      </c>
      <c r="B58" t="s" s="0">
        <v>77</v>
      </c>
      <c r="C58" t="s" s="0">
        <v>196</v>
      </c>
      <c r="D58" t="s" s="0">
        <v>77</v>
      </c>
      <c r="E58" t="s" s="0">
        <v>1594</v>
      </c>
      <c r="F58" t="s" s="0">
        <v>1595</v>
      </c>
      <c r="G58" t="s" s="0">
        <v>1596</v>
      </c>
      <c r="H58" t="s" s="0">
        <v>81</v>
      </c>
      <c r="I58" t="s" s="0">
        <v>82</v>
      </c>
      <c r="J58" t="s" s="0">
        <v>1597</v>
      </c>
      <c r="K58" t="s" s="0">
        <v>1598</v>
      </c>
      <c r="L58" t="s" s="0">
        <v>81</v>
      </c>
      <c r="M58" t="s" s="0">
        <v>81</v>
      </c>
      <c r="N58" t="s" s="0">
        <v>81</v>
      </c>
      <c r="O58" t="s" s="0">
        <v>1599</v>
      </c>
      <c r="P58" t="s" s="0">
        <v>1600</v>
      </c>
      <c r="Q58" t="s" s="0">
        <v>87</v>
      </c>
      <c r="R58" t="s" s="0">
        <v>81</v>
      </c>
      <c r="S58" t="s" s="0">
        <v>81</v>
      </c>
      <c r="T58" t="s" s="0">
        <v>81</v>
      </c>
      <c r="U58" t="s" s="0">
        <v>81</v>
      </c>
      <c r="V58" t="s" s="0">
        <v>1601</v>
      </c>
      <c r="W58" t="s" s="0">
        <v>1602</v>
      </c>
      <c r="X58" t="s" s="0">
        <v>81</v>
      </c>
      <c r="Y58" t="s" s="0">
        <v>81</v>
      </c>
      <c r="Z58" t="s" s="0">
        <v>90</v>
      </c>
      <c r="AA58" t="s" s="0">
        <v>91</v>
      </c>
      <c r="AB58" t="s" s="0">
        <v>81</v>
      </c>
      <c r="AC58" t="s" s="0">
        <v>81</v>
      </c>
      <c r="AD58" t="s" s="0">
        <v>81</v>
      </c>
      <c r="AE58" t="s" s="0">
        <v>81</v>
      </c>
      <c r="AF58" t="s" s="0">
        <v>81</v>
      </c>
      <c r="AG58" t="s" s="0">
        <v>1603</v>
      </c>
      <c r="AH58" t="s" s="0">
        <v>1604</v>
      </c>
      <c r="AI58" t="s" s="0">
        <v>1605</v>
      </c>
      <c r="AJ58" t="s" s="0">
        <v>1606</v>
      </c>
      <c r="AK58" t="s" s="0">
        <v>81</v>
      </c>
      <c r="AL58" t="s" s="0">
        <v>1607</v>
      </c>
      <c r="AM58" t="s" s="0">
        <v>211</v>
      </c>
      <c r="AN58" t="s" s="0">
        <v>134</v>
      </c>
      <c r="AO58" t="s" s="0">
        <v>196</v>
      </c>
      <c r="AP58" t="s" s="0">
        <v>925</v>
      </c>
      <c r="AQ58" t="s" s="0">
        <v>1608</v>
      </c>
      <c r="AR58" t="s" s="0">
        <v>1609</v>
      </c>
      <c r="AS58" t="s" s="0">
        <v>1610</v>
      </c>
      <c r="AT58" t="s" s="0">
        <v>1611</v>
      </c>
      <c r="AU58" t="s" s="0">
        <v>1612</v>
      </c>
      <c r="AV58" t="s" s="0">
        <v>81</v>
      </c>
      <c r="AW58" t="s" s="0">
        <v>1613</v>
      </c>
      <c r="AX58" t="s" s="0">
        <v>1614</v>
      </c>
      <c r="AY58" t="s" s="0">
        <v>578</v>
      </c>
      <c r="AZ58" t="s" s="0">
        <v>290</v>
      </c>
      <c r="BA58" t="s" s="0">
        <v>1615</v>
      </c>
      <c r="BB58" t="s" s="0">
        <v>81</v>
      </c>
      <c r="BC58" t="s" s="0">
        <v>81</v>
      </c>
      <c r="BD58" t="s" s="0">
        <v>81</v>
      </c>
      <c r="BE58" t="s" s="0">
        <v>81</v>
      </c>
      <c r="BF58" t="s" s="0">
        <v>81</v>
      </c>
      <c r="BG58" t="s" s="0">
        <v>81</v>
      </c>
      <c r="BH58" t="s" s="0">
        <v>81</v>
      </c>
      <c r="BI58" t="s" s="0">
        <v>1616</v>
      </c>
      <c r="BJ58" t="s" s="0">
        <v>1617</v>
      </c>
      <c r="BK58" t="s" s="113">
        <f>HYPERLINK("http://dx.doi.org/10.1016/j.ijmedinf.2025.105943","http://dx.doi.org/10.1016/j.ijmedinf.2025.105943")</f>
        <v>1618</v>
      </c>
      <c r="BL58" t="s" s="0">
        <v>81</v>
      </c>
      <c r="BM58" t="s" s="0">
        <v>615</v>
      </c>
      <c r="BN58" t="s" s="0">
        <v>261</v>
      </c>
      <c r="BO58" t="s" s="0">
        <v>1619</v>
      </c>
      <c r="BP58" t="s" s="0">
        <v>1620</v>
      </c>
      <c r="BQ58" t="s" s="0">
        <v>1621</v>
      </c>
      <c r="BR58" t="s" s="0">
        <v>1622</v>
      </c>
      <c r="BS58" t="s" s="0">
        <v>1623</v>
      </c>
      <c r="BT58" t="s" s="114">
        <f>HYPERLINK("https://www.webofscience.com/wos/woscc/full-record/WOS:001488109100001","View Record in Web of Science")</f>
        <v>114</v>
      </c>
      <c r="BU58" t="s" s="0">
        <v>81</v>
      </c>
      <c r="BV58" t="s" s="0">
        <v>81</v>
      </c>
      <c r="BW58" t="s" s="0">
        <v>81</v>
      </c>
      <c r="BX58" t="s" s="0">
        <v>116</v>
      </c>
    </row>
    <row r="59">
      <c r="A59" t="s" s="0">
        <v>77</v>
      </c>
      <c r="B59" t="s" s="0">
        <v>77</v>
      </c>
      <c r="C59" t="s" s="0">
        <v>196</v>
      </c>
      <c r="D59" t="s" s="0">
        <v>77</v>
      </c>
      <c r="E59" t="s" s="0">
        <v>1624</v>
      </c>
      <c r="F59" t="s" s="0">
        <v>1625</v>
      </c>
      <c r="G59" t="s" s="0">
        <v>1626</v>
      </c>
      <c r="H59" t="s" s="0">
        <v>81</v>
      </c>
      <c r="I59" t="s" s="0">
        <v>82</v>
      </c>
      <c r="J59" t="s" s="0">
        <v>1627</v>
      </c>
      <c r="K59" t="s" s="0">
        <v>1628</v>
      </c>
      <c r="L59" t="s" s="0">
        <v>81</v>
      </c>
      <c r="M59" t="s" s="0">
        <v>81</v>
      </c>
      <c r="N59" t="s" s="0">
        <v>81</v>
      </c>
      <c r="O59" t="s" s="0">
        <v>1629</v>
      </c>
      <c r="P59" t="s" s="0">
        <v>1630</v>
      </c>
      <c r="Q59" t="s" s="0">
        <v>87</v>
      </c>
      <c r="R59" t="s" s="0">
        <v>81</v>
      </c>
      <c r="S59" t="s" s="0">
        <v>81</v>
      </c>
      <c r="T59" t="s" s="0">
        <v>81</v>
      </c>
      <c r="U59" t="s" s="0">
        <v>81</v>
      </c>
      <c r="V59" t="s" s="0">
        <v>1631</v>
      </c>
      <c r="W59" t="s" s="0">
        <v>279</v>
      </c>
      <c r="X59" t="s" s="0">
        <v>81</v>
      </c>
      <c r="Y59" t="s" s="0">
        <v>81</v>
      </c>
      <c r="Z59" t="s" s="0">
        <v>90</v>
      </c>
      <c r="AA59" t="s" s="0">
        <v>91</v>
      </c>
      <c r="AB59" t="s" s="0">
        <v>81</v>
      </c>
      <c r="AC59" t="s" s="0">
        <v>81</v>
      </c>
      <c r="AD59" t="s" s="0">
        <v>81</v>
      </c>
      <c r="AE59" t="s" s="0">
        <v>81</v>
      </c>
      <c r="AF59" t="s" s="0">
        <v>81</v>
      </c>
      <c r="AG59" t="s" s="0">
        <v>1632</v>
      </c>
      <c r="AH59" t="s" s="0">
        <v>81</v>
      </c>
      <c r="AI59" t="s" s="0">
        <v>1633</v>
      </c>
      <c r="AJ59" t="s" s="0">
        <v>1634</v>
      </c>
      <c r="AK59" t="s" s="0">
        <v>81</v>
      </c>
      <c r="AL59" t="s" s="0">
        <v>1635</v>
      </c>
      <c r="AM59" t="s" s="0">
        <v>381</v>
      </c>
      <c r="AN59" t="s" s="0">
        <v>211</v>
      </c>
      <c r="AO59" t="s" s="0">
        <v>316</v>
      </c>
      <c r="AP59" t="s" s="0">
        <v>191</v>
      </c>
      <c r="AQ59" t="s" s="0">
        <v>284</v>
      </c>
      <c r="AR59" t="s" s="0">
        <v>285</v>
      </c>
      <c r="AS59" t="s" s="0">
        <v>286</v>
      </c>
      <c r="AT59" t="s" s="0">
        <v>81</v>
      </c>
      <c r="AU59" t="s" s="0">
        <v>287</v>
      </c>
      <c r="AV59" t="s" s="0">
        <v>81</v>
      </c>
      <c r="AW59" t="s" s="0">
        <v>279</v>
      </c>
      <c r="AX59" t="s" s="0">
        <v>288</v>
      </c>
      <c r="AY59" t="s" s="0">
        <v>1636</v>
      </c>
      <c r="AZ59" t="s" s="0">
        <v>290</v>
      </c>
      <c r="BA59" t="s" s="0">
        <v>291</v>
      </c>
      <c r="BB59" t="s" s="0">
        <v>261</v>
      </c>
      <c r="BC59" t="s" s="0">
        <v>81</v>
      </c>
      <c r="BD59" t="s" s="0">
        <v>81</v>
      </c>
      <c r="BE59" t="s" s="0">
        <v>81</v>
      </c>
      <c r="BF59" t="s" s="0">
        <v>81</v>
      </c>
      <c r="BG59" t="s" s="0">
        <v>81</v>
      </c>
      <c r="BH59" t="s" s="0">
        <v>81</v>
      </c>
      <c r="BI59" t="s" s="0">
        <v>1637</v>
      </c>
      <c r="BJ59" t="s" s="0">
        <v>1638</v>
      </c>
      <c r="BK59" t="s" s="115">
        <f>HYPERLINK("http://dx.doi.org/10.3390/diagnostics15091177","http://dx.doi.org/10.3390/diagnostics15091177")</f>
        <v>1639</v>
      </c>
      <c r="BL59" t="s" s="0">
        <v>81</v>
      </c>
      <c r="BM59" t="s" s="0">
        <v>81</v>
      </c>
      <c r="BN59" t="s" s="0">
        <v>150</v>
      </c>
      <c r="BO59" t="s" s="0">
        <v>296</v>
      </c>
      <c r="BP59" t="s" s="0">
        <v>297</v>
      </c>
      <c r="BQ59" t="s" s="0">
        <v>1640</v>
      </c>
      <c r="BR59" t="s" s="0">
        <v>1641</v>
      </c>
      <c r="BS59" t="s" s="0">
        <v>1642</v>
      </c>
      <c r="BT59" t="s" s="116">
        <f>HYPERLINK("https://www.webofscience.com/wos/woscc/full-record/WOS:001486340600001","View Record in Web of Science")</f>
        <v>114</v>
      </c>
      <c r="BU59" t="s" s="0">
        <v>301</v>
      </c>
      <c r="BV59" t="s" s="0">
        <v>81</v>
      </c>
      <c r="BW59" t="s" s="0">
        <v>81</v>
      </c>
      <c r="BX59" t="s" s="0">
        <v>116</v>
      </c>
    </row>
    <row r="60">
      <c r="A60" t="s" s="0">
        <v>77</v>
      </c>
      <c r="B60" t="s" s="0">
        <v>77</v>
      </c>
      <c r="C60" t="s" s="0">
        <v>77</v>
      </c>
      <c r="D60" t="s" s="0">
        <v>77</v>
      </c>
      <c r="E60" t="s" s="0">
        <v>1643</v>
      </c>
      <c r="F60" t="s" s="0">
        <v>1644</v>
      </c>
      <c r="G60" t="s" s="0">
        <v>1645</v>
      </c>
      <c r="H60" t="s" s="0">
        <v>81</v>
      </c>
      <c r="I60" t="s" s="0">
        <v>528</v>
      </c>
      <c r="J60" t="s" s="0">
        <v>1646</v>
      </c>
      <c r="K60" t="s" s="0">
        <v>1647</v>
      </c>
      <c r="L60" t="s" s="0">
        <v>81</v>
      </c>
      <c r="M60" t="s" s="0">
        <v>81</v>
      </c>
      <c r="N60" t="s" s="0">
        <v>81</v>
      </c>
      <c r="O60" t="s" s="0">
        <v>1648</v>
      </c>
      <c r="P60" t="s" s="0">
        <v>81</v>
      </c>
      <c r="Q60" t="s" s="0">
        <v>87</v>
      </c>
      <c r="R60" t="s" s="0">
        <v>81</v>
      </c>
      <c r="S60" t="s" s="0">
        <v>81</v>
      </c>
      <c r="T60" t="s" s="0">
        <v>81</v>
      </c>
      <c r="U60" t="s" s="0">
        <v>81</v>
      </c>
      <c r="V60" t="s" s="0">
        <v>1649</v>
      </c>
      <c r="W60" t="s" s="0">
        <v>1650</v>
      </c>
      <c r="X60" t="s" s="0">
        <v>81</v>
      </c>
      <c r="Y60" t="s" s="0">
        <v>81</v>
      </c>
      <c r="Z60" t="s" s="0">
        <v>90</v>
      </c>
      <c r="AA60" t="s" s="0">
        <v>91</v>
      </c>
      <c r="AB60" t="s" s="0">
        <v>81</v>
      </c>
      <c r="AC60" t="s" s="0">
        <v>81</v>
      </c>
      <c r="AD60" t="s" s="0">
        <v>81</v>
      </c>
      <c r="AE60" t="s" s="0">
        <v>81</v>
      </c>
      <c r="AF60" t="s" s="0">
        <v>81</v>
      </c>
      <c r="AG60" t="s" s="0">
        <v>1651</v>
      </c>
      <c r="AH60" t="s" s="0">
        <v>1652</v>
      </c>
      <c r="AI60" t="s" s="0">
        <v>81</v>
      </c>
      <c r="AJ60" t="s" s="0">
        <v>81</v>
      </c>
      <c r="AK60" t="s" s="0">
        <v>81</v>
      </c>
      <c r="AL60" t="s" s="0">
        <v>1653</v>
      </c>
      <c r="AM60" t="s" s="0">
        <v>77</v>
      </c>
      <c r="AN60" t="s" s="0">
        <v>77</v>
      </c>
      <c r="AO60" t="s" s="0">
        <v>77</v>
      </c>
      <c r="AP60" t="s" s="0">
        <v>77</v>
      </c>
      <c r="AQ60" t="s" s="0">
        <v>1654</v>
      </c>
      <c r="AR60" t="s" s="0">
        <v>1345</v>
      </c>
      <c r="AS60" t="s" s="0">
        <v>1655</v>
      </c>
      <c r="AT60" t="s" s="0">
        <v>1656</v>
      </c>
      <c r="AU60" t="s" s="0">
        <v>81</v>
      </c>
      <c r="AV60" t="s" s="0">
        <v>81</v>
      </c>
      <c r="AW60" t="s" s="0">
        <v>1657</v>
      </c>
      <c r="AX60" t="s" s="0">
        <v>1658</v>
      </c>
      <c r="AY60" t="s" s="0">
        <v>1659</v>
      </c>
      <c r="AZ60" t="s" s="0">
        <v>103</v>
      </c>
      <c r="BA60" t="s" s="0">
        <v>486</v>
      </c>
      <c r="BB60" t="s" s="0">
        <v>97</v>
      </c>
      <c r="BC60" t="s" s="0">
        <v>81</v>
      </c>
      <c r="BD60" t="s" s="0">
        <v>81</v>
      </c>
      <c r="BE60" t="s" s="0">
        <v>81</v>
      </c>
      <c r="BF60" t="s" s="0">
        <v>81</v>
      </c>
      <c r="BG60" t="s" s="0">
        <v>81</v>
      </c>
      <c r="BH60" t="s" s="0">
        <v>81</v>
      </c>
      <c r="BI60" t="s" s="0">
        <v>1660</v>
      </c>
      <c r="BJ60" t="s" s="0">
        <v>1661</v>
      </c>
      <c r="BK60" t="s" s="117">
        <f>HYPERLINK("http://dx.doi.org/10.1093/jlb/lsag003","http://dx.doi.org/10.1093/jlb/lsag003")</f>
        <v>1662</v>
      </c>
      <c r="BL60" t="s" s="0">
        <v>81</v>
      </c>
      <c r="BM60" t="s" s="0">
        <v>81</v>
      </c>
      <c r="BN60" t="s" s="0">
        <v>1442</v>
      </c>
      <c r="BO60" t="s" s="0">
        <v>1663</v>
      </c>
      <c r="BP60" t="s" s="0">
        <v>1664</v>
      </c>
      <c r="BQ60" t="s" s="0">
        <v>1665</v>
      </c>
      <c r="BR60" t="s" s="0">
        <v>1666</v>
      </c>
      <c r="BS60" t="s" s="0">
        <v>1667</v>
      </c>
      <c r="BT60" t="s" s="118">
        <f>HYPERLINK("https://www.webofscience.com/wos/woscc/full-record/WOS:001788051100001","View Record in Web of Science")</f>
        <v>114</v>
      </c>
      <c r="BU60" t="s" s="0">
        <v>301</v>
      </c>
      <c r="BV60" t="s" s="0">
        <v>81</v>
      </c>
      <c r="BW60" t="s" s="0">
        <v>81</v>
      </c>
      <c r="BX60" t="s" s="0">
        <v>116</v>
      </c>
    </row>
    <row r="61">
      <c r="A61" t="s" s="0">
        <v>77</v>
      </c>
      <c r="B61" t="s" s="0">
        <v>77</v>
      </c>
      <c r="C61" t="s" s="0">
        <v>77</v>
      </c>
      <c r="D61" t="s" s="0">
        <v>77</v>
      </c>
      <c r="E61" t="s" s="0">
        <v>1668</v>
      </c>
      <c r="F61" t="s" s="0">
        <v>1669</v>
      </c>
      <c r="G61" t="s" s="0">
        <v>1670</v>
      </c>
      <c r="H61" t="s" s="0">
        <v>81</v>
      </c>
      <c r="I61" t="s" s="0">
        <v>82</v>
      </c>
      <c r="J61" t="s" s="0">
        <v>1671</v>
      </c>
      <c r="K61" t="s" s="0">
        <v>1672</v>
      </c>
      <c r="L61" t="s" s="0">
        <v>81</v>
      </c>
      <c r="M61" t="s" s="0">
        <v>81</v>
      </c>
      <c r="N61" t="s" s="0">
        <v>81</v>
      </c>
      <c r="O61" t="s" s="0">
        <v>1673</v>
      </c>
      <c r="P61" t="s" s="0">
        <v>81</v>
      </c>
      <c r="Q61" t="s" s="0">
        <v>87</v>
      </c>
      <c r="R61" t="s" s="0">
        <v>81</v>
      </c>
      <c r="S61" t="s" s="0">
        <v>81</v>
      </c>
      <c r="T61" t="s" s="0">
        <v>81</v>
      </c>
      <c r="U61" t="s" s="0">
        <v>81</v>
      </c>
      <c r="V61" t="s" s="0">
        <v>1674</v>
      </c>
      <c r="W61" t="s" s="0">
        <v>1675</v>
      </c>
      <c r="X61" t="s" s="0">
        <v>81</v>
      </c>
      <c r="Y61" t="s" s="0">
        <v>81</v>
      </c>
      <c r="Z61" t="s" s="0">
        <v>90</v>
      </c>
      <c r="AA61" t="s" s="0">
        <v>91</v>
      </c>
      <c r="AB61" t="s" s="0">
        <v>81</v>
      </c>
      <c r="AC61" t="s" s="0">
        <v>81</v>
      </c>
      <c r="AD61" t="s" s="0">
        <v>81</v>
      </c>
      <c r="AE61" t="s" s="0">
        <v>81</v>
      </c>
      <c r="AF61" t="s" s="0">
        <v>81</v>
      </c>
      <c r="AG61" t="s" s="0">
        <v>1676</v>
      </c>
      <c r="AH61" t="s" s="0">
        <v>81</v>
      </c>
      <c r="AI61" t="s" s="0">
        <v>81</v>
      </c>
      <c r="AJ61" t="s" s="0">
        <v>81</v>
      </c>
      <c r="AK61" t="s" s="0">
        <v>81</v>
      </c>
      <c r="AL61" t="s" s="0">
        <v>291</v>
      </c>
      <c r="AM61" t="s" s="0">
        <v>97</v>
      </c>
      <c r="AN61" t="s" s="0">
        <v>97</v>
      </c>
      <c r="AO61" t="s" s="0">
        <v>175</v>
      </c>
      <c r="AP61" t="s" s="0">
        <v>175</v>
      </c>
      <c r="AQ61" t="s" s="0">
        <v>1677</v>
      </c>
      <c r="AR61" t="s" s="0">
        <v>1678</v>
      </c>
      <c r="AS61" t="s" s="0">
        <v>1679</v>
      </c>
      <c r="AT61" t="s" s="0">
        <v>1680</v>
      </c>
      <c r="AU61" t="s" s="0">
        <v>1681</v>
      </c>
      <c r="AV61" t="s" s="0">
        <v>81</v>
      </c>
      <c r="AW61" t="s" s="0">
        <v>1682</v>
      </c>
      <c r="AX61" t="s" s="0">
        <v>1683</v>
      </c>
      <c r="AY61" t="s" s="0">
        <v>103</v>
      </c>
      <c r="AZ61" t="s" s="0">
        <v>103</v>
      </c>
      <c r="BA61" t="s" s="0">
        <v>1684</v>
      </c>
      <c r="BB61" t="s" s="0">
        <v>97</v>
      </c>
      <c r="BC61" t="s" s="0">
        <v>81</v>
      </c>
      <c r="BD61" t="s" s="0">
        <v>81</v>
      </c>
      <c r="BE61" t="s" s="0">
        <v>81</v>
      </c>
      <c r="BF61" t="s" s="0">
        <v>81</v>
      </c>
      <c r="BG61" t="s" s="0">
        <v>1685</v>
      </c>
      <c r="BH61" t="s" s="0">
        <v>1686</v>
      </c>
      <c r="BI61" t="s" s="0">
        <v>81</v>
      </c>
      <c r="BJ61" t="s" s="0">
        <v>1687</v>
      </c>
      <c r="BK61" t="s" s="119">
        <f>HYPERLINK("http://dx.doi.org/10.4415/ANN_26_01_11","http://dx.doi.org/10.4415/ANN_26_01_11")</f>
        <v>1688</v>
      </c>
      <c r="BL61" t="s" s="0">
        <v>81</v>
      </c>
      <c r="BM61" t="s" s="0">
        <v>81</v>
      </c>
      <c r="BN61" t="s" s="0">
        <v>486</v>
      </c>
      <c r="BO61" t="s" s="0">
        <v>850</v>
      </c>
      <c r="BP61" t="s" s="0">
        <v>850</v>
      </c>
      <c r="BQ61" t="s" s="0">
        <v>1689</v>
      </c>
      <c r="BR61" t="s" s="0">
        <v>1690</v>
      </c>
      <c r="BS61" t="s" s="0">
        <v>1691</v>
      </c>
      <c r="BT61" t="s" s="120">
        <f>HYPERLINK("https://www.webofscience.com/wos/woscc/full-record/WOS:001730891500011","View Record in Web of Science")</f>
        <v>114</v>
      </c>
      <c r="BU61" t="s" s="0">
        <v>81</v>
      </c>
      <c r="BV61" t="s" s="0">
        <v>81</v>
      </c>
      <c r="BW61" t="s" s="0">
        <v>81</v>
      </c>
      <c r="BX61" t="s" s="0">
        <v>116</v>
      </c>
    </row>
    <row r="62">
      <c r="A62" t="s" s="0">
        <v>97</v>
      </c>
      <c r="B62" t="s" s="0">
        <v>77</v>
      </c>
      <c r="C62" t="s" s="0">
        <v>77</v>
      </c>
      <c r="D62" t="s" s="0">
        <v>77</v>
      </c>
      <c r="E62" t="s" s="0">
        <v>1692</v>
      </c>
      <c r="F62" t="s" s="0">
        <v>1693</v>
      </c>
      <c r="G62" t="s" s="0">
        <v>1694</v>
      </c>
      <c r="H62" t="s" s="0">
        <v>81</v>
      </c>
      <c r="I62" t="s" s="0">
        <v>82</v>
      </c>
      <c r="J62" t="s" s="0">
        <v>1695</v>
      </c>
      <c r="K62" t="s" s="0">
        <v>1696</v>
      </c>
      <c r="L62" t="s" s="0">
        <v>1697</v>
      </c>
      <c r="M62" t="s" s="0">
        <v>1697</v>
      </c>
      <c r="N62" t="s" s="0">
        <v>335</v>
      </c>
      <c r="O62" t="s" s="0">
        <v>1698</v>
      </c>
      <c r="P62" t="s" s="0">
        <v>1699</v>
      </c>
      <c r="Q62" t="s" s="0">
        <v>87</v>
      </c>
      <c r="R62" t="s" s="0">
        <v>81</v>
      </c>
      <c r="S62" t="s" s="0">
        <v>81</v>
      </c>
      <c r="T62" t="s" s="0">
        <v>81</v>
      </c>
      <c r="U62" t="s" s="0">
        <v>81</v>
      </c>
      <c r="V62" t="s" s="0">
        <v>1700</v>
      </c>
      <c r="W62" t="s" s="0">
        <v>1701</v>
      </c>
      <c r="X62" t="s" s="0">
        <v>81</v>
      </c>
      <c r="Y62" t="s" s="0">
        <v>81</v>
      </c>
      <c r="Z62" t="s" s="0">
        <v>90</v>
      </c>
      <c r="AA62" t="s" s="0">
        <v>91</v>
      </c>
      <c r="AB62" t="s" s="0">
        <v>81</v>
      </c>
      <c r="AC62" t="s" s="0">
        <v>81</v>
      </c>
      <c r="AD62" t="s" s="0">
        <v>81</v>
      </c>
      <c r="AE62" t="s" s="0">
        <v>81</v>
      </c>
      <c r="AF62" t="s" s="0">
        <v>81</v>
      </c>
      <c r="AG62" t="s" s="0">
        <v>1702</v>
      </c>
      <c r="AH62" t="s" s="0">
        <v>1703</v>
      </c>
      <c r="AI62" t="s" s="0">
        <v>1704</v>
      </c>
      <c r="AJ62" t="s" s="0">
        <v>1705</v>
      </c>
      <c r="AK62" t="s" s="0">
        <v>81</v>
      </c>
      <c r="AL62" t="s" s="0">
        <v>1706</v>
      </c>
      <c r="AM62" t="s" s="0">
        <v>104</v>
      </c>
      <c r="AN62" t="s" s="0">
        <v>925</v>
      </c>
      <c r="AO62" t="s" s="0">
        <v>175</v>
      </c>
      <c r="AP62" t="s" s="0">
        <v>252</v>
      </c>
      <c r="AQ62" t="s" s="0">
        <v>212</v>
      </c>
      <c r="AR62" t="s" s="0">
        <v>429</v>
      </c>
      <c r="AS62" t="s" s="0">
        <v>784</v>
      </c>
      <c r="AT62" t="s" s="0">
        <v>1707</v>
      </c>
      <c r="AU62" t="s" s="0">
        <v>1708</v>
      </c>
      <c r="AV62" t="s" s="0">
        <v>81</v>
      </c>
      <c r="AW62" t="s" s="0">
        <v>1709</v>
      </c>
      <c r="AX62" t="s" s="0">
        <v>1710</v>
      </c>
      <c r="AY62" t="s" s="0">
        <v>184</v>
      </c>
      <c r="AZ62" t="s" s="0">
        <v>185</v>
      </c>
      <c r="BA62" t="s" s="0">
        <v>135</v>
      </c>
      <c r="BB62" t="s" s="0">
        <v>196</v>
      </c>
      <c r="BC62" t="s" s="0">
        <v>81</v>
      </c>
      <c r="BD62" t="s" s="0">
        <v>81</v>
      </c>
      <c r="BE62" t="s" s="0">
        <v>81</v>
      </c>
      <c r="BF62" t="s" s="0">
        <v>81</v>
      </c>
      <c r="BG62" t="s" s="0">
        <v>1711</v>
      </c>
      <c r="BH62" t="s" s="0">
        <v>1712</v>
      </c>
      <c r="BI62" t="s" s="0">
        <v>81</v>
      </c>
      <c r="BJ62" t="s" s="0">
        <v>1713</v>
      </c>
      <c r="BK62" t="s" s="121">
        <f>HYPERLINK("http://dx.doi.org/10.1007/s10207-024-00813-3","http://dx.doi.org/10.1007/s10207-024-00813-3")</f>
        <v>1714</v>
      </c>
      <c r="BL62" t="s" s="0">
        <v>81</v>
      </c>
      <c r="BM62" t="s" s="0">
        <v>514</v>
      </c>
      <c r="BN62" t="s" s="0">
        <v>176</v>
      </c>
      <c r="BO62" t="s" s="0">
        <v>1715</v>
      </c>
      <c r="BP62" t="s" s="0">
        <v>152</v>
      </c>
      <c r="BQ62" t="s" s="0">
        <v>1716</v>
      </c>
      <c r="BR62" t="s" s="0">
        <v>81</v>
      </c>
      <c r="BS62" t="s" s="0">
        <v>1717</v>
      </c>
      <c r="BT62" t="s" s="122">
        <f>HYPERLINK("https://www.webofscience.com/wos/woscc/full-record/WOS:001196357600001","View Record in Web of Science")</f>
        <v>114</v>
      </c>
      <c r="BU62" t="s" s="0">
        <v>155</v>
      </c>
      <c r="BV62" t="s" s="0">
        <v>81</v>
      </c>
      <c r="BW62" t="s" s="0">
        <v>81</v>
      </c>
      <c r="BX62" t="s" s="0">
        <v>116</v>
      </c>
    </row>
    <row r="63">
      <c r="A63" t="s" s="0">
        <v>77</v>
      </c>
      <c r="B63" t="s" s="0">
        <v>77</v>
      </c>
      <c r="C63" t="s" s="0">
        <v>97</v>
      </c>
      <c r="D63" t="s" s="0">
        <v>77</v>
      </c>
      <c r="E63" t="s" s="0">
        <v>1718</v>
      </c>
      <c r="F63" t="s" s="0">
        <v>1719</v>
      </c>
      <c r="G63" t="s" s="0">
        <v>1720</v>
      </c>
      <c r="H63" t="s" s="0">
        <v>81</v>
      </c>
      <c r="I63" t="s" s="0">
        <v>82</v>
      </c>
      <c r="J63" t="s" s="0">
        <v>1721</v>
      </c>
      <c r="K63" t="s" s="0">
        <v>1722</v>
      </c>
      <c r="L63" t="s" s="0">
        <v>1723</v>
      </c>
      <c r="M63" t="s" s="0">
        <v>1724</v>
      </c>
      <c r="N63" t="s" s="0">
        <v>1725</v>
      </c>
      <c r="O63" t="s" s="0">
        <v>1726</v>
      </c>
      <c r="P63" t="s" s="0">
        <v>1727</v>
      </c>
      <c r="Q63" t="s" s="0">
        <v>87</v>
      </c>
      <c r="R63" t="s" s="0">
        <v>81</v>
      </c>
      <c r="S63" t="s" s="0">
        <v>81</v>
      </c>
      <c r="T63" t="s" s="0">
        <v>81</v>
      </c>
      <c r="U63" t="s" s="0">
        <v>81</v>
      </c>
      <c r="V63" t="s" s="0">
        <v>1728</v>
      </c>
      <c r="W63" t="s" s="0">
        <v>1729</v>
      </c>
      <c r="X63" t="s" s="0">
        <v>81</v>
      </c>
      <c r="Y63" t="s" s="0">
        <v>81</v>
      </c>
      <c r="Z63" t="s" s="0">
        <v>90</v>
      </c>
      <c r="AA63" t="s" s="0">
        <v>91</v>
      </c>
      <c r="AB63" t="s" s="0">
        <v>81</v>
      </c>
      <c r="AC63" t="s" s="0">
        <v>81</v>
      </c>
      <c r="AD63" t="s" s="0">
        <v>81</v>
      </c>
      <c r="AE63" t="s" s="0">
        <v>81</v>
      </c>
      <c r="AF63" t="s" s="0">
        <v>81</v>
      </c>
      <c r="AG63" t="s" s="0">
        <v>81</v>
      </c>
      <c r="AH63" t="s" s="0">
        <v>1730</v>
      </c>
      <c r="AI63" t="s" s="0">
        <v>1731</v>
      </c>
      <c r="AJ63" t="s" s="0">
        <v>1732</v>
      </c>
      <c r="AK63" t="s" s="0">
        <v>81</v>
      </c>
      <c r="AL63" t="s" s="0">
        <v>782</v>
      </c>
      <c r="AM63" t="s" s="0">
        <v>97</v>
      </c>
      <c r="AN63" t="s" s="0">
        <v>97</v>
      </c>
      <c r="AO63" t="s" s="0">
        <v>196</v>
      </c>
      <c r="AP63" t="s" s="0">
        <v>196</v>
      </c>
      <c r="AQ63" t="s" s="0">
        <v>1733</v>
      </c>
      <c r="AR63" t="s" s="0">
        <v>1734</v>
      </c>
      <c r="AS63" t="s" s="0">
        <v>1735</v>
      </c>
      <c r="AT63" t="s" s="0">
        <v>1736</v>
      </c>
      <c r="AU63" t="s" s="0">
        <v>81</v>
      </c>
      <c r="AV63" t="s" s="0">
        <v>81</v>
      </c>
      <c r="AW63" t="s" s="0">
        <v>1729</v>
      </c>
      <c r="AX63" t="s" s="0">
        <v>1737</v>
      </c>
      <c r="AY63" t="s" s="0">
        <v>1738</v>
      </c>
      <c r="AZ63" t="s" s="0">
        <v>290</v>
      </c>
      <c r="BA63" t="s" s="0">
        <v>211</v>
      </c>
      <c r="BB63" t="s" s="0">
        <v>696</v>
      </c>
      <c r="BC63" t="s" s="0">
        <v>81</v>
      </c>
      <c r="BD63" t="s" s="0">
        <v>81</v>
      </c>
      <c r="BE63" t="s" s="0">
        <v>81</v>
      </c>
      <c r="BF63" t="s" s="0">
        <v>81</v>
      </c>
      <c r="BG63" t="s" s="0">
        <v>1739</v>
      </c>
      <c r="BH63" t="s" s="0">
        <v>1740</v>
      </c>
      <c r="BI63" t="s" s="0">
        <v>81</v>
      </c>
      <c r="BJ63" t="s" s="0">
        <v>1741</v>
      </c>
      <c r="BK63" t="s" s="123">
        <f>HYPERLINK("http://dx.doi.org/10.1021/acsomega.5c07750","http://dx.doi.org/10.1021/acsomega.5c07750")</f>
        <v>1742</v>
      </c>
      <c r="BL63" t="s" s="0">
        <v>81</v>
      </c>
      <c r="BM63" t="s" s="0">
        <v>1743</v>
      </c>
      <c r="BN63" t="s" s="0">
        <v>291</v>
      </c>
      <c r="BO63" t="s" s="0">
        <v>1744</v>
      </c>
      <c r="BP63" t="s" s="0">
        <v>1745</v>
      </c>
      <c r="BQ63" t="s" s="0">
        <v>1746</v>
      </c>
      <c r="BR63" t="s" s="0">
        <v>1747</v>
      </c>
      <c r="BS63" t="s" s="0">
        <v>1748</v>
      </c>
      <c r="BT63" t="s" s="124">
        <f>HYPERLINK("https://www.webofscience.com/wos/woscc/full-record/WOS:001617316000001","View Record in Web of Science")</f>
        <v>114</v>
      </c>
      <c r="BU63" t="s" s="0">
        <v>301</v>
      </c>
      <c r="BV63" t="s" s="0">
        <v>81</v>
      </c>
      <c r="BW63" t="s" s="0">
        <v>81</v>
      </c>
      <c r="BX63" t="s" s="0">
        <v>116</v>
      </c>
    </row>
    <row r="64">
      <c r="A64" t="s" s="0">
        <v>77</v>
      </c>
      <c r="B64" t="s" s="0">
        <v>77</v>
      </c>
      <c r="C64" t="s" s="0">
        <v>133</v>
      </c>
      <c r="D64" t="s" s="0">
        <v>77</v>
      </c>
      <c r="E64" t="s" s="0">
        <v>1749</v>
      </c>
      <c r="F64" t="s" s="0">
        <v>1750</v>
      </c>
      <c r="G64" t="s" s="0">
        <v>1751</v>
      </c>
      <c r="H64" t="s" s="0">
        <v>81</v>
      </c>
      <c r="I64" t="s" s="0">
        <v>82</v>
      </c>
      <c r="J64" t="s" s="0">
        <v>1752</v>
      </c>
      <c r="K64" t="s" s="0">
        <v>1753</v>
      </c>
      <c r="L64" t="s" s="0">
        <v>1754</v>
      </c>
      <c r="M64" t="s" s="0">
        <v>833</v>
      </c>
      <c r="N64" t="s" s="0">
        <v>1755</v>
      </c>
      <c r="O64" t="s" s="0">
        <v>1756</v>
      </c>
      <c r="P64" t="s" s="0">
        <v>1757</v>
      </c>
      <c r="Q64" t="s" s="0">
        <v>87</v>
      </c>
      <c r="R64" t="s" s="0">
        <v>81</v>
      </c>
      <c r="S64" t="s" s="0">
        <v>81</v>
      </c>
      <c r="T64" t="s" s="0">
        <v>81</v>
      </c>
      <c r="U64" t="s" s="0">
        <v>81</v>
      </c>
      <c r="V64" t="s" s="0">
        <v>1758</v>
      </c>
      <c r="W64" t="s" s="0">
        <v>910</v>
      </c>
      <c r="X64" t="s" s="0">
        <v>81</v>
      </c>
      <c r="Y64" t="s" s="0">
        <v>81</v>
      </c>
      <c r="Z64" t="s" s="0">
        <v>90</v>
      </c>
      <c r="AA64" t="s" s="0">
        <v>91</v>
      </c>
      <c r="AB64" t="s" s="0">
        <v>81</v>
      </c>
      <c r="AC64" t="s" s="0">
        <v>81</v>
      </c>
      <c r="AD64" t="s" s="0">
        <v>81</v>
      </c>
      <c r="AE64" t="s" s="0">
        <v>81</v>
      </c>
      <c r="AF64" t="s" s="0">
        <v>81</v>
      </c>
      <c r="AG64" t="s" s="0">
        <v>1759</v>
      </c>
      <c r="AH64" t="s" s="0">
        <v>1760</v>
      </c>
      <c r="AI64" t="s" s="0">
        <v>1761</v>
      </c>
      <c r="AJ64" t="s" s="0">
        <v>81</v>
      </c>
      <c r="AK64" t="s" s="0">
        <v>81</v>
      </c>
      <c r="AL64" t="s" s="0">
        <v>1762</v>
      </c>
      <c r="AM64" t="s" s="0">
        <v>191</v>
      </c>
      <c r="AN64" t="s" s="0">
        <v>134</v>
      </c>
      <c r="AO64" t="s" s="0">
        <v>175</v>
      </c>
      <c r="AP64" t="s" s="0">
        <v>234</v>
      </c>
      <c r="AQ64" t="s" s="0">
        <v>915</v>
      </c>
      <c r="AR64" t="s" s="0">
        <v>916</v>
      </c>
      <c r="AS64" t="s" s="0">
        <v>917</v>
      </c>
      <c r="AT64" t="s" s="0">
        <v>918</v>
      </c>
      <c r="AU64" t="s" s="0">
        <v>81</v>
      </c>
      <c r="AV64" t="s" s="0">
        <v>81</v>
      </c>
      <c r="AW64" t="s" s="0">
        <v>919</v>
      </c>
      <c r="AX64" t="s" s="0">
        <v>920</v>
      </c>
      <c r="AY64" t="s" s="0">
        <v>1763</v>
      </c>
      <c r="AZ64" t="s" s="0">
        <v>290</v>
      </c>
      <c r="BA64" t="s" s="0">
        <v>291</v>
      </c>
      <c r="BB64" t="s" s="0">
        <v>97</v>
      </c>
      <c r="BC64" t="s" s="0">
        <v>81</v>
      </c>
      <c r="BD64" t="s" s="0">
        <v>81</v>
      </c>
      <c r="BE64" t="s" s="0">
        <v>81</v>
      </c>
      <c r="BF64" t="s" s="0">
        <v>81</v>
      </c>
      <c r="BG64" t="s" s="0">
        <v>81</v>
      </c>
      <c r="BH64" t="s" s="0">
        <v>81</v>
      </c>
      <c r="BI64" t="s" s="0">
        <v>1764</v>
      </c>
      <c r="BJ64" t="s" s="0">
        <v>1765</v>
      </c>
      <c r="BK64" t="s" s="125">
        <f>HYPERLINK("http://dx.doi.org/10.1038/s41598-025-14901-4","http://dx.doi.org/10.1038/s41598-025-14901-4")</f>
        <v>1766</v>
      </c>
      <c r="BL64" t="s" s="0">
        <v>81</v>
      </c>
      <c r="BM64" t="s" s="0">
        <v>81</v>
      </c>
      <c r="BN64" t="s" s="0">
        <v>291</v>
      </c>
      <c r="BO64" t="s" s="0">
        <v>926</v>
      </c>
      <c r="BP64" t="s" s="0">
        <v>927</v>
      </c>
      <c r="BQ64" t="s" s="0">
        <v>1767</v>
      </c>
      <c r="BR64" t="s" s="0">
        <v>1768</v>
      </c>
      <c r="BS64" t="s" s="0">
        <v>1769</v>
      </c>
      <c r="BT64" t="s" s="126">
        <f>HYPERLINK("https://www.webofscience.com/wos/woscc/full-record/WOS:001548663100035","View Record in Web of Science")</f>
        <v>114</v>
      </c>
      <c r="BU64" t="s" s="0">
        <v>301</v>
      </c>
      <c r="BV64" t="s" s="0">
        <v>81</v>
      </c>
      <c r="BW64" t="s" s="0">
        <v>81</v>
      </c>
      <c r="BX64" t="s" s="0">
        <v>116</v>
      </c>
    </row>
    <row r="65">
      <c r="A65" t="s" s="0">
        <v>77</v>
      </c>
      <c r="B65" t="s" s="0">
        <v>77</v>
      </c>
      <c r="C65" t="s" s="0">
        <v>77</v>
      </c>
      <c r="D65" t="s" s="0">
        <v>77</v>
      </c>
      <c r="E65" t="s" s="0">
        <v>1770</v>
      </c>
      <c r="F65" t="s" s="0">
        <v>1771</v>
      </c>
      <c r="G65" t="s" s="0">
        <v>1772</v>
      </c>
      <c r="H65" t="s" s="0">
        <v>81</v>
      </c>
      <c r="I65" t="s" s="0">
        <v>82</v>
      </c>
      <c r="J65" t="s" s="0">
        <v>1773</v>
      </c>
      <c r="K65" t="s" s="0">
        <v>1774</v>
      </c>
      <c r="L65" t="s" s="0">
        <v>81</v>
      </c>
      <c r="M65" t="s" s="0">
        <v>81</v>
      </c>
      <c r="N65" t="s" s="0">
        <v>81</v>
      </c>
      <c r="O65" t="s" s="0">
        <v>1775</v>
      </c>
      <c r="P65" t="s" s="0">
        <v>1776</v>
      </c>
      <c r="Q65" t="s" s="0">
        <v>87</v>
      </c>
      <c r="R65" t="s" s="0">
        <v>81</v>
      </c>
      <c r="S65" t="s" s="0">
        <v>81</v>
      </c>
      <c r="T65" t="s" s="0">
        <v>81</v>
      </c>
      <c r="U65" t="s" s="0">
        <v>81</v>
      </c>
      <c r="V65" t="s" s="0">
        <v>1777</v>
      </c>
      <c r="W65" t="s" s="0">
        <v>1778</v>
      </c>
      <c r="X65" t="s" s="0">
        <v>81</v>
      </c>
      <c r="Y65" t="s" s="0">
        <v>81</v>
      </c>
      <c r="Z65" t="s" s="0">
        <v>90</v>
      </c>
      <c r="AA65" t="s" s="0">
        <v>91</v>
      </c>
      <c r="AB65" t="s" s="0">
        <v>81</v>
      </c>
      <c r="AC65" t="s" s="0">
        <v>81</v>
      </c>
      <c r="AD65" t="s" s="0">
        <v>81</v>
      </c>
      <c r="AE65" t="s" s="0">
        <v>81</v>
      </c>
      <c r="AF65" t="s" s="0">
        <v>81</v>
      </c>
      <c r="AG65" t="s" s="0">
        <v>1779</v>
      </c>
      <c r="AH65" t="s" s="0">
        <v>1780</v>
      </c>
      <c r="AI65" t="s" s="0">
        <v>1781</v>
      </c>
      <c r="AJ65" t="s" s="0">
        <v>81</v>
      </c>
      <c r="AK65" t="s" s="0">
        <v>81</v>
      </c>
      <c r="AL65" t="s" s="0">
        <v>1374</v>
      </c>
      <c r="AM65" t="s" s="0">
        <v>97</v>
      </c>
      <c r="AN65" t="s" s="0">
        <v>97</v>
      </c>
      <c r="AO65" t="s" s="0">
        <v>156</v>
      </c>
      <c r="AP65" t="s" s="0">
        <v>234</v>
      </c>
      <c r="AQ65" t="s" s="0">
        <v>136</v>
      </c>
      <c r="AR65" t="s" s="0">
        <v>137</v>
      </c>
      <c r="AS65" t="s" s="0">
        <v>138</v>
      </c>
      <c r="AT65" t="s" s="0">
        <v>1782</v>
      </c>
      <c r="AU65" t="s" s="0">
        <v>1783</v>
      </c>
      <c r="AV65" t="s" s="0">
        <v>81</v>
      </c>
      <c r="AW65" t="s" s="0">
        <v>1778</v>
      </c>
      <c r="AX65" t="s" s="0">
        <v>1784</v>
      </c>
      <c r="AY65" t="s" s="0">
        <v>149</v>
      </c>
      <c r="AZ65" t="s" s="0">
        <v>290</v>
      </c>
      <c r="BA65" t="s" s="0">
        <v>1785</v>
      </c>
      <c r="BB65" t="s" s="0">
        <v>81</v>
      </c>
      <c r="BC65" t="s" s="0">
        <v>81</v>
      </c>
      <c r="BD65" t="s" s="0">
        <v>81</v>
      </c>
      <c r="BE65" t="s" s="0">
        <v>81</v>
      </c>
      <c r="BF65" t="s" s="0">
        <v>81</v>
      </c>
      <c r="BG65" t="s" s="0">
        <v>1786</v>
      </c>
      <c r="BH65" t="s" s="0">
        <v>1787</v>
      </c>
      <c r="BI65" t="s" s="0">
        <v>81</v>
      </c>
      <c r="BJ65" t="s" s="0">
        <v>1788</v>
      </c>
      <c r="BK65" t="s" s="127">
        <f>HYPERLINK("http://dx.doi.org/10.1016/j.knee.2025.06.012","http://dx.doi.org/10.1016/j.knee.2025.06.012")</f>
        <v>1789</v>
      </c>
      <c r="BL65" t="s" s="0">
        <v>81</v>
      </c>
      <c r="BM65" t="s" s="0">
        <v>733</v>
      </c>
      <c r="BN65" t="s" s="0">
        <v>925</v>
      </c>
      <c r="BO65" t="s" s="0">
        <v>1790</v>
      </c>
      <c r="BP65" t="s" s="0">
        <v>1790</v>
      </c>
      <c r="BQ65" t="s" s="0">
        <v>1791</v>
      </c>
      <c r="BR65" t="s" s="0">
        <v>1792</v>
      </c>
      <c r="BS65" t="s" s="0">
        <v>1793</v>
      </c>
      <c r="BT65" t="s" s="128">
        <f>HYPERLINK("https://www.webofscience.com/wos/woscc/full-record/WOS:001528878700005","View Record in Web of Science")</f>
        <v>114</v>
      </c>
      <c r="BU65" t="s" s="0">
        <v>81</v>
      </c>
      <c r="BV65" t="s" s="0">
        <v>81</v>
      </c>
      <c r="BW65" t="s" s="0">
        <v>81</v>
      </c>
      <c r="BX65" t="s" s="0">
        <v>116</v>
      </c>
    </row>
    <row r="66">
      <c r="A66" t="s" s="0">
        <v>77</v>
      </c>
      <c r="B66" t="s" s="0">
        <v>77</v>
      </c>
      <c r="C66" t="s" s="0">
        <v>97</v>
      </c>
      <c r="D66" t="s" s="0">
        <v>77</v>
      </c>
      <c r="E66" t="s" s="0">
        <v>1794</v>
      </c>
      <c r="F66" t="s" s="0">
        <v>1795</v>
      </c>
      <c r="G66" t="s" s="0">
        <v>1796</v>
      </c>
      <c r="H66" t="s" s="0">
        <v>81</v>
      </c>
      <c r="I66" t="s" s="0">
        <v>82</v>
      </c>
      <c r="J66" t="s" s="0">
        <v>1797</v>
      </c>
      <c r="K66" t="s" s="0">
        <v>1798</v>
      </c>
      <c r="L66" t="s" s="0">
        <v>1799</v>
      </c>
      <c r="M66" t="s" s="0">
        <v>1800</v>
      </c>
      <c r="N66" t="s" s="0">
        <v>1801</v>
      </c>
      <c r="O66" t="s" s="0">
        <v>1802</v>
      </c>
      <c r="P66" t="s" s="0">
        <v>1803</v>
      </c>
      <c r="Q66" t="s" s="0">
        <v>87</v>
      </c>
      <c r="R66" t="s" s="0">
        <v>81</v>
      </c>
      <c r="S66" t="s" s="0">
        <v>81</v>
      </c>
      <c r="T66" t="s" s="0">
        <v>81</v>
      </c>
      <c r="U66" t="s" s="0">
        <v>81</v>
      </c>
      <c r="V66" t="s" s="0">
        <v>1804</v>
      </c>
      <c r="W66" t="s" s="0">
        <v>1805</v>
      </c>
      <c r="X66" t="s" s="0">
        <v>81</v>
      </c>
      <c r="Y66" t="s" s="0">
        <v>81</v>
      </c>
      <c r="Z66" t="s" s="0">
        <v>90</v>
      </c>
      <c r="AA66" t="s" s="0">
        <v>91</v>
      </c>
      <c r="AB66" t="s" s="0">
        <v>81</v>
      </c>
      <c r="AC66" t="s" s="0">
        <v>81</v>
      </c>
      <c r="AD66" t="s" s="0">
        <v>81</v>
      </c>
      <c r="AE66" t="s" s="0">
        <v>81</v>
      </c>
      <c r="AF66" t="s" s="0">
        <v>81</v>
      </c>
      <c r="AG66" t="s" s="0">
        <v>1806</v>
      </c>
      <c r="AH66" t="s" s="0">
        <v>81</v>
      </c>
      <c r="AI66" t="s" s="0">
        <v>1807</v>
      </c>
      <c r="AJ66" t="s" s="0">
        <v>1808</v>
      </c>
      <c r="AK66" t="s" s="0">
        <v>81</v>
      </c>
      <c r="AL66" t="s" s="0">
        <v>252</v>
      </c>
      <c r="AM66" t="s" s="0">
        <v>381</v>
      </c>
      <c r="AN66" t="s" s="0">
        <v>261</v>
      </c>
      <c r="AO66" t="s" s="0">
        <v>97</v>
      </c>
      <c r="AP66" t="s" s="0">
        <v>191</v>
      </c>
      <c r="AQ66" t="s" s="0">
        <v>1809</v>
      </c>
      <c r="AR66" t="s" s="0">
        <v>1810</v>
      </c>
      <c r="AS66" t="s" s="0">
        <v>1811</v>
      </c>
      <c r="AT66" t="s" s="0">
        <v>1812</v>
      </c>
      <c r="AU66" t="s" s="0">
        <v>1813</v>
      </c>
      <c r="AV66" t="s" s="0">
        <v>81</v>
      </c>
      <c r="AW66" t="s" s="0">
        <v>1814</v>
      </c>
      <c r="AX66" t="s" s="0">
        <v>1815</v>
      </c>
      <c r="AY66" t="s" s="0">
        <v>1816</v>
      </c>
      <c r="AZ66" t="s" s="0">
        <v>185</v>
      </c>
      <c r="BA66" t="s" s="0">
        <v>252</v>
      </c>
      <c r="BB66" t="s" s="0">
        <v>175</v>
      </c>
      <c r="BC66" t="s" s="0">
        <v>81</v>
      </c>
      <c r="BD66" t="s" s="0">
        <v>81</v>
      </c>
      <c r="BE66" t="s" s="0">
        <v>81</v>
      </c>
      <c r="BF66" t="s" s="0">
        <v>81</v>
      </c>
      <c r="BG66" t="s" s="0">
        <v>81</v>
      </c>
      <c r="BH66" t="s" s="0">
        <v>81</v>
      </c>
      <c r="BI66" t="s" s="0">
        <v>1817</v>
      </c>
      <c r="BJ66" t="s" s="0">
        <v>1818</v>
      </c>
      <c r="BK66" t="s" s="129">
        <f>HYPERLINK("http://dx.doi.org/10.1177/14604582241304730","http://dx.doi.org/10.1177/14604582241304730")</f>
        <v>1819</v>
      </c>
      <c r="BL66" t="s" s="0">
        <v>81</v>
      </c>
      <c r="BM66" t="s" s="0">
        <v>81</v>
      </c>
      <c r="BN66" t="s" s="0">
        <v>104</v>
      </c>
      <c r="BO66" t="s" s="0">
        <v>792</v>
      </c>
      <c r="BP66" t="s" s="0">
        <v>792</v>
      </c>
      <c r="BQ66" t="s" s="0">
        <v>1820</v>
      </c>
      <c r="BR66" t="s" s="0">
        <v>1821</v>
      </c>
      <c r="BS66" t="s" s="0">
        <v>1822</v>
      </c>
      <c r="BT66" t="s" s="130">
        <f>HYPERLINK("https://www.webofscience.com/wos/woscc/full-record/WOS:001382148600001","View Record in Web of Science")</f>
        <v>114</v>
      </c>
      <c r="BU66" t="s" s="0">
        <v>301</v>
      </c>
      <c r="BV66" t="s" s="0">
        <v>81</v>
      </c>
      <c r="BW66" t="s" s="0">
        <v>81</v>
      </c>
      <c r="BX66" t="s" s="0">
        <v>116</v>
      </c>
    </row>
    <row r="67">
      <c r="A67" t="s" s="0">
        <v>77</v>
      </c>
      <c r="B67" t="s" s="0">
        <v>77</v>
      </c>
      <c r="C67" t="s" s="0">
        <v>77</v>
      </c>
      <c r="D67" t="s" s="0">
        <v>77</v>
      </c>
      <c r="E67" t="s" s="0">
        <v>1823</v>
      </c>
      <c r="F67" t="s" s="0">
        <v>1824</v>
      </c>
      <c r="G67" t="s" s="0">
        <v>1825</v>
      </c>
      <c r="H67" t="s" s="0">
        <v>81</v>
      </c>
      <c r="I67" t="s" s="0">
        <v>82</v>
      </c>
      <c r="J67" t="s" s="0">
        <v>1826</v>
      </c>
      <c r="K67" t="s" s="0">
        <v>1827</v>
      </c>
      <c r="L67" t="s" s="0">
        <v>81</v>
      </c>
      <c r="M67" t="s" s="0">
        <v>81</v>
      </c>
      <c r="N67" t="s" s="0">
        <v>81</v>
      </c>
      <c r="O67" t="s" s="0">
        <v>1828</v>
      </c>
      <c r="P67" t="s" s="0">
        <v>81</v>
      </c>
      <c r="Q67" t="s" s="0">
        <v>87</v>
      </c>
      <c r="R67" t="s" s="0">
        <v>81</v>
      </c>
      <c r="S67" t="s" s="0">
        <v>81</v>
      </c>
      <c r="T67" t="s" s="0">
        <v>81</v>
      </c>
      <c r="U67" t="s" s="0">
        <v>81</v>
      </c>
      <c r="V67" t="s" s="0">
        <v>1829</v>
      </c>
      <c r="W67" t="s" s="0">
        <v>1830</v>
      </c>
      <c r="X67" t="s" s="0">
        <v>81</v>
      </c>
      <c r="Y67" t="s" s="0">
        <v>81</v>
      </c>
      <c r="Z67" t="s" s="0">
        <v>90</v>
      </c>
      <c r="AA67" t="s" s="0">
        <v>91</v>
      </c>
      <c r="AB67" t="s" s="0">
        <v>81</v>
      </c>
      <c r="AC67" t="s" s="0">
        <v>81</v>
      </c>
      <c r="AD67" t="s" s="0">
        <v>81</v>
      </c>
      <c r="AE67" t="s" s="0">
        <v>81</v>
      </c>
      <c r="AF67" t="s" s="0">
        <v>81</v>
      </c>
      <c r="AG67" t="s" s="0">
        <v>1831</v>
      </c>
      <c r="AH67" t="s" s="0">
        <v>81</v>
      </c>
      <c r="AI67" t="s" s="0">
        <v>1832</v>
      </c>
      <c r="AJ67" t="s" s="0">
        <v>81</v>
      </c>
      <c r="AK67" t="s" s="0">
        <v>81</v>
      </c>
      <c r="AL67" t="s" s="0">
        <v>914</v>
      </c>
      <c r="AM67" t="s" s="0">
        <v>77</v>
      </c>
      <c r="AN67" t="s" s="0">
        <v>77</v>
      </c>
      <c r="AO67" t="s" s="0">
        <v>97</v>
      </c>
      <c r="AP67" t="s" s="0">
        <v>97</v>
      </c>
      <c r="AQ67" t="s" s="0">
        <v>284</v>
      </c>
      <c r="AR67" t="s" s="0">
        <v>285</v>
      </c>
      <c r="AS67" t="s" s="0">
        <v>286</v>
      </c>
      <c r="AT67" t="s" s="0">
        <v>81</v>
      </c>
      <c r="AU67" t="s" s="0">
        <v>1833</v>
      </c>
      <c r="AV67" t="s" s="0">
        <v>81</v>
      </c>
      <c r="AW67" t="s" s="0">
        <v>1834</v>
      </c>
      <c r="AX67" t="s" s="0">
        <v>1835</v>
      </c>
      <c r="AY67" t="s" s="0">
        <v>1836</v>
      </c>
      <c r="AZ67" t="s" s="0">
        <v>103</v>
      </c>
      <c r="BA67" t="s" s="0">
        <v>191</v>
      </c>
      <c r="BB67" t="s" s="0">
        <v>196</v>
      </c>
      <c r="BC67" t="s" s="0">
        <v>81</v>
      </c>
      <c r="BD67" t="s" s="0">
        <v>81</v>
      </c>
      <c r="BE67" t="s" s="0">
        <v>81</v>
      </c>
      <c r="BF67" t="s" s="0">
        <v>81</v>
      </c>
      <c r="BG67" t="s" s="0">
        <v>81</v>
      </c>
      <c r="BH67" t="s" s="0">
        <v>81</v>
      </c>
      <c r="BI67" t="s" s="0">
        <v>1837</v>
      </c>
      <c r="BJ67" t="s" s="0">
        <v>1838</v>
      </c>
      <c r="BK67" t="s" s="131">
        <f>HYPERLINK("http://dx.doi.org/10.3390/tropicalmed11030073","http://dx.doi.org/10.3390/tropicalmed11030073")</f>
        <v>1839</v>
      </c>
      <c r="BL67" t="s" s="0">
        <v>81</v>
      </c>
      <c r="BM67" t="s" s="0">
        <v>81</v>
      </c>
      <c r="BN67" t="s" s="0">
        <v>485</v>
      </c>
      <c r="BO67" t="s" s="0">
        <v>1840</v>
      </c>
      <c r="BP67" t="s" s="0">
        <v>1840</v>
      </c>
      <c r="BQ67" t="s" s="0">
        <v>1841</v>
      </c>
      <c r="BR67" t="s" s="0">
        <v>1842</v>
      </c>
      <c r="BS67" t="s" s="0">
        <v>1843</v>
      </c>
      <c r="BT67" t="s" s="132">
        <f>HYPERLINK("https://www.webofscience.com/wos/woscc/full-record/WOS:001725251200001","View Record in Web of Science")</f>
        <v>114</v>
      </c>
      <c r="BU67" t="s" s="0">
        <v>301</v>
      </c>
      <c r="BV67" t="s" s="0">
        <v>81</v>
      </c>
      <c r="BW67" t="s" s="0">
        <v>81</v>
      </c>
      <c r="BX67" t="s" s="0">
        <v>116</v>
      </c>
    </row>
    <row r="68">
      <c r="A68" t="s" s="0">
        <v>77</v>
      </c>
      <c r="B68" t="s" s="0">
        <v>77</v>
      </c>
      <c r="C68" t="s" s="0">
        <v>97</v>
      </c>
      <c r="D68" t="s" s="0">
        <v>77</v>
      </c>
      <c r="E68" t="s" s="0">
        <v>1844</v>
      </c>
      <c r="F68" t="s" s="0">
        <v>1845</v>
      </c>
      <c r="G68" t="s" s="0">
        <v>1846</v>
      </c>
      <c r="H68" t="s" s="0">
        <v>81</v>
      </c>
      <c r="I68" t="s" s="0">
        <v>82</v>
      </c>
      <c r="J68" t="s" s="0">
        <v>1847</v>
      </c>
      <c r="K68" t="s" s="0">
        <v>1848</v>
      </c>
      <c r="L68" t="s" s="0">
        <v>1849</v>
      </c>
      <c r="M68" t="s" s="0">
        <v>1850</v>
      </c>
      <c r="N68" t="s" s="0">
        <v>1851</v>
      </c>
      <c r="O68" t="s" s="0">
        <v>1852</v>
      </c>
      <c r="P68" t="s" s="0">
        <v>1853</v>
      </c>
      <c r="Q68" t="s" s="0">
        <v>87</v>
      </c>
      <c r="R68" t="s" s="0">
        <v>81</v>
      </c>
      <c r="S68" t="s" s="0">
        <v>81</v>
      </c>
      <c r="T68" t="s" s="0">
        <v>81</v>
      </c>
      <c r="U68" t="s" s="0">
        <v>81</v>
      </c>
      <c r="V68" t="s" s="0">
        <v>1854</v>
      </c>
      <c r="W68" t="s" s="0">
        <v>1855</v>
      </c>
      <c r="X68" t="s" s="0">
        <v>81</v>
      </c>
      <c r="Y68" t="s" s="0">
        <v>81</v>
      </c>
      <c r="Z68" t="s" s="0">
        <v>90</v>
      </c>
      <c r="AA68" t="s" s="0">
        <v>91</v>
      </c>
      <c r="AB68" t="s" s="0">
        <v>81</v>
      </c>
      <c r="AC68" t="s" s="0">
        <v>81</v>
      </c>
      <c r="AD68" t="s" s="0">
        <v>81</v>
      </c>
      <c r="AE68" t="s" s="0">
        <v>81</v>
      </c>
      <c r="AF68" t="s" s="0">
        <v>81</v>
      </c>
      <c r="AG68" t="s" s="0">
        <v>1856</v>
      </c>
      <c r="AH68" t="s" s="0">
        <v>1857</v>
      </c>
      <c r="AI68" t="s" s="0">
        <v>1858</v>
      </c>
      <c r="AJ68" t="s" s="0">
        <v>1859</v>
      </c>
      <c r="AK68" t="s" s="0">
        <v>81</v>
      </c>
      <c r="AL68" t="s" s="0">
        <v>343</v>
      </c>
      <c r="AM68" t="s" s="0">
        <v>381</v>
      </c>
      <c r="AN68" t="s" s="0">
        <v>211</v>
      </c>
      <c r="AO68" t="s" s="0">
        <v>175</v>
      </c>
      <c r="AP68" t="s" s="0">
        <v>134</v>
      </c>
      <c r="AQ68" t="s" s="0">
        <v>136</v>
      </c>
      <c r="AR68" t="s" s="0">
        <v>137</v>
      </c>
      <c r="AS68" t="s" s="0">
        <v>138</v>
      </c>
      <c r="AT68" t="s" s="0">
        <v>1860</v>
      </c>
      <c r="AU68" t="s" s="0">
        <v>1861</v>
      </c>
      <c r="AV68" t="s" s="0">
        <v>81</v>
      </c>
      <c r="AW68" t="s" s="0">
        <v>1862</v>
      </c>
      <c r="AX68" t="s" s="0">
        <v>1863</v>
      </c>
      <c r="AY68" t="s" s="0">
        <v>1864</v>
      </c>
      <c r="AZ68" t="s" s="0">
        <v>290</v>
      </c>
      <c r="BA68" t="s" s="0">
        <v>1865</v>
      </c>
      <c r="BB68" t="s" s="0">
        <v>81</v>
      </c>
      <c r="BC68" t="s" s="0">
        <v>81</v>
      </c>
      <c r="BD68" t="s" s="0">
        <v>81</v>
      </c>
      <c r="BE68" t="s" s="0">
        <v>81</v>
      </c>
      <c r="BF68" t="s" s="0">
        <v>81</v>
      </c>
      <c r="BG68" t="s" s="0">
        <v>81</v>
      </c>
      <c r="BH68" t="s" s="0">
        <v>81</v>
      </c>
      <c r="BI68" t="s" s="0">
        <v>1866</v>
      </c>
      <c r="BJ68" t="s" s="0">
        <v>1867</v>
      </c>
      <c r="BK68" t="s" s="133">
        <f>HYPERLINK("http://dx.doi.org/10.1016/j.knosys.2025.114178","http://dx.doi.org/10.1016/j.knosys.2025.114178")</f>
        <v>1868</v>
      </c>
      <c r="BL68" t="s" s="0">
        <v>81</v>
      </c>
      <c r="BM68" t="s" s="0">
        <v>1869</v>
      </c>
      <c r="BN68" t="s" s="0">
        <v>210</v>
      </c>
      <c r="BO68" t="s" s="0">
        <v>409</v>
      </c>
      <c r="BP68" t="s" s="0">
        <v>152</v>
      </c>
      <c r="BQ68" t="s" s="0">
        <v>1870</v>
      </c>
      <c r="BR68" t="s" s="0">
        <v>81</v>
      </c>
      <c r="BS68" t="s" s="0">
        <v>1871</v>
      </c>
      <c r="BT68" t="s" s="134">
        <f>HYPERLINK("https://www.webofscience.com/wos/woscc/full-record/WOS:001554461300002","View Record in Web of Science")</f>
        <v>114</v>
      </c>
      <c r="BU68" t="s" s="0">
        <v>81</v>
      </c>
      <c r="BV68" t="s" s="0">
        <v>81</v>
      </c>
      <c r="BW68" t="s" s="0">
        <v>81</v>
      </c>
      <c r="BX68" t="s" s="0">
        <v>116</v>
      </c>
    </row>
    <row r="69">
      <c r="A69" t="s" s="0">
        <v>77</v>
      </c>
      <c r="B69" t="s" s="0">
        <v>77</v>
      </c>
      <c r="C69" t="s" s="0">
        <v>156</v>
      </c>
      <c r="D69" t="s" s="0">
        <v>77</v>
      </c>
      <c r="E69" t="s" s="0">
        <v>1872</v>
      </c>
      <c r="F69" t="s" s="0">
        <v>1873</v>
      </c>
      <c r="G69" t="s" s="0">
        <v>1874</v>
      </c>
      <c r="H69" t="s" s="0">
        <v>81</v>
      </c>
      <c r="I69" t="s" s="0">
        <v>238</v>
      </c>
      <c r="J69" t="s" s="0">
        <v>1875</v>
      </c>
      <c r="K69" t="s" s="0">
        <v>81</v>
      </c>
      <c r="L69" t="s" s="0">
        <v>81</v>
      </c>
      <c r="M69" t="s" s="0">
        <v>81</v>
      </c>
      <c r="N69" t="s" s="0">
        <v>81</v>
      </c>
      <c r="O69" t="s" s="0">
        <v>1876</v>
      </c>
      <c r="P69" t="s" s="0">
        <v>1877</v>
      </c>
      <c r="Q69" t="s" s="0">
        <v>87</v>
      </c>
      <c r="R69" t="s" s="0">
        <v>81</v>
      </c>
      <c r="S69" t="s" s="0">
        <v>81</v>
      </c>
      <c r="T69" t="s" s="0">
        <v>81</v>
      </c>
      <c r="U69" t="s" s="0">
        <v>81</v>
      </c>
      <c r="V69" t="s" s="0">
        <v>1878</v>
      </c>
      <c r="W69" t="s" s="0">
        <v>1879</v>
      </c>
      <c r="X69" t="s" s="0">
        <v>81</v>
      </c>
      <c r="Y69" t="s" s="0">
        <v>81</v>
      </c>
      <c r="Z69" t="s" s="0">
        <v>90</v>
      </c>
      <c r="AA69" t="s" s="0">
        <v>91</v>
      </c>
      <c r="AB69" t="s" s="0">
        <v>81</v>
      </c>
      <c r="AC69" t="s" s="0">
        <v>81</v>
      </c>
      <c r="AD69" t="s" s="0">
        <v>81</v>
      </c>
      <c r="AE69" t="s" s="0">
        <v>81</v>
      </c>
      <c r="AF69" t="s" s="0">
        <v>81</v>
      </c>
      <c r="AG69" t="s" s="0">
        <v>1880</v>
      </c>
      <c r="AH69" t="s" s="0">
        <v>81</v>
      </c>
      <c r="AI69" t="s" s="0">
        <v>1881</v>
      </c>
      <c r="AJ69" t="s" s="0">
        <v>1882</v>
      </c>
      <c r="AK69" t="s" s="0">
        <v>81</v>
      </c>
      <c r="AL69" t="s" s="0">
        <v>1883</v>
      </c>
      <c r="AM69" t="s" s="0">
        <v>316</v>
      </c>
      <c r="AN69" t="s" s="0">
        <v>316</v>
      </c>
      <c r="AO69" t="s" s="0">
        <v>133</v>
      </c>
      <c r="AP69" t="s" s="0">
        <v>381</v>
      </c>
      <c r="AQ69" t="s" s="0">
        <v>1884</v>
      </c>
      <c r="AR69" t="s" s="0">
        <v>1885</v>
      </c>
      <c r="AS69" t="s" s="0">
        <v>1886</v>
      </c>
      <c r="AT69" t="s" s="0">
        <v>1887</v>
      </c>
      <c r="AU69" t="s" s="0">
        <v>1888</v>
      </c>
      <c r="AV69" t="s" s="0">
        <v>81</v>
      </c>
      <c r="AW69" t="s" s="0">
        <v>1889</v>
      </c>
      <c r="AX69" t="s" s="0">
        <v>1890</v>
      </c>
      <c r="AY69" t="s" s="0">
        <v>1183</v>
      </c>
      <c r="AZ69" t="s" s="0">
        <v>185</v>
      </c>
      <c r="BA69" t="s" s="0">
        <v>291</v>
      </c>
      <c r="BB69" t="s" s="0">
        <v>134</v>
      </c>
      <c r="BC69" t="s" s="0">
        <v>81</v>
      </c>
      <c r="BD69" t="s" s="0">
        <v>81</v>
      </c>
      <c r="BE69" t="s" s="0">
        <v>81</v>
      </c>
      <c r="BF69" t="s" s="0">
        <v>81</v>
      </c>
      <c r="BG69" t="s" s="0">
        <v>1891</v>
      </c>
      <c r="BH69" t="s" s="0">
        <v>1892</v>
      </c>
      <c r="BI69" t="s" s="0">
        <v>81</v>
      </c>
      <c r="BJ69" t="s" s="0">
        <v>1893</v>
      </c>
      <c r="BK69" t="s" s="135">
        <f>HYPERLINK("http://dx.doi.org/10.14569/IJACSA.2024.0151227","http://dx.doi.org/10.14569/IJACSA.2024.0151227")</f>
        <v>1894</v>
      </c>
      <c r="BL69" t="s" s="0">
        <v>81</v>
      </c>
      <c r="BM69" t="s" s="0">
        <v>81</v>
      </c>
      <c r="BN69" t="s" s="0">
        <v>486</v>
      </c>
      <c r="BO69" t="s" s="0">
        <v>1895</v>
      </c>
      <c r="BP69" t="s" s="0">
        <v>152</v>
      </c>
      <c r="BQ69" t="s" s="0">
        <v>1896</v>
      </c>
      <c r="BR69" t="s" s="0">
        <v>81</v>
      </c>
      <c r="BS69" t="s" s="0">
        <v>1897</v>
      </c>
      <c r="BT69" t="s" s="136">
        <f>HYPERLINK("https://www.webofscience.com/wos/woscc/full-record/WOS:001396898400001","View Record in Web of Science")</f>
        <v>114</v>
      </c>
      <c r="BU69" t="s" s="0">
        <v>301</v>
      </c>
      <c r="BV69" t="s" s="0">
        <v>81</v>
      </c>
      <c r="BW69" t="s" s="0">
        <v>81</v>
      </c>
      <c r="BX69" t="s" s="0">
        <v>116</v>
      </c>
    </row>
    <row r="70">
      <c r="A70" t="s" s="0">
        <v>97</v>
      </c>
      <c r="B70" t="s" s="0">
        <v>77</v>
      </c>
      <c r="C70" t="s" s="0">
        <v>104</v>
      </c>
      <c r="D70" t="s" s="0">
        <v>77</v>
      </c>
      <c r="E70" t="s" s="0">
        <v>1898</v>
      </c>
      <c r="F70" t="s" s="0">
        <v>1899</v>
      </c>
      <c r="G70" t="s" s="0">
        <v>1900</v>
      </c>
      <c r="H70" t="s" s="0">
        <v>81</v>
      </c>
      <c r="I70" t="s" s="0">
        <v>82</v>
      </c>
      <c r="J70" t="s" s="0">
        <v>1901</v>
      </c>
      <c r="K70" t="s" s="0">
        <v>1902</v>
      </c>
      <c r="L70" t="s" s="0">
        <v>1903</v>
      </c>
      <c r="M70" t="s" s="0">
        <v>1904</v>
      </c>
      <c r="N70" t="s" s="0">
        <v>1905</v>
      </c>
      <c r="O70" t="s" s="0">
        <v>1906</v>
      </c>
      <c r="P70" t="s" s="0">
        <v>1907</v>
      </c>
      <c r="Q70" t="s" s="0">
        <v>87</v>
      </c>
      <c r="R70" t="s" s="0">
        <v>81</v>
      </c>
      <c r="S70" t="s" s="0">
        <v>81</v>
      </c>
      <c r="T70" t="s" s="0">
        <v>81</v>
      </c>
      <c r="U70" t="s" s="0">
        <v>81</v>
      </c>
      <c r="V70" t="s" s="0">
        <v>1908</v>
      </c>
      <c r="W70" t="s" s="0">
        <v>1313</v>
      </c>
      <c r="X70" t="s" s="0">
        <v>81</v>
      </c>
      <c r="Y70" t="s" s="0">
        <v>81</v>
      </c>
      <c r="Z70" t="s" s="0">
        <v>90</v>
      </c>
      <c r="AA70" t="s" s="0">
        <v>91</v>
      </c>
      <c r="AB70" t="s" s="0">
        <v>81</v>
      </c>
      <c r="AC70" t="s" s="0">
        <v>81</v>
      </c>
      <c r="AD70" t="s" s="0">
        <v>81</v>
      </c>
      <c r="AE70" t="s" s="0">
        <v>81</v>
      </c>
      <c r="AF70" t="s" s="0">
        <v>81</v>
      </c>
      <c r="AG70" t="s" s="0">
        <v>81</v>
      </c>
      <c r="AH70" t="s" s="0">
        <v>1909</v>
      </c>
      <c r="AI70" t="s" s="0">
        <v>1910</v>
      </c>
      <c r="AJ70" t="s" s="0">
        <v>1911</v>
      </c>
      <c r="AK70" t="s" s="0">
        <v>81</v>
      </c>
      <c r="AL70" t="s" s="0">
        <v>1912</v>
      </c>
      <c r="AM70" t="s" s="0">
        <v>1837</v>
      </c>
      <c r="AN70" t="s" s="0">
        <v>96</v>
      </c>
      <c r="AO70" t="s" s="0">
        <v>77</v>
      </c>
      <c r="AP70" t="s" s="0">
        <v>671</v>
      </c>
      <c r="AQ70" t="s" s="0">
        <v>1317</v>
      </c>
      <c r="AR70" t="s" s="0">
        <v>1318</v>
      </c>
      <c r="AS70" t="s" s="0">
        <v>1319</v>
      </c>
      <c r="AT70" t="s" s="0">
        <v>81</v>
      </c>
      <c r="AU70" t="s" s="0">
        <v>1320</v>
      </c>
      <c r="AV70" t="s" s="0">
        <v>81</v>
      </c>
      <c r="AW70" t="s" s="0">
        <v>1313</v>
      </c>
      <c r="AX70" t="s" s="0">
        <v>1321</v>
      </c>
      <c r="AY70" t="s" s="0">
        <v>1913</v>
      </c>
      <c r="AZ70" t="s" s="0">
        <v>260</v>
      </c>
      <c r="BA70" t="s" s="0">
        <v>367</v>
      </c>
      <c r="BB70" t="s" s="0">
        <v>191</v>
      </c>
      <c r="BC70" t="s" s="0">
        <v>81</v>
      </c>
      <c r="BD70" t="s" s="0">
        <v>81</v>
      </c>
      <c r="BE70" t="s" s="0">
        <v>81</v>
      </c>
      <c r="BF70" t="s" s="0">
        <v>81</v>
      </c>
      <c r="BG70" t="s" s="0">
        <v>81</v>
      </c>
      <c r="BH70" t="s" s="0">
        <v>81</v>
      </c>
      <c r="BI70" t="s" s="0">
        <v>1914</v>
      </c>
      <c r="BJ70" t="s" s="0">
        <v>1915</v>
      </c>
      <c r="BK70" t="s" s="137">
        <f>HYPERLINK("http://dx.doi.org/10.1371/journal.pone.0294253","http://dx.doi.org/10.1371/journal.pone.0294253")</f>
        <v>1916</v>
      </c>
      <c r="BL70" t="s" s="0">
        <v>81</v>
      </c>
      <c r="BM70" t="s" s="0">
        <v>81</v>
      </c>
      <c r="BN70" t="s" s="0">
        <v>228</v>
      </c>
      <c r="BO70" t="s" s="0">
        <v>926</v>
      </c>
      <c r="BP70" t="s" s="0">
        <v>927</v>
      </c>
      <c r="BQ70" t="s" s="0">
        <v>1917</v>
      </c>
      <c r="BR70" t="s" s="0">
        <v>1918</v>
      </c>
      <c r="BS70" t="s" s="0">
        <v>1919</v>
      </c>
      <c r="BT70" t="s" s="138">
        <f>HYPERLINK("https://www.webofscience.com/wos/woscc/full-record/WOS:001119675000107","View Record in Web of Science")</f>
        <v>114</v>
      </c>
      <c r="BU70" t="s" s="0">
        <v>301</v>
      </c>
      <c r="BV70" t="s" s="0">
        <v>81</v>
      </c>
      <c r="BW70" t="s" s="0">
        <v>81</v>
      </c>
      <c r="BX70" t="s" s="0">
        <v>116</v>
      </c>
    </row>
    <row r="71">
      <c r="A71" t="s" s="0">
        <v>77</v>
      </c>
      <c r="B71" t="s" s="0">
        <v>77</v>
      </c>
      <c r="C71" t="s" s="0">
        <v>77</v>
      </c>
      <c r="D71" t="s" s="0">
        <v>77</v>
      </c>
      <c r="E71" t="s" s="0">
        <v>1920</v>
      </c>
      <c r="F71" t="s" s="0">
        <v>1921</v>
      </c>
      <c r="G71" t="s" s="0">
        <v>1922</v>
      </c>
      <c r="H71" t="s" s="0">
        <v>81</v>
      </c>
      <c r="I71" t="s" s="0">
        <v>82</v>
      </c>
      <c r="J71" t="s" s="0">
        <v>1923</v>
      </c>
      <c r="K71" t="s" s="0">
        <v>1924</v>
      </c>
      <c r="L71" t="s" s="0">
        <v>1925</v>
      </c>
      <c r="M71" t="s" s="0">
        <v>1926</v>
      </c>
      <c r="N71" t="s" s="0">
        <v>1927</v>
      </c>
      <c r="O71" t="s" s="0">
        <v>1928</v>
      </c>
      <c r="P71" t="s" s="0">
        <v>1929</v>
      </c>
      <c r="Q71" t="s" s="0">
        <v>87</v>
      </c>
      <c r="R71" t="s" s="0">
        <v>81</v>
      </c>
      <c r="S71" t="s" s="0">
        <v>81</v>
      </c>
      <c r="T71" t="s" s="0">
        <v>81</v>
      </c>
      <c r="U71" t="s" s="0">
        <v>81</v>
      </c>
      <c r="V71" t="s" s="0">
        <v>1930</v>
      </c>
      <c r="W71" t="s" s="0">
        <v>1602</v>
      </c>
      <c r="X71" t="s" s="0">
        <v>81</v>
      </c>
      <c r="Y71" t="s" s="0">
        <v>81</v>
      </c>
      <c r="Z71" t="s" s="0">
        <v>90</v>
      </c>
      <c r="AA71" t="s" s="0">
        <v>91</v>
      </c>
      <c r="AB71" t="s" s="0">
        <v>81</v>
      </c>
      <c r="AC71" t="s" s="0">
        <v>81</v>
      </c>
      <c r="AD71" t="s" s="0">
        <v>81</v>
      </c>
      <c r="AE71" t="s" s="0">
        <v>81</v>
      </c>
      <c r="AF71" t="s" s="0">
        <v>81</v>
      </c>
      <c r="AG71" t="s" s="0">
        <v>1931</v>
      </c>
      <c r="AH71" t="s" s="0">
        <v>1932</v>
      </c>
      <c r="AI71" t="s" s="0">
        <v>1933</v>
      </c>
      <c r="AJ71" t="s" s="0">
        <v>1934</v>
      </c>
      <c r="AK71" t="s" s="0">
        <v>81</v>
      </c>
      <c r="AL71" t="s" s="0">
        <v>914</v>
      </c>
      <c r="AM71" t="s" s="0">
        <v>156</v>
      </c>
      <c r="AN71" t="s" s="0">
        <v>196</v>
      </c>
      <c r="AO71" t="s" s="0">
        <v>175</v>
      </c>
      <c r="AP71" t="s" s="0">
        <v>175</v>
      </c>
      <c r="AQ71" t="s" s="0">
        <v>1608</v>
      </c>
      <c r="AR71" t="s" s="0">
        <v>1609</v>
      </c>
      <c r="AS71" t="s" s="0">
        <v>1610</v>
      </c>
      <c r="AT71" t="s" s="0">
        <v>1611</v>
      </c>
      <c r="AU71" t="s" s="0">
        <v>1612</v>
      </c>
      <c r="AV71" t="s" s="0">
        <v>81</v>
      </c>
      <c r="AW71" t="s" s="0">
        <v>1613</v>
      </c>
      <c r="AX71" t="s" s="0">
        <v>1614</v>
      </c>
      <c r="AY71" t="s" s="0">
        <v>1935</v>
      </c>
      <c r="AZ71" t="s" s="0">
        <v>103</v>
      </c>
      <c r="BA71" t="s" s="0">
        <v>1936</v>
      </c>
      <c r="BB71" t="s" s="0">
        <v>81</v>
      </c>
      <c r="BC71" t="s" s="0">
        <v>81</v>
      </c>
      <c r="BD71" t="s" s="0">
        <v>81</v>
      </c>
      <c r="BE71" t="s" s="0">
        <v>81</v>
      </c>
      <c r="BF71" t="s" s="0">
        <v>81</v>
      </c>
      <c r="BG71" t="s" s="0">
        <v>81</v>
      </c>
      <c r="BH71" t="s" s="0">
        <v>81</v>
      </c>
      <c r="BI71" t="s" s="0">
        <v>1937</v>
      </c>
      <c r="BJ71" t="s" s="0">
        <v>1938</v>
      </c>
      <c r="BK71" t="s" s="139">
        <f>HYPERLINK("http://dx.doi.org/10.1016/j.ijmedinf.2026.106287","http://dx.doi.org/10.1016/j.ijmedinf.2026.106287")</f>
        <v>1939</v>
      </c>
      <c r="BL71" t="s" s="0">
        <v>81</v>
      </c>
      <c r="BM71" t="s" s="0">
        <v>1940</v>
      </c>
      <c r="BN71" t="s" s="0">
        <v>381</v>
      </c>
      <c r="BO71" t="s" s="0">
        <v>1619</v>
      </c>
      <c r="BP71" t="s" s="0">
        <v>1620</v>
      </c>
      <c r="BQ71" t="s" s="0">
        <v>1941</v>
      </c>
      <c r="BR71" t="s" s="0">
        <v>1942</v>
      </c>
      <c r="BS71" t="s" s="0">
        <v>1943</v>
      </c>
      <c r="BT71" t="s" s="140">
        <f>HYPERLINK("https://www.webofscience.com/wos/woscc/full-record/WOS:001675441100001","View Record in Web of Science")</f>
        <v>114</v>
      </c>
      <c r="BU71" t="s" s="0">
        <v>1360</v>
      </c>
      <c r="BV71" t="s" s="0">
        <v>81</v>
      </c>
      <c r="BW71" t="s" s="0">
        <v>81</v>
      </c>
      <c r="BX71" t="s" s="0">
        <v>116</v>
      </c>
    </row>
    <row r="72">
      <c r="A72" t="s" s="0">
        <v>77</v>
      </c>
      <c r="B72" t="s" s="0">
        <v>77</v>
      </c>
      <c r="C72" t="s" s="0">
        <v>381</v>
      </c>
      <c r="D72" t="s" s="0">
        <v>77</v>
      </c>
      <c r="E72" t="s" s="0">
        <v>1944</v>
      </c>
      <c r="F72" t="s" s="0">
        <v>1945</v>
      </c>
      <c r="G72" t="s" s="0">
        <v>1946</v>
      </c>
      <c r="H72" t="s" s="0">
        <v>81</v>
      </c>
      <c r="I72" t="s" s="0">
        <v>82</v>
      </c>
      <c r="J72" t="s" s="0">
        <v>1947</v>
      </c>
      <c r="K72" t="s" s="0">
        <v>1948</v>
      </c>
      <c r="L72" t="s" s="0">
        <v>1949</v>
      </c>
      <c r="M72" t="s" s="0">
        <v>1949</v>
      </c>
      <c r="N72" t="s" s="0">
        <v>1950</v>
      </c>
      <c r="O72" t="s" s="0">
        <v>1951</v>
      </c>
      <c r="P72" t="s" s="0">
        <v>1952</v>
      </c>
      <c r="Q72" t="s" s="0">
        <v>87</v>
      </c>
      <c r="R72" t="s" s="0">
        <v>81</v>
      </c>
      <c r="S72" t="s" s="0">
        <v>81</v>
      </c>
      <c r="T72" t="s" s="0">
        <v>81</v>
      </c>
      <c r="U72" t="s" s="0">
        <v>81</v>
      </c>
      <c r="V72" t="s" s="0">
        <v>1953</v>
      </c>
      <c r="W72" t="s" s="0">
        <v>1954</v>
      </c>
      <c r="X72" t="s" s="0">
        <v>81</v>
      </c>
      <c r="Y72" t="s" s="0">
        <v>81</v>
      </c>
      <c r="Z72" t="s" s="0">
        <v>90</v>
      </c>
      <c r="AA72" t="s" s="0">
        <v>91</v>
      </c>
      <c r="AB72" t="s" s="0">
        <v>81</v>
      </c>
      <c r="AC72" t="s" s="0">
        <v>81</v>
      </c>
      <c r="AD72" t="s" s="0">
        <v>81</v>
      </c>
      <c r="AE72" t="s" s="0">
        <v>81</v>
      </c>
      <c r="AF72" t="s" s="0">
        <v>81</v>
      </c>
      <c r="AG72" t="s" s="0">
        <v>1955</v>
      </c>
      <c r="AH72" t="s" s="0">
        <v>1956</v>
      </c>
      <c r="AI72" t="s" s="0">
        <v>81</v>
      </c>
      <c r="AJ72" t="s" s="0">
        <v>81</v>
      </c>
      <c r="AK72" t="s" s="0">
        <v>81</v>
      </c>
      <c r="AL72" t="s" s="0">
        <v>150</v>
      </c>
      <c r="AM72" t="s" s="0">
        <v>228</v>
      </c>
      <c r="AN72" t="s" s="0">
        <v>150</v>
      </c>
      <c r="AO72" t="s" s="0">
        <v>196</v>
      </c>
      <c r="AP72" t="s" s="0">
        <v>890</v>
      </c>
      <c r="AQ72" t="s" s="0">
        <v>665</v>
      </c>
      <c r="AR72" t="s" s="0">
        <v>546</v>
      </c>
      <c r="AS72" t="s" s="0">
        <v>666</v>
      </c>
      <c r="AT72" t="s" s="0">
        <v>81</v>
      </c>
      <c r="AU72" t="s" s="0">
        <v>1957</v>
      </c>
      <c r="AV72" t="s" s="0">
        <v>81</v>
      </c>
      <c r="AW72" t="s" s="0">
        <v>1958</v>
      </c>
      <c r="AX72" t="s" s="0">
        <v>1959</v>
      </c>
      <c r="AY72" t="s" s="0">
        <v>1960</v>
      </c>
      <c r="AZ72" t="s" s="0">
        <v>220</v>
      </c>
      <c r="BA72" t="s" s="0">
        <v>210</v>
      </c>
      <c r="BB72" t="s" s="0">
        <v>97</v>
      </c>
      <c r="BC72" t="s" s="0">
        <v>81</v>
      </c>
      <c r="BD72" t="s" s="0">
        <v>81</v>
      </c>
      <c r="BE72" t="s" s="0">
        <v>81</v>
      </c>
      <c r="BF72" t="s" s="0">
        <v>81</v>
      </c>
      <c r="BG72" t="s" s="0">
        <v>81</v>
      </c>
      <c r="BH72" t="s" s="0">
        <v>81</v>
      </c>
      <c r="BI72" t="s" s="0">
        <v>174</v>
      </c>
      <c r="BJ72" t="s" s="0">
        <v>1961</v>
      </c>
      <c r="BK72" t="s" s="141">
        <f>HYPERLINK("http://dx.doi.org/10.1186/s12911-022-01772-2","http://dx.doi.org/10.1186/s12911-022-01772-2")</f>
        <v>1962</v>
      </c>
      <c r="BL72" t="s" s="0">
        <v>81</v>
      </c>
      <c r="BM72" t="s" s="0">
        <v>81</v>
      </c>
      <c r="BN72" t="s" s="0">
        <v>295</v>
      </c>
      <c r="BO72" t="s" s="0">
        <v>1963</v>
      </c>
      <c r="BP72" t="s" s="0">
        <v>1963</v>
      </c>
      <c r="BQ72" t="s" s="0">
        <v>1964</v>
      </c>
      <c r="BR72" t="s" s="0">
        <v>1965</v>
      </c>
      <c r="BS72" t="s" s="0">
        <v>1966</v>
      </c>
      <c r="BT72" t="s" s="142">
        <f>HYPERLINK("https://www.webofscience.com/wos/woscc/full-record/WOS:000754201100001","View Record in Web of Science")</f>
        <v>114</v>
      </c>
      <c r="BU72" t="s" s="0">
        <v>301</v>
      </c>
      <c r="BV72" t="s" s="0">
        <v>81</v>
      </c>
      <c r="BW72" t="s" s="0">
        <v>81</v>
      </c>
      <c r="BX72" t="s" s="0">
        <v>116</v>
      </c>
    </row>
    <row r="73">
      <c r="A73" t="s" s="0">
        <v>77</v>
      </c>
      <c r="B73" t="s" s="0">
        <v>77</v>
      </c>
      <c r="C73" t="s" s="0">
        <v>77</v>
      </c>
      <c r="D73" t="s" s="0">
        <v>77</v>
      </c>
      <c r="E73" t="s" s="0">
        <v>1967</v>
      </c>
      <c r="F73" t="s" s="0">
        <v>1968</v>
      </c>
      <c r="G73" t="s" s="0">
        <v>1969</v>
      </c>
      <c r="H73" t="s" s="0">
        <v>81</v>
      </c>
      <c r="I73" t="s" s="0">
        <v>82</v>
      </c>
      <c r="J73" t="s" s="0">
        <v>1970</v>
      </c>
      <c r="K73" t="s" s="0">
        <v>1971</v>
      </c>
      <c r="L73" t="s" s="0">
        <v>81</v>
      </c>
      <c r="M73" t="s" s="0">
        <v>81</v>
      </c>
      <c r="N73" t="s" s="0">
        <v>81</v>
      </c>
      <c r="O73" t="s" s="0">
        <v>1972</v>
      </c>
      <c r="P73" t="s" s="0">
        <v>1973</v>
      </c>
      <c r="Q73" t="s" s="0">
        <v>87</v>
      </c>
      <c r="R73" t="s" s="0">
        <v>81</v>
      </c>
      <c r="S73" t="s" s="0">
        <v>81</v>
      </c>
      <c r="T73" t="s" s="0">
        <v>81</v>
      </c>
      <c r="U73" t="s" s="0">
        <v>81</v>
      </c>
      <c r="V73" t="s" s="0">
        <v>1974</v>
      </c>
      <c r="W73" t="s" s="0">
        <v>1975</v>
      </c>
      <c r="X73" t="s" s="0">
        <v>81</v>
      </c>
      <c r="Y73" t="s" s="0">
        <v>81</v>
      </c>
      <c r="Z73" t="s" s="0">
        <v>90</v>
      </c>
      <c r="AA73" t="s" s="0">
        <v>91</v>
      </c>
      <c r="AB73" t="s" s="0">
        <v>81</v>
      </c>
      <c r="AC73" t="s" s="0">
        <v>81</v>
      </c>
      <c r="AD73" t="s" s="0">
        <v>81</v>
      </c>
      <c r="AE73" t="s" s="0">
        <v>81</v>
      </c>
      <c r="AF73" t="s" s="0">
        <v>81</v>
      </c>
      <c r="AG73" t="s" s="0">
        <v>1976</v>
      </c>
      <c r="AH73" t="s" s="0">
        <v>81</v>
      </c>
      <c r="AI73" t="s" s="0">
        <v>81</v>
      </c>
      <c r="AJ73" t="s" s="0">
        <v>81</v>
      </c>
      <c r="AK73" t="s" s="0">
        <v>81</v>
      </c>
      <c r="AL73" t="s" s="0">
        <v>252</v>
      </c>
      <c r="AM73" t="s" s="0">
        <v>175</v>
      </c>
      <c r="AN73" t="s" s="0">
        <v>175</v>
      </c>
      <c r="AO73" t="s" s="0">
        <v>156</v>
      </c>
      <c r="AP73" t="s" s="0">
        <v>261</v>
      </c>
      <c r="AQ73" t="s" s="0">
        <v>212</v>
      </c>
      <c r="AR73" t="s" s="0">
        <v>213</v>
      </c>
      <c r="AS73" t="s" s="0">
        <v>214</v>
      </c>
      <c r="AT73" t="s" s="0">
        <v>1977</v>
      </c>
      <c r="AU73" t="s" s="0">
        <v>1978</v>
      </c>
      <c r="AV73" t="s" s="0">
        <v>81</v>
      </c>
      <c r="AW73" t="s" s="0">
        <v>1979</v>
      </c>
      <c r="AX73" t="s" s="0">
        <v>1980</v>
      </c>
      <c r="AY73" t="s" s="0">
        <v>1981</v>
      </c>
      <c r="AZ73" t="s" s="0">
        <v>290</v>
      </c>
      <c r="BA73" t="s" s="0">
        <v>1254</v>
      </c>
      <c r="BB73" t="s" s="0">
        <v>234</v>
      </c>
      <c r="BC73" t="s" s="0">
        <v>81</v>
      </c>
      <c r="BD73" t="s" s="0">
        <v>81</v>
      </c>
      <c r="BE73" t="s" s="0">
        <v>81</v>
      </c>
      <c r="BF73" t="s" s="0">
        <v>81</v>
      </c>
      <c r="BG73" t="s" s="0">
        <v>81</v>
      </c>
      <c r="BH73" t="s" s="0">
        <v>81</v>
      </c>
      <c r="BI73" t="s" s="0">
        <v>1982</v>
      </c>
      <c r="BJ73" t="s" s="0">
        <v>1983</v>
      </c>
      <c r="BK73" t="s" s="143">
        <f>HYPERLINK("http://dx.doi.org/10.1007/s10489-025-06561-8","http://dx.doi.org/10.1007/s10489-025-06561-8")</f>
        <v>1984</v>
      </c>
      <c r="BL73" t="s" s="0">
        <v>81</v>
      </c>
      <c r="BM73" t="s" s="0">
        <v>81</v>
      </c>
      <c r="BN73" t="s" s="0">
        <v>295</v>
      </c>
      <c r="BO73" t="s" s="0">
        <v>409</v>
      </c>
      <c r="BP73" t="s" s="0">
        <v>152</v>
      </c>
      <c r="BQ73" t="s" s="0">
        <v>1985</v>
      </c>
      <c r="BR73" t="s" s="0">
        <v>81</v>
      </c>
      <c r="BS73" t="s" s="0">
        <v>1986</v>
      </c>
      <c r="BT73" t="s" s="144">
        <f>HYPERLINK("https://www.webofscience.com/wos/woscc/full-record/WOS:001471828400006","View Record in Web of Science")</f>
        <v>114</v>
      </c>
      <c r="BU73" t="s" s="0">
        <v>81</v>
      </c>
      <c r="BV73" t="s" s="0">
        <v>81</v>
      </c>
      <c r="BW73" t="s" s="0">
        <v>81</v>
      </c>
      <c r="BX73" t="s" s="0">
        <v>116</v>
      </c>
    </row>
    <row r="74">
      <c r="A74" t="s" s="0">
        <v>77</v>
      </c>
      <c r="B74" t="s" s="0">
        <v>77</v>
      </c>
      <c r="C74" t="s" s="0">
        <v>196</v>
      </c>
      <c r="D74" t="s" s="0">
        <v>77</v>
      </c>
      <c r="E74" t="s" s="0">
        <v>1987</v>
      </c>
      <c r="F74" t="s" s="0">
        <v>1988</v>
      </c>
      <c r="G74" t="s" s="0">
        <v>1989</v>
      </c>
      <c r="H74" t="s" s="0">
        <v>81</v>
      </c>
      <c r="I74" t="s" s="0">
        <v>82</v>
      </c>
      <c r="J74" t="s" s="0">
        <v>1990</v>
      </c>
      <c r="K74" t="s" s="0">
        <v>1991</v>
      </c>
      <c r="L74" t="s" s="0">
        <v>1992</v>
      </c>
      <c r="M74" t="s" s="0">
        <v>1993</v>
      </c>
      <c r="N74" t="s" s="0">
        <v>1994</v>
      </c>
      <c r="O74" t="s" s="0">
        <v>1995</v>
      </c>
      <c r="P74" t="s" s="0">
        <v>1996</v>
      </c>
      <c r="Q74" t="s" s="0">
        <v>87</v>
      </c>
      <c r="R74" t="s" s="0">
        <v>81</v>
      </c>
      <c r="S74" t="s" s="0">
        <v>81</v>
      </c>
      <c r="T74" t="s" s="0">
        <v>81</v>
      </c>
      <c r="U74" t="s" s="0">
        <v>81</v>
      </c>
      <c r="V74" t="s" s="0">
        <v>1997</v>
      </c>
      <c r="W74" t="s" s="0">
        <v>1998</v>
      </c>
      <c r="X74" t="s" s="0">
        <v>81</v>
      </c>
      <c r="Y74" t="s" s="0">
        <v>81</v>
      </c>
      <c r="Z74" t="s" s="0">
        <v>90</v>
      </c>
      <c r="AA74" t="s" s="0">
        <v>91</v>
      </c>
      <c r="AB74" t="s" s="0">
        <v>81</v>
      </c>
      <c r="AC74" t="s" s="0">
        <v>81</v>
      </c>
      <c r="AD74" t="s" s="0">
        <v>81</v>
      </c>
      <c r="AE74" t="s" s="0">
        <v>81</v>
      </c>
      <c r="AF74" t="s" s="0">
        <v>81</v>
      </c>
      <c r="AG74" t="s" s="0">
        <v>81</v>
      </c>
      <c r="AH74" t="s" s="0">
        <v>1999</v>
      </c>
      <c r="AI74" t="s" s="0">
        <v>2000</v>
      </c>
      <c r="AJ74" t="s" s="0">
        <v>2001</v>
      </c>
      <c r="AK74" t="s" s="0">
        <v>81</v>
      </c>
      <c r="AL74" t="s" s="0">
        <v>1398</v>
      </c>
      <c r="AM74" t="s" s="0">
        <v>228</v>
      </c>
      <c r="AN74" t="s" s="0">
        <v>890</v>
      </c>
      <c r="AO74" t="s" s="0">
        <v>367</v>
      </c>
      <c r="AP74" t="s" s="0">
        <v>405</v>
      </c>
      <c r="AQ74" t="s" s="0">
        <v>915</v>
      </c>
      <c r="AR74" t="s" s="0">
        <v>916</v>
      </c>
      <c r="AS74" t="s" s="0">
        <v>917</v>
      </c>
      <c r="AT74" t="s" s="0">
        <v>81</v>
      </c>
      <c r="AU74" t="s" s="0">
        <v>2002</v>
      </c>
      <c r="AV74" t="s" s="0">
        <v>81</v>
      </c>
      <c r="AW74" t="s" s="0">
        <v>2003</v>
      </c>
      <c r="AX74" t="s" s="0">
        <v>2004</v>
      </c>
      <c r="AY74" t="s" s="0">
        <v>1025</v>
      </c>
      <c r="AZ74" t="s" s="0">
        <v>290</v>
      </c>
      <c r="BA74" t="s" s="0">
        <v>234</v>
      </c>
      <c r="BB74" t="s" s="0">
        <v>196</v>
      </c>
      <c r="BC74" t="s" s="0">
        <v>81</v>
      </c>
      <c r="BD74" t="s" s="0">
        <v>81</v>
      </c>
      <c r="BE74" t="s" s="0">
        <v>81</v>
      </c>
      <c r="BF74" t="s" s="0">
        <v>81</v>
      </c>
      <c r="BG74" t="s" s="0">
        <v>2005</v>
      </c>
      <c r="BH74" t="s" s="0">
        <v>2006</v>
      </c>
      <c r="BI74" t="s" s="0">
        <v>81</v>
      </c>
      <c r="BJ74" t="s" s="0">
        <v>2007</v>
      </c>
      <c r="BK74" t="s" s="145">
        <f>HYPERLINK("http://dx.doi.org/10.1038/s42256-025-01000-2","http://dx.doi.org/10.1038/s42256-025-01000-2")</f>
        <v>2008</v>
      </c>
      <c r="BL74" t="s" s="0">
        <v>81</v>
      </c>
      <c r="BM74" t="s" s="0">
        <v>1025</v>
      </c>
      <c r="BN74" t="s" s="0">
        <v>191</v>
      </c>
      <c r="BO74" t="s" s="0">
        <v>2009</v>
      </c>
      <c r="BP74" t="s" s="0">
        <v>152</v>
      </c>
      <c r="BQ74" t="s" s="0">
        <v>2010</v>
      </c>
      <c r="BR74" t="s" s="0">
        <v>81</v>
      </c>
      <c r="BS74" t="s" s="0">
        <v>2011</v>
      </c>
      <c r="BT74" t="s" s="146">
        <f>HYPERLINK("https://www.webofscience.com/wos/woscc/full-record/WOS:001447473200001","View Record in Web of Science")</f>
        <v>114</v>
      </c>
      <c r="BU74" t="s" s="0">
        <v>1360</v>
      </c>
      <c r="BV74" t="s" s="0">
        <v>81</v>
      </c>
      <c r="BW74" t="s" s="0">
        <v>81</v>
      </c>
      <c r="BX74" t="s" s="0">
        <v>116</v>
      </c>
    </row>
    <row r="75">
      <c r="A75" t="s" s="0">
        <v>77</v>
      </c>
      <c r="B75" t="s" s="0">
        <v>77</v>
      </c>
      <c r="C75" t="s" s="0">
        <v>77</v>
      </c>
      <c r="D75" t="s" s="0">
        <v>77</v>
      </c>
      <c r="E75" t="s" s="0">
        <v>2012</v>
      </c>
      <c r="F75" t="s" s="0">
        <v>2013</v>
      </c>
      <c r="G75" t="s" s="0">
        <v>2014</v>
      </c>
      <c r="H75" t="s" s="0">
        <v>81</v>
      </c>
      <c r="I75" t="s" s="0">
        <v>82</v>
      </c>
      <c r="J75" t="s" s="0">
        <v>2015</v>
      </c>
      <c r="K75" t="s" s="0">
        <v>2016</v>
      </c>
      <c r="L75" t="s" s="0">
        <v>2017</v>
      </c>
      <c r="M75" t="s" s="0">
        <v>2018</v>
      </c>
      <c r="N75" t="s" s="0">
        <v>2019</v>
      </c>
      <c r="O75" t="s" s="0">
        <v>2020</v>
      </c>
      <c r="P75" t="s" s="0">
        <v>2021</v>
      </c>
      <c r="Q75" t="s" s="0">
        <v>87</v>
      </c>
      <c r="R75" t="s" s="0">
        <v>81</v>
      </c>
      <c r="S75" t="s" s="0">
        <v>81</v>
      </c>
      <c r="T75" t="s" s="0">
        <v>81</v>
      </c>
      <c r="U75" t="s" s="0">
        <v>81</v>
      </c>
      <c r="V75" t="s" s="0">
        <v>2022</v>
      </c>
      <c r="W75" t="s" s="0">
        <v>2023</v>
      </c>
      <c r="X75" t="s" s="0">
        <v>81</v>
      </c>
      <c r="Y75" t="s" s="0">
        <v>81</v>
      </c>
      <c r="Z75" t="s" s="0">
        <v>90</v>
      </c>
      <c r="AA75" t="s" s="0">
        <v>91</v>
      </c>
      <c r="AB75" t="s" s="0">
        <v>81</v>
      </c>
      <c r="AC75" t="s" s="0">
        <v>81</v>
      </c>
      <c r="AD75" t="s" s="0">
        <v>81</v>
      </c>
      <c r="AE75" t="s" s="0">
        <v>81</v>
      </c>
      <c r="AF75" t="s" s="0">
        <v>81</v>
      </c>
      <c r="AG75" t="s" s="0">
        <v>2024</v>
      </c>
      <c r="AH75" t="s" s="0">
        <v>2025</v>
      </c>
      <c r="AI75" t="s" s="0">
        <v>2026</v>
      </c>
      <c r="AJ75" t="s" s="0">
        <v>2027</v>
      </c>
      <c r="AK75" t="s" s="0">
        <v>81</v>
      </c>
      <c r="AL75" t="s" s="0">
        <v>2028</v>
      </c>
      <c r="AM75" t="s" s="0">
        <v>316</v>
      </c>
      <c r="AN75" t="s" s="0">
        <v>316</v>
      </c>
      <c r="AO75" t="s" s="0">
        <v>191</v>
      </c>
      <c r="AP75" t="s" s="0">
        <v>253</v>
      </c>
      <c r="AQ75" t="s" s="0">
        <v>98</v>
      </c>
      <c r="AR75" t="s" s="0">
        <v>99</v>
      </c>
      <c r="AS75" t="s" s="0">
        <v>100</v>
      </c>
      <c r="AT75" t="s" s="0">
        <v>2029</v>
      </c>
      <c r="AU75" t="s" s="0">
        <v>81</v>
      </c>
      <c r="AV75" t="s" s="0">
        <v>81</v>
      </c>
      <c r="AW75" t="s" s="0">
        <v>2030</v>
      </c>
      <c r="AX75" t="s" s="0">
        <v>2031</v>
      </c>
      <c r="AY75" t="s" s="0">
        <v>2032</v>
      </c>
      <c r="AZ75" t="s" s="0">
        <v>290</v>
      </c>
      <c r="BA75" t="s" s="0">
        <v>925</v>
      </c>
      <c r="BB75" t="s" s="0">
        <v>156</v>
      </c>
      <c r="BC75" t="s" s="0">
        <v>81</v>
      </c>
      <c r="BD75" t="s" s="0">
        <v>81</v>
      </c>
      <c r="BE75" t="s" s="0">
        <v>81</v>
      </c>
      <c r="BF75" t="s" s="0">
        <v>81</v>
      </c>
      <c r="BG75" t="s" s="0">
        <v>2033</v>
      </c>
      <c r="BH75" t="s" s="0">
        <v>2034</v>
      </c>
      <c r="BI75" t="s" s="0">
        <v>81</v>
      </c>
      <c r="BJ75" t="s" s="0">
        <v>2035</v>
      </c>
      <c r="BK75" t="s" s="147">
        <f>HYPERLINK("http://dx.doi.org/10.1109/TAFFC.2024.3505269","http://dx.doi.org/10.1109/TAFFC.2024.3505269")</f>
        <v>2036</v>
      </c>
      <c r="BL75" t="s" s="0">
        <v>81</v>
      </c>
      <c r="BM75" t="s" s="0">
        <v>81</v>
      </c>
      <c r="BN75" t="s" s="0">
        <v>485</v>
      </c>
      <c r="BO75" t="s" s="0">
        <v>2037</v>
      </c>
      <c r="BP75" t="s" s="0">
        <v>152</v>
      </c>
      <c r="BQ75" t="s" s="0">
        <v>2038</v>
      </c>
      <c r="BR75" t="s" s="0">
        <v>81</v>
      </c>
      <c r="BS75" t="s" s="0">
        <v>2039</v>
      </c>
      <c r="BT75" t="s" s="148">
        <f>HYPERLINK("https://www.webofscience.com/wos/woscc/full-record/WOS:001499503500006","View Record in Web of Science")</f>
        <v>114</v>
      </c>
      <c r="BU75" t="s" s="0">
        <v>1055</v>
      </c>
      <c r="BV75" t="s" s="0">
        <v>81</v>
      </c>
      <c r="BW75" t="s" s="0">
        <v>81</v>
      </c>
      <c r="BX75" t="s" s="0">
        <v>116</v>
      </c>
    </row>
    <row r="76">
      <c r="A76" t="s" s="0">
        <v>97</v>
      </c>
      <c r="B76" t="s" s="0">
        <v>77</v>
      </c>
      <c r="C76" t="s" s="0">
        <v>133</v>
      </c>
      <c r="D76" t="s" s="0">
        <v>77</v>
      </c>
      <c r="E76" t="s" s="0">
        <v>2040</v>
      </c>
      <c r="F76" t="s" s="0">
        <v>2041</v>
      </c>
      <c r="G76" t="s" s="0">
        <v>2042</v>
      </c>
      <c r="H76" t="s" s="0">
        <v>81</v>
      </c>
      <c r="I76" t="s" s="0">
        <v>82</v>
      </c>
      <c r="J76" t="s" s="0">
        <v>2043</v>
      </c>
      <c r="K76" t="s" s="0">
        <v>2044</v>
      </c>
      <c r="L76" t="s" s="0">
        <v>81</v>
      </c>
      <c r="M76" t="s" s="0">
        <v>81</v>
      </c>
      <c r="N76" t="s" s="0">
        <v>81</v>
      </c>
      <c r="O76" t="s" s="0">
        <v>2045</v>
      </c>
      <c r="P76" t="s" s="0">
        <v>2046</v>
      </c>
      <c r="Q76" t="s" s="0">
        <v>87</v>
      </c>
      <c r="R76" t="s" s="0">
        <v>81</v>
      </c>
      <c r="S76" t="s" s="0">
        <v>81</v>
      </c>
      <c r="T76" t="s" s="0">
        <v>81</v>
      </c>
      <c r="U76" t="s" s="0">
        <v>81</v>
      </c>
      <c r="V76" t="s" s="0">
        <v>2047</v>
      </c>
      <c r="W76" t="s" s="0">
        <v>2048</v>
      </c>
      <c r="X76" t="s" s="0">
        <v>81</v>
      </c>
      <c r="Y76" t="s" s="0">
        <v>81</v>
      </c>
      <c r="Z76" t="s" s="0">
        <v>90</v>
      </c>
      <c r="AA76" t="s" s="0">
        <v>91</v>
      </c>
      <c r="AB76" t="s" s="0">
        <v>81</v>
      </c>
      <c r="AC76" t="s" s="0">
        <v>81</v>
      </c>
      <c r="AD76" t="s" s="0">
        <v>81</v>
      </c>
      <c r="AE76" t="s" s="0">
        <v>81</v>
      </c>
      <c r="AF76" t="s" s="0">
        <v>81</v>
      </c>
      <c r="AG76" t="s" s="0">
        <v>2049</v>
      </c>
      <c r="AH76" t="s" s="0">
        <v>81</v>
      </c>
      <c r="AI76" t="s" s="0">
        <v>2050</v>
      </c>
      <c r="AJ76" t="s" s="0">
        <v>2051</v>
      </c>
      <c r="AK76" t="s" s="0">
        <v>81</v>
      </c>
      <c r="AL76" t="s" s="0">
        <v>543</v>
      </c>
      <c r="AM76" t="s" s="0">
        <v>543</v>
      </c>
      <c r="AN76" t="s" s="0">
        <v>343</v>
      </c>
      <c r="AO76" t="s" s="0">
        <v>133</v>
      </c>
      <c r="AP76" t="s" s="0">
        <v>134</v>
      </c>
      <c r="AQ76" t="s" s="0">
        <v>665</v>
      </c>
      <c r="AR76" t="s" s="0">
        <v>546</v>
      </c>
      <c r="AS76" t="s" s="0">
        <v>666</v>
      </c>
      <c r="AT76" t="s" s="0">
        <v>2052</v>
      </c>
      <c r="AU76" t="s" s="0">
        <v>81</v>
      </c>
      <c r="AV76" t="s" s="0">
        <v>81</v>
      </c>
      <c r="AW76" t="s" s="0">
        <v>2053</v>
      </c>
      <c r="AX76" t="s" s="0">
        <v>2054</v>
      </c>
      <c r="AY76" t="s" s="0">
        <v>2055</v>
      </c>
      <c r="AZ76" t="s" s="0">
        <v>185</v>
      </c>
      <c r="BA76" t="s" s="0">
        <v>434</v>
      </c>
      <c r="BB76" t="s" s="0">
        <v>97</v>
      </c>
      <c r="BC76" t="s" s="0">
        <v>81</v>
      </c>
      <c r="BD76" t="s" s="0">
        <v>81</v>
      </c>
      <c r="BE76" t="s" s="0">
        <v>81</v>
      </c>
      <c r="BF76" t="s" s="0">
        <v>81</v>
      </c>
      <c r="BG76" t="s" s="0">
        <v>81</v>
      </c>
      <c r="BH76" t="s" s="0">
        <v>81</v>
      </c>
      <c r="BI76" t="s" s="0">
        <v>2056</v>
      </c>
      <c r="BJ76" t="s" s="0">
        <v>2057</v>
      </c>
      <c r="BK76" t="s" s="149">
        <f>HYPERLINK("http://dx.doi.org/10.1186/s12880-024-01404-3","http://dx.doi.org/10.1186/s12880-024-01404-3")</f>
        <v>2058</v>
      </c>
      <c r="BL76" t="s" s="0">
        <v>81</v>
      </c>
      <c r="BM76" t="s" s="0">
        <v>81</v>
      </c>
      <c r="BN76" t="s" s="0">
        <v>367</v>
      </c>
      <c r="BO76" t="s" s="0">
        <v>738</v>
      </c>
      <c r="BP76" t="s" s="0">
        <v>738</v>
      </c>
      <c r="BQ76" t="s" s="0">
        <v>2059</v>
      </c>
      <c r="BR76" t="s" s="0">
        <v>2060</v>
      </c>
      <c r="BS76" t="s" s="0">
        <v>2061</v>
      </c>
      <c r="BT76" t="s" s="150">
        <f>HYPERLINK("https://www.webofscience.com/wos/woscc/full-record/WOS:001303223600002","View Record in Web of Science")</f>
        <v>114</v>
      </c>
      <c r="BU76" t="s" s="0">
        <v>301</v>
      </c>
      <c r="BV76" t="s" s="0">
        <v>81</v>
      </c>
      <c r="BW76" t="s" s="0">
        <v>81</v>
      </c>
      <c r="BX76" t="s" s="0">
        <v>116</v>
      </c>
    </row>
    <row r="77">
      <c r="A77" t="s" s="0">
        <v>77</v>
      </c>
      <c r="B77" t="s" s="0">
        <v>77</v>
      </c>
      <c r="C77" t="s" s="0">
        <v>156</v>
      </c>
      <c r="D77" t="s" s="0">
        <v>77</v>
      </c>
      <c r="E77" t="s" s="0">
        <v>2062</v>
      </c>
      <c r="F77" t="s" s="0">
        <v>2063</v>
      </c>
      <c r="G77" t="s" s="0">
        <v>2064</v>
      </c>
      <c r="H77" t="s" s="0">
        <v>81</v>
      </c>
      <c r="I77" t="s" s="0">
        <v>82</v>
      </c>
      <c r="J77" t="s" s="0">
        <v>2065</v>
      </c>
      <c r="K77" t="s" s="0">
        <v>2066</v>
      </c>
      <c r="L77" t="s" s="0">
        <v>81</v>
      </c>
      <c r="M77" t="s" s="0">
        <v>81</v>
      </c>
      <c r="N77" t="s" s="0">
        <v>81</v>
      </c>
      <c r="O77" t="s" s="0">
        <v>2067</v>
      </c>
      <c r="P77" t="s" s="0">
        <v>2068</v>
      </c>
      <c r="Q77" t="s" s="0">
        <v>87</v>
      </c>
      <c r="R77" t="s" s="0">
        <v>81</v>
      </c>
      <c r="S77" t="s" s="0">
        <v>81</v>
      </c>
      <c r="T77" t="s" s="0">
        <v>81</v>
      </c>
      <c r="U77" t="s" s="0">
        <v>81</v>
      </c>
      <c r="V77" t="s" s="0">
        <v>2069</v>
      </c>
      <c r="W77" t="s" s="0">
        <v>2070</v>
      </c>
      <c r="X77" t="s" s="0">
        <v>81</v>
      </c>
      <c r="Y77" t="s" s="0">
        <v>81</v>
      </c>
      <c r="Z77" t="s" s="0">
        <v>90</v>
      </c>
      <c r="AA77" t="s" s="0">
        <v>91</v>
      </c>
      <c r="AB77" t="s" s="0">
        <v>81</v>
      </c>
      <c r="AC77" t="s" s="0">
        <v>81</v>
      </c>
      <c r="AD77" t="s" s="0">
        <v>81</v>
      </c>
      <c r="AE77" t="s" s="0">
        <v>81</v>
      </c>
      <c r="AF77" t="s" s="0">
        <v>81</v>
      </c>
      <c r="AG77" t="s" s="0">
        <v>2071</v>
      </c>
      <c r="AH77" t="s" s="0">
        <v>81</v>
      </c>
      <c r="AI77" t="s" s="0">
        <v>2072</v>
      </c>
      <c r="AJ77" t="s" s="0">
        <v>81</v>
      </c>
      <c r="AK77" t="s" s="0">
        <v>81</v>
      </c>
      <c r="AL77" t="s" s="0">
        <v>485</v>
      </c>
      <c r="AM77" t="s" s="0">
        <v>291</v>
      </c>
      <c r="AN77" t="s" s="0">
        <v>222</v>
      </c>
      <c r="AO77" t="s" s="0">
        <v>77</v>
      </c>
      <c r="AP77" t="s" s="0">
        <v>261</v>
      </c>
      <c r="AQ77" t="s" s="0">
        <v>177</v>
      </c>
      <c r="AR77" t="s" s="0">
        <v>178</v>
      </c>
      <c r="AS77" t="s" s="0">
        <v>179</v>
      </c>
      <c r="AT77" t="s" s="0">
        <v>2073</v>
      </c>
      <c r="AU77" t="s" s="0">
        <v>2074</v>
      </c>
      <c r="AV77" t="s" s="0">
        <v>81</v>
      </c>
      <c r="AW77" t="s" s="0">
        <v>2075</v>
      </c>
      <c r="AX77" t="s" s="0">
        <v>2076</v>
      </c>
      <c r="AY77" t="s" s="0">
        <v>2077</v>
      </c>
      <c r="AZ77" t="s" s="0">
        <v>260</v>
      </c>
      <c r="BA77" t="s" s="0">
        <v>782</v>
      </c>
      <c r="BB77" t="s" s="0">
        <v>81</v>
      </c>
      <c r="BC77" t="s" s="0">
        <v>81</v>
      </c>
      <c r="BD77" t="s" s="0">
        <v>81</v>
      </c>
      <c r="BE77" t="s" s="0">
        <v>81</v>
      </c>
      <c r="BF77" t="s" s="0">
        <v>81</v>
      </c>
      <c r="BG77" t="s" s="0">
        <v>81</v>
      </c>
      <c r="BH77" t="s" s="0">
        <v>81</v>
      </c>
      <c r="BI77" t="s" s="0">
        <v>2078</v>
      </c>
      <c r="BJ77" t="s" s="0">
        <v>2079</v>
      </c>
      <c r="BK77" t="s" s="151">
        <f>HYPERLINK("http://dx.doi.org/10.1016/j.bspc.2023.104990","http://dx.doi.org/10.1016/j.bspc.2023.104990")</f>
        <v>2080</v>
      </c>
      <c r="BL77" t="s" s="0">
        <v>81</v>
      </c>
      <c r="BM77" t="s" s="0">
        <v>2081</v>
      </c>
      <c r="BN77" t="s" s="0">
        <v>234</v>
      </c>
      <c r="BO77" t="s" s="0">
        <v>2082</v>
      </c>
      <c r="BP77" t="s" s="0">
        <v>1003</v>
      </c>
      <c r="BQ77" t="s" s="0">
        <v>2083</v>
      </c>
      <c r="BR77" t="s" s="0">
        <v>81</v>
      </c>
      <c r="BS77" t="s" s="0">
        <v>2084</v>
      </c>
      <c r="BT77" t="s" s="152">
        <f>HYPERLINK("https://www.webofscience.com/wos/woscc/full-record/WOS:001001616000001","View Record in Web of Science")</f>
        <v>114</v>
      </c>
      <c r="BU77" t="s" s="0">
        <v>81</v>
      </c>
      <c r="BV77" t="s" s="0">
        <v>81</v>
      </c>
      <c r="BW77" t="s" s="0">
        <v>81</v>
      </c>
      <c r="BX77" t="s" s="0">
        <v>116</v>
      </c>
    </row>
    <row r="78">
      <c r="A78" t="s" s="0">
        <v>77</v>
      </c>
      <c r="B78" t="s" s="0">
        <v>77</v>
      </c>
      <c r="C78" t="s" s="0">
        <v>77</v>
      </c>
      <c r="D78" t="s" s="0">
        <v>77</v>
      </c>
      <c r="E78" t="s" s="0">
        <v>2085</v>
      </c>
      <c r="F78" t="s" s="0">
        <v>2086</v>
      </c>
      <c r="G78" t="s" s="0">
        <v>2087</v>
      </c>
      <c r="H78" t="s" s="0">
        <v>81</v>
      </c>
      <c r="I78" t="s" s="0">
        <v>238</v>
      </c>
      <c r="J78" t="s" s="0">
        <v>2088</v>
      </c>
      <c r="K78" t="s" s="0">
        <v>2089</v>
      </c>
      <c r="L78" t="s" s="0">
        <v>2090</v>
      </c>
      <c r="M78" t="s" s="0">
        <v>2091</v>
      </c>
      <c r="N78" t="s" s="0">
        <v>2092</v>
      </c>
      <c r="O78" t="s" s="0">
        <v>2093</v>
      </c>
      <c r="P78" t="s" s="0">
        <v>2094</v>
      </c>
      <c r="Q78" t="s" s="0">
        <v>87</v>
      </c>
      <c r="R78" t="s" s="0">
        <v>81</v>
      </c>
      <c r="S78" t="s" s="0">
        <v>81</v>
      </c>
      <c r="T78" t="s" s="0">
        <v>81</v>
      </c>
      <c r="U78" t="s" s="0">
        <v>81</v>
      </c>
      <c r="V78" t="s" s="0">
        <v>2095</v>
      </c>
      <c r="W78" t="s" s="0">
        <v>2096</v>
      </c>
      <c r="X78" t="s" s="0">
        <v>81</v>
      </c>
      <c r="Y78" t="s" s="0">
        <v>81</v>
      </c>
      <c r="Z78" t="s" s="0">
        <v>90</v>
      </c>
      <c r="AA78" t="s" s="0">
        <v>91</v>
      </c>
      <c r="AB78" t="s" s="0">
        <v>81</v>
      </c>
      <c r="AC78" t="s" s="0">
        <v>81</v>
      </c>
      <c r="AD78" t="s" s="0">
        <v>81</v>
      </c>
      <c r="AE78" t="s" s="0">
        <v>81</v>
      </c>
      <c r="AF78" t="s" s="0">
        <v>81</v>
      </c>
      <c r="AG78" t="s" s="0">
        <v>2097</v>
      </c>
      <c r="AH78" t="s" s="0">
        <v>81</v>
      </c>
      <c r="AI78" t="s" s="0">
        <v>2098</v>
      </c>
      <c r="AJ78" t="s" s="0">
        <v>2099</v>
      </c>
      <c r="AK78" t="s" s="0">
        <v>81</v>
      </c>
      <c r="AL78" t="s" s="0">
        <v>1684</v>
      </c>
      <c r="AM78" t="s" s="0">
        <v>156</v>
      </c>
      <c r="AN78" t="s" s="0">
        <v>175</v>
      </c>
      <c r="AO78" t="s" s="0">
        <v>381</v>
      </c>
      <c r="AP78" t="s" s="0">
        <v>381</v>
      </c>
      <c r="AQ78" t="s" s="0">
        <v>212</v>
      </c>
      <c r="AR78" t="s" s="0">
        <v>429</v>
      </c>
      <c r="AS78" t="s" s="0">
        <v>784</v>
      </c>
      <c r="AT78" t="s" s="0">
        <v>2100</v>
      </c>
      <c r="AU78" t="s" s="0">
        <v>2101</v>
      </c>
      <c r="AV78" t="s" s="0">
        <v>81</v>
      </c>
      <c r="AW78" t="s" s="0">
        <v>2102</v>
      </c>
      <c r="AX78" t="s" s="0">
        <v>2103</v>
      </c>
      <c r="AY78" t="s" s="0">
        <v>675</v>
      </c>
      <c r="AZ78" t="s" s="0">
        <v>103</v>
      </c>
      <c r="BA78" t="s" s="0">
        <v>1883</v>
      </c>
      <c r="BB78" t="s" s="0">
        <v>133</v>
      </c>
      <c r="BC78" t="s" s="0">
        <v>81</v>
      </c>
      <c r="BD78" t="s" s="0">
        <v>81</v>
      </c>
      <c r="BE78" t="s" s="0">
        <v>81</v>
      </c>
      <c r="BF78" t="s" s="0">
        <v>81</v>
      </c>
      <c r="BG78" t="s" s="0">
        <v>2104</v>
      </c>
      <c r="BH78" t="s" s="0">
        <v>2105</v>
      </c>
      <c r="BI78" t="s" s="0">
        <v>81</v>
      </c>
      <c r="BJ78" t="s" s="0">
        <v>2106</v>
      </c>
      <c r="BK78" t="s" s="153">
        <f>HYPERLINK("http://dx.doi.org/10.1007/s00146-025-02833-6","http://dx.doi.org/10.1007/s00146-025-02833-6")</f>
        <v>2107</v>
      </c>
      <c r="BL78" t="s" s="0">
        <v>81</v>
      </c>
      <c r="BM78" t="s" s="0">
        <v>2108</v>
      </c>
      <c r="BN78" t="s" s="0">
        <v>109</v>
      </c>
      <c r="BO78" t="s" s="0">
        <v>409</v>
      </c>
      <c r="BP78" t="s" s="0">
        <v>152</v>
      </c>
      <c r="BQ78" t="s" s="0">
        <v>2109</v>
      </c>
      <c r="BR78" t="s" s="0">
        <v>2110</v>
      </c>
      <c r="BS78" t="s" s="0">
        <v>2111</v>
      </c>
      <c r="BT78" t="s" s="154">
        <f>HYPERLINK("https://www.webofscience.com/wos/woscc/full-record/WOS:001681859900001","View Record in Web of Science")</f>
        <v>114</v>
      </c>
      <c r="BU78" t="s" s="0">
        <v>2112</v>
      </c>
      <c r="BV78" t="s" s="0">
        <v>81</v>
      </c>
      <c r="BW78" t="s" s="0">
        <v>81</v>
      </c>
      <c r="BX78" t="s" s="0">
        <v>116</v>
      </c>
    </row>
    <row r="79">
      <c r="A79" t="s" s="0">
        <v>77</v>
      </c>
      <c r="B79" t="s" s="0">
        <v>77</v>
      </c>
      <c r="C79" t="s" s="0">
        <v>77</v>
      </c>
      <c r="D79" t="s" s="0">
        <v>77</v>
      </c>
      <c r="E79" t="s" s="0">
        <v>2113</v>
      </c>
      <c r="F79" t="s" s="0">
        <v>2114</v>
      </c>
      <c r="G79" t="s" s="0">
        <v>2115</v>
      </c>
      <c r="H79" t="s" s="0">
        <v>81</v>
      </c>
      <c r="I79" t="s" s="0">
        <v>238</v>
      </c>
      <c r="J79" t="s" s="0">
        <v>2116</v>
      </c>
      <c r="K79" t="s" s="0">
        <v>2117</v>
      </c>
      <c r="L79" t="s" s="0">
        <v>81</v>
      </c>
      <c r="M79" t="s" s="0">
        <v>81</v>
      </c>
      <c r="N79" t="s" s="0">
        <v>81</v>
      </c>
      <c r="O79" t="s" s="0">
        <v>2118</v>
      </c>
      <c r="P79" t="s" s="0">
        <v>2119</v>
      </c>
      <c r="Q79" t="s" s="0">
        <v>87</v>
      </c>
      <c r="R79" t="s" s="0">
        <v>81</v>
      </c>
      <c r="S79" t="s" s="0">
        <v>81</v>
      </c>
      <c r="T79" t="s" s="0">
        <v>81</v>
      </c>
      <c r="U79" t="s" s="0">
        <v>81</v>
      </c>
      <c r="V79" t="s" s="0">
        <v>2120</v>
      </c>
      <c r="W79" t="s" s="0">
        <v>2121</v>
      </c>
      <c r="X79" t="s" s="0">
        <v>81</v>
      </c>
      <c r="Y79" t="s" s="0">
        <v>81</v>
      </c>
      <c r="Z79" t="s" s="0">
        <v>90</v>
      </c>
      <c r="AA79" t="s" s="0">
        <v>91</v>
      </c>
      <c r="AB79" t="s" s="0">
        <v>81</v>
      </c>
      <c r="AC79" t="s" s="0">
        <v>81</v>
      </c>
      <c r="AD79" t="s" s="0">
        <v>81</v>
      </c>
      <c r="AE79" t="s" s="0">
        <v>81</v>
      </c>
      <c r="AF79" t="s" s="0">
        <v>81</v>
      </c>
      <c r="AG79" t="s" s="0">
        <v>2122</v>
      </c>
      <c r="AH79" t="s" s="0">
        <v>81</v>
      </c>
      <c r="AI79" t="s" s="0">
        <v>2123</v>
      </c>
      <c r="AJ79" t="s" s="0">
        <v>81</v>
      </c>
      <c r="AK79" t="s" s="0">
        <v>81</v>
      </c>
      <c r="AL79" t="s" s="0">
        <v>1912</v>
      </c>
      <c r="AM79" t="s" s="0">
        <v>77</v>
      </c>
      <c r="AN79" t="s" s="0">
        <v>77</v>
      </c>
      <c r="AO79" t="s" s="0">
        <v>77</v>
      </c>
      <c r="AP79" t="s" s="0">
        <v>77</v>
      </c>
      <c r="AQ79" t="s" s="0">
        <v>726</v>
      </c>
      <c r="AR79" t="s" s="0">
        <v>727</v>
      </c>
      <c r="AS79" t="s" s="0">
        <v>728</v>
      </c>
      <c r="AT79" t="s" s="0">
        <v>2124</v>
      </c>
      <c r="AU79" t="s" s="0">
        <v>2125</v>
      </c>
      <c r="AV79" t="s" s="0">
        <v>81</v>
      </c>
      <c r="AW79" t="s" s="0">
        <v>2126</v>
      </c>
      <c r="AX79" t="s" s="0">
        <v>2127</v>
      </c>
      <c r="AY79" t="s" s="0">
        <v>103</v>
      </c>
      <c r="AZ79" t="s" s="0">
        <v>103</v>
      </c>
      <c r="BA79" t="s" s="0">
        <v>103</v>
      </c>
      <c r="BB79" t="s" s="0">
        <v>97</v>
      </c>
      <c r="BC79" t="s" s="0">
        <v>81</v>
      </c>
      <c r="BD79" t="s" s="0">
        <v>81</v>
      </c>
      <c r="BE79" t="s" s="0">
        <v>81</v>
      </c>
      <c r="BF79" t="s" s="0">
        <v>81</v>
      </c>
      <c r="BG79" t="s" s="0">
        <v>81</v>
      </c>
      <c r="BH79" t="s" s="0">
        <v>81</v>
      </c>
      <c r="BI79" t="s" s="0">
        <v>2128</v>
      </c>
      <c r="BJ79" t="s" s="0">
        <v>2129</v>
      </c>
      <c r="BK79" t="s" s="155">
        <f>HYPERLINK("http://dx.doi.org/10.1155/acis/8214937","http://dx.doi.org/10.1155/acis/8214937")</f>
        <v>2130</v>
      </c>
      <c r="BL79" t="s" s="0">
        <v>81</v>
      </c>
      <c r="BM79" t="s" s="0">
        <v>81</v>
      </c>
      <c r="BN79" t="s" s="0">
        <v>222</v>
      </c>
      <c r="BO79" t="s" s="0">
        <v>409</v>
      </c>
      <c r="BP79" t="s" s="0">
        <v>152</v>
      </c>
      <c r="BQ79" t="s" s="0">
        <v>2131</v>
      </c>
      <c r="BR79" t="s" s="0">
        <v>81</v>
      </c>
      <c r="BS79" t="s" s="0">
        <v>2132</v>
      </c>
      <c r="BT79" t="s" s="156">
        <f>HYPERLINK("https://www.webofscience.com/wos/woscc/full-record/WOS:001820645700001","View Record in Web of Science")</f>
        <v>114</v>
      </c>
      <c r="BU79" t="s" s="0">
        <v>115</v>
      </c>
      <c r="BV79" t="s" s="0">
        <v>81</v>
      </c>
      <c r="BW79" t="s" s="0">
        <v>81</v>
      </c>
      <c r="BX79" t="s" s="0">
        <v>116</v>
      </c>
    </row>
    <row r="80">
      <c r="A80" t="s" s="0">
        <v>77</v>
      </c>
      <c r="B80" t="s" s="0">
        <v>77</v>
      </c>
      <c r="C80" t="s" s="0">
        <v>77</v>
      </c>
      <c r="D80" t="s" s="0">
        <v>77</v>
      </c>
      <c r="E80" t="s" s="0">
        <v>2133</v>
      </c>
      <c r="F80" t="s" s="0">
        <v>2134</v>
      </c>
      <c r="G80" t="s" s="0">
        <v>2135</v>
      </c>
      <c r="H80" t="s" s="0">
        <v>81</v>
      </c>
      <c r="I80" t="s" s="0">
        <v>238</v>
      </c>
      <c r="J80" t="s" s="0">
        <v>2136</v>
      </c>
      <c r="K80" t="s" s="0">
        <v>2137</v>
      </c>
      <c r="L80" t="s" s="0">
        <v>81</v>
      </c>
      <c r="M80" t="s" s="0">
        <v>81</v>
      </c>
      <c r="N80" t="s" s="0">
        <v>81</v>
      </c>
      <c r="O80" t="s" s="0">
        <v>2138</v>
      </c>
      <c r="P80" t="s" s="0">
        <v>2139</v>
      </c>
      <c r="Q80" t="s" s="0">
        <v>87</v>
      </c>
      <c r="R80" t="s" s="0">
        <v>81</v>
      </c>
      <c r="S80" t="s" s="0">
        <v>81</v>
      </c>
      <c r="T80" t="s" s="0">
        <v>81</v>
      </c>
      <c r="U80" t="s" s="0">
        <v>81</v>
      </c>
      <c r="V80" t="s" s="0">
        <v>2140</v>
      </c>
      <c r="W80" t="s" s="0">
        <v>886</v>
      </c>
      <c r="X80" t="s" s="0">
        <v>81</v>
      </c>
      <c r="Y80" t="s" s="0">
        <v>81</v>
      </c>
      <c r="Z80" t="s" s="0">
        <v>90</v>
      </c>
      <c r="AA80" t="s" s="0">
        <v>91</v>
      </c>
      <c r="AB80" t="s" s="0">
        <v>81</v>
      </c>
      <c r="AC80" t="s" s="0">
        <v>81</v>
      </c>
      <c r="AD80" t="s" s="0">
        <v>81</v>
      </c>
      <c r="AE80" t="s" s="0">
        <v>81</v>
      </c>
      <c r="AF80" t="s" s="0">
        <v>81</v>
      </c>
      <c r="AG80" t="s" s="0">
        <v>2141</v>
      </c>
      <c r="AH80" t="s" s="0">
        <v>2142</v>
      </c>
      <c r="AI80" t="s" s="0">
        <v>81</v>
      </c>
      <c r="AJ80" t="s" s="0">
        <v>81</v>
      </c>
      <c r="AK80" t="s" s="0">
        <v>81</v>
      </c>
      <c r="AL80" t="s" s="0">
        <v>671</v>
      </c>
      <c r="AM80" t="s" s="0">
        <v>77</v>
      </c>
      <c r="AN80" t="s" s="0">
        <v>77</v>
      </c>
      <c r="AO80" t="s" s="0">
        <v>77</v>
      </c>
      <c r="AP80" t="s" s="0">
        <v>77</v>
      </c>
      <c r="AQ80" t="s" s="0">
        <v>368</v>
      </c>
      <c r="AR80" t="s" s="0">
        <v>369</v>
      </c>
      <c r="AS80" t="s" s="0">
        <v>370</v>
      </c>
      <c r="AT80" t="s" s="0">
        <v>81</v>
      </c>
      <c r="AU80" t="s" s="0">
        <v>891</v>
      </c>
      <c r="AV80" t="s" s="0">
        <v>81</v>
      </c>
      <c r="AW80" t="s" s="0">
        <v>892</v>
      </c>
      <c r="AX80" t="s" s="0">
        <v>893</v>
      </c>
      <c r="AY80" t="s" s="0">
        <v>2143</v>
      </c>
      <c r="AZ80" t="s" s="0">
        <v>103</v>
      </c>
      <c r="BA80" t="s" s="0">
        <v>261</v>
      </c>
      <c r="BB80" t="s" s="0">
        <v>81</v>
      </c>
      <c r="BC80" t="s" s="0">
        <v>81</v>
      </c>
      <c r="BD80" t="s" s="0">
        <v>81</v>
      </c>
      <c r="BE80" t="s" s="0">
        <v>81</v>
      </c>
      <c r="BF80" t="s" s="0">
        <v>81</v>
      </c>
      <c r="BG80" t="s" s="0">
        <v>81</v>
      </c>
      <c r="BH80" t="s" s="0">
        <v>81</v>
      </c>
      <c r="BI80" t="s" s="0">
        <v>2144</v>
      </c>
      <c r="BJ80" t="s" s="0">
        <v>2145</v>
      </c>
      <c r="BK80" t="s" s="157">
        <f>HYPERLINK("http://dx.doi.org/10.3389/frai.2026.1803913","http://dx.doi.org/10.3389/frai.2026.1803913")</f>
        <v>2146</v>
      </c>
      <c r="BL80" t="s" s="0">
        <v>81</v>
      </c>
      <c r="BM80" t="s" s="0">
        <v>81</v>
      </c>
      <c r="BN80" t="s" s="0">
        <v>134</v>
      </c>
      <c r="BO80" t="s" s="0">
        <v>898</v>
      </c>
      <c r="BP80" t="s" s="0">
        <v>152</v>
      </c>
      <c r="BQ80" t="s" s="0">
        <v>2147</v>
      </c>
      <c r="BR80" t="s" s="0">
        <v>2148</v>
      </c>
      <c r="BS80" t="s" s="0">
        <v>2149</v>
      </c>
      <c r="BT80" t="s" s="158">
        <f>HYPERLINK("https://www.webofscience.com/wos/woscc/full-record/WOS:001836477000001","View Record in Web of Science")</f>
        <v>114</v>
      </c>
      <c r="BU80" t="s" s="0">
        <v>301</v>
      </c>
      <c r="BV80" t="s" s="0">
        <v>81</v>
      </c>
      <c r="BW80" t="s" s="0">
        <v>81</v>
      </c>
      <c r="BX80" t="s" s="0">
        <v>116</v>
      </c>
    </row>
    <row r="81">
      <c r="A81" t="s" s="0">
        <v>77</v>
      </c>
      <c r="B81" t="s" s="0">
        <v>77</v>
      </c>
      <c r="C81" t="s" s="0">
        <v>77</v>
      </c>
      <c r="D81" t="s" s="0">
        <v>77</v>
      </c>
      <c r="E81" t="s" s="0">
        <v>2150</v>
      </c>
      <c r="F81" t="s" s="0">
        <v>2151</v>
      </c>
      <c r="G81" t="s" s="0">
        <v>2152</v>
      </c>
      <c r="H81" t="s" s="0">
        <v>81</v>
      </c>
      <c r="I81" t="s" s="0">
        <v>82</v>
      </c>
      <c r="J81" t="s" s="0">
        <v>2153</v>
      </c>
      <c r="K81" t="s" s="0">
        <v>2154</v>
      </c>
      <c r="L81" t="s" s="0">
        <v>81</v>
      </c>
      <c r="M81" t="s" s="0">
        <v>81</v>
      </c>
      <c r="N81" t="s" s="0">
        <v>81</v>
      </c>
      <c r="O81" t="s" s="0">
        <v>2155</v>
      </c>
      <c r="P81" t="s" s="0">
        <v>2156</v>
      </c>
      <c r="Q81" t="s" s="0">
        <v>87</v>
      </c>
      <c r="R81" t="s" s="0">
        <v>81</v>
      </c>
      <c r="S81" t="s" s="0">
        <v>81</v>
      </c>
      <c r="T81" t="s" s="0">
        <v>81</v>
      </c>
      <c r="U81" t="s" s="0">
        <v>81</v>
      </c>
      <c r="V81" t="s" s="0">
        <v>2157</v>
      </c>
      <c r="W81" t="s" s="0">
        <v>2158</v>
      </c>
      <c r="X81" t="s" s="0">
        <v>81</v>
      </c>
      <c r="Y81" t="s" s="0">
        <v>81</v>
      </c>
      <c r="Z81" t="s" s="0">
        <v>90</v>
      </c>
      <c r="AA81" t="s" s="0">
        <v>91</v>
      </c>
      <c r="AB81" t="s" s="0">
        <v>81</v>
      </c>
      <c r="AC81" t="s" s="0">
        <v>81</v>
      </c>
      <c r="AD81" t="s" s="0">
        <v>81</v>
      </c>
      <c r="AE81" t="s" s="0">
        <v>81</v>
      </c>
      <c r="AF81" t="s" s="0">
        <v>81</v>
      </c>
      <c r="AG81" t="s" s="0">
        <v>2159</v>
      </c>
      <c r="AH81" t="s" s="0">
        <v>2160</v>
      </c>
      <c r="AI81" t="s" s="0">
        <v>2161</v>
      </c>
      <c r="AJ81" t="s" s="0">
        <v>2162</v>
      </c>
      <c r="AK81" t="s" s="0">
        <v>81</v>
      </c>
      <c r="AL81" t="s" s="0">
        <v>1049</v>
      </c>
      <c r="AM81" t="s" s="0">
        <v>156</v>
      </c>
      <c r="AN81" t="s" s="0">
        <v>156</v>
      </c>
      <c r="AO81" t="s" s="0">
        <v>175</v>
      </c>
      <c r="AP81" t="s" s="0">
        <v>135</v>
      </c>
      <c r="AQ81" t="s" s="0">
        <v>1344</v>
      </c>
      <c r="AR81" t="s" s="0">
        <v>1345</v>
      </c>
      <c r="AS81" t="s" s="0">
        <v>1346</v>
      </c>
      <c r="AT81" t="s" s="0">
        <v>2163</v>
      </c>
      <c r="AU81" t="s" s="0">
        <v>2164</v>
      </c>
      <c r="AV81" t="s" s="0">
        <v>81</v>
      </c>
      <c r="AW81" t="s" s="0">
        <v>2165</v>
      </c>
      <c r="AX81" t="s" s="0">
        <v>2166</v>
      </c>
      <c r="AY81" t="s" s="0">
        <v>2167</v>
      </c>
      <c r="AZ81" t="s" s="0">
        <v>290</v>
      </c>
      <c r="BA81" t="s" s="0">
        <v>2168</v>
      </c>
      <c r="BB81" t="s" s="0">
        <v>81</v>
      </c>
      <c r="BC81" t="s" s="0">
        <v>81</v>
      </c>
      <c r="BD81" t="s" s="0">
        <v>81</v>
      </c>
      <c r="BE81" t="s" s="0">
        <v>81</v>
      </c>
      <c r="BF81" t="s" s="0">
        <v>81</v>
      </c>
      <c r="BG81" t="s" s="0">
        <v>81</v>
      </c>
      <c r="BH81" t="s" s="0">
        <v>81</v>
      </c>
      <c r="BI81" t="s" s="0">
        <v>2169</v>
      </c>
      <c r="BJ81" t="s" s="0">
        <v>2170</v>
      </c>
      <c r="BK81" t="s" s="159">
        <f>HYPERLINK("http://dx.doi.org/10.1016/j.engappai.2025.110481","http://dx.doi.org/10.1016/j.engappai.2025.110481")</f>
        <v>2171</v>
      </c>
      <c r="BL81" t="s" s="0">
        <v>81</v>
      </c>
      <c r="BM81" t="s" s="0">
        <v>1025</v>
      </c>
      <c r="BN81" t="s" s="0">
        <v>104</v>
      </c>
      <c r="BO81" t="s" s="0">
        <v>2172</v>
      </c>
      <c r="BP81" t="s" s="0">
        <v>2173</v>
      </c>
      <c r="BQ81" t="s" s="0">
        <v>2174</v>
      </c>
      <c r="BR81" t="s" s="0">
        <v>81</v>
      </c>
      <c r="BS81" t="s" s="0">
        <v>2175</v>
      </c>
      <c r="BT81" t="s" s="160">
        <f>HYPERLINK("https://www.webofscience.com/wos/woscc/full-record/WOS:001441601100001","View Record in Web of Science")</f>
        <v>114</v>
      </c>
      <c r="BU81" t="s" s="0">
        <v>81</v>
      </c>
      <c r="BV81" t="s" s="0">
        <v>81</v>
      </c>
      <c r="BW81" t="s" s="0">
        <v>81</v>
      </c>
      <c r="BX81" t="s" s="0">
        <v>116</v>
      </c>
    </row>
    <row r="82">
      <c r="A82" t="s" s="0">
        <v>77</v>
      </c>
      <c r="B82" t="s" s="0">
        <v>77</v>
      </c>
      <c r="C82" t="s" s="0">
        <v>77</v>
      </c>
      <c r="D82" t="s" s="0">
        <v>77</v>
      </c>
      <c r="E82" t="s" s="0">
        <v>2176</v>
      </c>
      <c r="F82" t="s" s="0">
        <v>2177</v>
      </c>
      <c r="G82" t="s" s="0">
        <v>2178</v>
      </c>
      <c r="H82" t="s" s="0">
        <v>81</v>
      </c>
      <c r="I82" t="s" s="0">
        <v>238</v>
      </c>
      <c r="J82" t="s" s="0">
        <v>2179</v>
      </c>
      <c r="K82" t="s" s="0">
        <v>2180</v>
      </c>
      <c r="L82" t="s" s="0">
        <v>81</v>
      </c>
      <c r="M82" t="s" s="0">
        <v>81</v>
      </c>
      <c r="N82" t="s" s="0">
        <v>81</v>
      </c>
      <c r="O82" t="s" s="0">
        <v>2181</v>
      </c>
      <c r="P82" t="s" s="0">
        <v>2182</v>
      </c>
      <c r="Q82" t="s" s="0">
        <v>87</v>
      </c>
      <c r="R82" t="s" s="0">
        <v>81</v>
      </c>
      <c r="S82" t="s" s="0">
        <v>81</v>
      </c>
      <c r="T82" t="s" s="0">
        <v>81</v>
      </c>
      <c r="U82" t="s" s="0">
        <v>81</v>
      </c>
      <c r="V82" t="s" s="0">
        <v>2183</v>
      </c>
      <c r="W82" t="s" s="0">
        <v>2184</v>
      </c>
      <c r="X82" t="s" s="0">
        <v>81</v>
      </c>
      <c r="Y82" t="s" s="0">
        <v>81</v>
      </c>
      <c r="Z82" t="s" s="0">
        <v>90</v>
      </c>
      <c r="AA82" t="s" s="0">
        <v>91</v>
      </c>
      <c r="AB82" t="s" s="0">
        <v>81</v>
      </c>
      <c r="AC82" t="s" s="0">
        <v>81</v>
      </c>
      <c r="AD82" t="s" s="0">
        <v>81</v>
      </c>
      <c r="AE82" t="s" s="0">
        <v>81</v>
      </c>
      <c r="AF82" t="s" s="0">
        <v>81</v>
      </c>
      <c r="AG82" t="s" s="0">
        <v>2185</v>
      </c>
      <c r="AH82" t="s" s="0">
        <v>81</v>
      </c>
      <c r="AI82" t="s" s="0">
        <v>81</v>
      </c>
      <c r="AJ82" t="s" s="0">
        <v>81</v>
      </c>
      <c r="AK82" t="s" s="0">
        <v>81</v>
      </c>
      <c r="AL82" t="s" s="0">
        <v>176</v>
      </c>
      <c r="AM82" t="s" s="0">
        <v>77</v>
      </c>
      <c r="AN82" t="s" s="0">
        <v>77</v>
      </c>
      <c r="AO82" t="s" s="0">
        <v>77</v>
      </c>
      <c r="AP82" t="s" s="0">
        <v>77</v>
      </c>
      <c r="AQ82" t="s" s="0">
        <v>284</v>
      </c>
      <c r="AR82" t="s" s="0">
        <v>285</v>
      </c>
      <c r="AS82" t="s" s="0">
        <v>286</v>
      </c>
      <c r="AT82" t="s" s="0">
        <v>81</v>
      </c>
      <c r="AU82" t="s" s="0">
        <v>2186</v>
      </c>
      <c r="AV82" t="s" s="0">
        <v>81</v>
      </c>
      <c r="AW82" t="s" s="0">
        <v>2187</v>
      </c>
      <c r="AX82" t="s" s="0">
        <v>2188</v>
      </c>
      <c r="AY82" t="s" s="0">
        <v>894</v>
      </c>
      <c r="AZ82" t="s" s="0">
        <v>290</v>
      </c>
      <c r="BA82" t="s" s="0">
        <v>316</v>
      </c>
      <c r="BB82" t="s" s="0">
        <v>175</v>
      </c>
      <c r="BC82" t="s" s="0">
        <v>81</v>
      </c>
      <c r="BD82" t="s" s="0">
        <v>81</v>
      </c>
      <c r="BE82" t="s" s="0">
        <v>81</v>
      </c>
      <c r="BF82" t="s" s="0">
        <v>81</v>
      </c>
      <c r="BG82" t="s" s="0">
        <v>81</v>
      </c>
      <c r="BH82" t="s" s="0">
        <v>81</v>
      </c>
      <c r="BI82" t="s" s="0">
        <v>1684</v>
      </c>
      <c r="BJ82" t="s" s="0">
        <v>2189</v>
      </c>
      <c r="BK82" t="s" s="161">
        <f>HYPERLINK("http://dx.doi.org/10.3390/signals6040062","http://dx.doi.org/10.3390/signals6040062")</f>
        <v>2190</v>
      </c>
      <c r="BL82" t="s" s="0">
        <v>81</v>
      </c>
      <c r="BM82" t="s" s="0">
        <v>81</v>
      </c>
      <c r="BN82" t="s" s="0">
        <v>222</v>
      </c>
      <c r="BO82" t="s" s="0">
        <v>2191</v>
      </c>
      <c r="BP82" t="s" s="0">
        <v>1003</v>
      </c>
      <c r="BQ82" t="s" s="0">
        <v>2192</v>
      </c>
      <c r="BR82" t="s" s="0">
        <v>81</v>
      </c>
      <c r="BS82" t="s" s="0">
        <v>2193</v>
      </c>
      <c r="BT82" t="s" s="162">
        <f>HYPERLINK("https://www.webofscience.com/wos/woscc/full-record/WOS:001647172400001","View Record in Web of Science")</f>
        <v>114</v>
      </c>
      <c r="BU82" t="s" s="0">
        <v>301</v>
      </c>
      <c r="BV82" t="s" s="0">
        <v>81</v>
      </c>
      <c r="BW82" t="s" s="0">
        <v>81</v>
      </c>
      <c r="BX82" t="s" s="0">
        <v>116</v>
      </c>
    </row>
    <row r="83">
      <c r="A83" t="s" s="0">
        <v>77</v>
      </c>
      <c r="B83" t="s" s="0">
        <v>77</v>
      </c>
      <c r="C83" t="s" s="0">
        <v>77</v>
      </c>
      <c r="D83" t="s" s="0">
        <v>77</v>
      </c>
      <c r="E83" t="s" s="0">
        <v>2194</v>
      </c>
      <c r="F83" t="s" s="0">
        <v>2195</v>
      </c>
      <c r="G83" t="s" s="0">
        <v>2196</v>
      </c>
      <c r="H83" t="s" s="0">
        <v>81</v>
      </c>
      <c r="I83" t="s" s="0">
        <v>82</v>
      </c>
      <c r="J83" t="s" s="0">
        <v>2197</v>
      </c>
      <c r="K83" t="s" s="0">
        <v>2198</v>
      </c>
      <c r="L83" t="s" s="0">
        <v>2199</v>
      </c>
      <c r="M83" t="s" s="0">
        <v>2200</v>
      </c>
      <c r="N83" t="s" s="0">
        <v>2201</v>
      </c>
      <c r="O83" t="s" s="0">
        <v>2202</v>
      </c>
      <c r="P83" t="s" s="0">
        <v>2203</v>
      </c>
      <c r="Q83" t="s" s="0">
        <v>87</v>
      </c>
      <c r="R83" t="s" s="0">
        <v>81</v>
      </c>
      <c r="S83" t="s" s="0">
        <v>81</v>
      </c>
      <c r="T83" t="s" s="0">
        <v>81</v>
      </c>
      <c r="U83" t="s" s="0">
        <v>81</v>
      </c>
      <c r="V83" t="s" s="0">
        <v>2204</v>
      </c>
      <c r="W83" t="s" s="0">
        <v>2205</v>
      </c>
      <c r="X83" t="s" s="0">
        <v>81</v>
      </c>
      <c r="Y83" t="s" s="0">
        <v>81</v>
      </c>
      <c r="Z83" t="s" s="0">
        <v>90</v>
      </c>
      <c r="AA83" t="s" s="0">
        <v>91</v>
      </c>
      <c r="AB83" t="s" s="0">
        <v>81</v>
      </c>
      <c r="AC83" t="s" s="0">
        <v>81</v>
      </c>
      <c r="AD83" t="s" s="0">
        <v>81</v>
      </c>
      <c r="AE83" t="s" s="0">
        <v>81</v>
      </c>
      <c r="AF83" t="s" s="0">
        <v>81</v>
      </c>
      <c r="AG83" t="s" s="0">
        <v>2206</v>
      </c>
      <c r="AH83" t="s" s="0">
        <v>2207</v>
      </c>
      <c r="AI83" t="s" s="0">
        <v>81</v>
      </c>
      <c r="AJ83" t="s" s="0">
        <v>81</v>
      </c>
      <c r="AK83" t="s" s="0">
        <v>81</v>
      </c>
      <c r="AL83" t="s" s="0">
        <v>324</v>
      </c>
      <c r="AM83" t="s" s="0">
        <v>77</v>
      </c>
      <c r="AN83" t="s" s="0">
        <v>77</v>
      </c>
      <c r="AO83" t="s" s="0">
        <v>156</v>
      </c>
      <c r="AP83" t="s" s="0">
        <v>156</v>
      </c>
      <c r="AQ83" t="s" s="0">
        <v>2208</v>
      </c>
      <c r="AR83" t="s" s="0">
        <v>2209</v>
      </c>
      <c r="AS83" t="s" s="0">
        <v>2210</v>
      </c>
      <c r="AT83" t="s" s="0">
        <v>2211</v>
      </c>
      <c r="AU83" t="s" s="0">
        <v>2212</v>
      </c>
      <c r="AV83" t="s" s="0">
        <v>81</v>
      </c>
      <c r="AW83" t="s" s="0">
        <v>2213</v>
      </c>
      <c r="AX83" t="s" s="0">
        <v>2214</v>
      </c>
      <c r="AY83" t="s" s="0">
        <v>2215</v>
      </c>
      <c r="AZ83" t="s" s="0">
        <v>103</v>
      </c>
      <c r="BA83" t="s" s="0">
        <v>222</v>
      </c>
      <c r="BB83" t="s" s="0">
        <v>156</v>
      </c>
      <c r="BC83" t="s" s="0">
        <v>81</v>
      </c>
      <c r="BD83" t="s" s="0">
        <v>81</v>
      </c>
      <c r="BE83" t="s" s="0">
        <v>81</v>
      </c>
      <c r="BF83" t="s" s="0">
        <v>81</v>
      </c>
      <c r="BG83" t="s" s="0">
        <v>81</v>
      </c>
      <c r="BH83" t="s" s="0">
        <v>81</v>
      </c>
      <c r="BI83" t="s" s="0">
        <v>542</v>
      </c>
      <c r="BJ83" t="s" s="0">
        <v>2216</v>
      </c>
      <c r="BK83" t="s" s="163">
        <f>HYPERLINK("http://dx.doi.org/10.1007/s12530-026-09818-w","http://dx.doi.org/10.1007/s12530-026-09818-w")</f>
        <v>2217</v>
      </c>
      <c r="BL83" t="s" s="0">
        <v>81</v>
      </c>
      <c r="BM83" t="s" s="0">
        <v>81</v>
      </c>
      <c r="BN83" t="s" s="0">
        <v>104</v>
      </c>
      <c r="BO83" t="s" s="0">
        <v>409</v>
      </c>
      <c r="BP83" t="s" s="0">
        <v>152</v>
      </c>
      <c r="BQ83" t="s" s="0">
        <v>2218</v>
      </c>
      <c r="BR83" t="s" s="0">
        <v>81</v>
      </c>
      <c r="BS83" t="s" s="0">
        <v>2219</v>
      </c>
      <c r="BT83" t="s" s="164">
        <f>HYPERLINK("https://www.webofscience.com/wos/woscc/full-record/WOS:001715031000005","View Record in Web of Science")</f>
        <v>114</v>
      </c>
      <c r="BU83" t="s" s="0">
        <v>81</v>
      </c>
      <c r="BV83" t="s" s="0">
        <v>81</v>
      </c>
      <c r="BW83" t="s" s="0">
        <v>81</v>
      </c>
      <c r="BX83" t="s" s="0">
        <v>116</v>
      </c>
    </row>
    <row r="84">
      <c r="A84" t="s" s="0">
        <v>77</v>
      </c>
      <c r="B84" t="s" s="0">
        <v>77</v>
      </c>
      <c r="C84" t="s" s="0">
        <v>77</v>
      </c>
      <c r="D84" t="s" s="0">
        <v>77</v>
      </c>
      <c r="E84" t="s" s="0">
        <v>2220</v>
      </c>
      <c r="F84" t="s" s="0">
        <v>2221</v>
      </c>
      <c r="G84" t="s" s="0">
        <v>2222</v>
      </c>
      <c r="H84" t="s" s="0">
        <v>81</v>
      </c>
      <c r="I84" t="s" s="0">
        <v>238</v>
      </c>
      <c r="J84" t="s" s="0">
        <v>2223</v>
      </c>
      <c r="K84" t="s" s="0">
        <v>2224</v>
      </c>
      <c r="L84" t="s" s="0">
        <v>81</v>
      </c>
      <c r="M84" t="s" s="0">
        <v>81</v>
      </c>
      <c r="N84" t="s" s="0">
        <v>81</v>
      </c>
      <c r="O84" t="s" s="0">
        <v>2225</v>
      </c>
      <c r="P84" t="s" s="0">
        <v>81</v>
      </c>
      <c r="Q84" t="s" s="0">
        <v>87</v>
      </c>
      <c r="R84" t="s" s="0">
        <v>81</v>
      </c>
      <c r="S84" t="s" s="0">
        <v>81</v>
      </c>
      <c r="T84" t="s" s="0">
        <v>81</v>
      </c>
      <c r="U84" t="s" s="0">
        <v>81</v>
      </c>
      <c r="V84" t="s" s="0">
        <v>2226</v>
      </c>
      <c r="W84" t="s" s="0">
        <v>2227</v>
      </c>
      <c r="X84" t="s" s="0">
        <v>81</v>
      </c>
      <c r="Y84" t="s" s="0">
        <v>81</v>
      </c>
      <c r="Z84" t="s" s="0">
        <v>90</v>
      </c>
      <c r="AA84" t="s" s="0">
        <v>91</v>
      </c>
      <c r="AB84" t="s" s="0">
        <v>81</v>
      </c>
      <c r="AC84" t="s" s="0">
        <v>81</v>
      </c>
      <c r="AD84" t="s" s="0">
        <v>81</v>
      </c>
      <c r="AE84" t="s" s="0">
        <v>81</v>
      </c>
      <c r="AF84" t="s" s="0">
        <v>81</v>
      </c>
      <c r="AG84" t="s" s="0">
        <v>2228</v>
      </c>
      <c r="AH84" t="s" s="0">
        <v>81</v>
      </c>
      <c r="AI84" t="s" s="0">
        <v>81</v>
      </c>
      <c r="AJ84" t="s" s="0">
        <v>81</v>
      </c>
      <c r="AK84" t="s" s="0">
        <v>81</v>
      </c>
      <c r="AL84" t="s" s="0">
        <v>1883</v>
      </c>
      <c r="AM84" t="s" s="0">
        <v>156</v>
      </c>
      <c r="AN84" t="s" s="0">
        <v>156</v>
      </c>
      <c r="AO84" t="s" s="0">
        <v>77</v>
      </c>
      <c r="AP84" t="s" s="0">
        <v>156</v>
      </c>
      <c r="AQ84" t="s" s="0">
        <v>2229</v>
      </c>
      <c r="AR84" t="s" s="0">
        <v>2230</v>
      </c>
      <c r="AS84" t="s" s="0">
        <v>2231</v>
      </c>
      <c r="AT84" t="s" s="0">
        <v>81</v>
      </c>
      <c r="AU84" t="s" s="0">
        <v>2232</v>
      </c>
      <c r="AV84" t="s" s="0">
        <v>81</v>
      </c>
      <c r="AW84" t="s" s="0">
        <v>2233</v>
      </c>
      <c r="AX84" t="s" s="0">
        <v>2234</v>
      </c>
      <c r="AY84" t="s" s="0">
        <v>290</v>
      </c>
      <c r="AZ84" t="s" s="0">
        <v>290</v>
      </c>
      <c r="BA84" t="s" s="0">
        <v>133</v>
      </c>
      <c r="BB84" t="s" s="0">
        <v>97</v>
      </c>
      <c r="BC84" t="s" s="0">
        <v>81</v>
      </c>
      <c r="BD84" t="s" s="0">
        <v>81</v>
      </c>
      <c r="BE84" t="s" s="0">
        <v>81</v>
      </c>
      <c r="BF84" t="s" s="0">
        <v>81</v>
      </c>
      <c r="BG84" t="s" s="0">
        <v>2235</v>
      </c>
      <c r="BH84" t="s" s="0">
        <v>2236</v>
      </c>
      <c r="BI84" t="s" s="0">
        <v>81</v>
      </c>
      <c r="BJ84" t="s" s="0">
        <v>81</v>
      </c>
      <c r="BK84" t="s" s="0">
        <v>81</v>
      </c>
      <c r="BL84" t="s" s="0">
        <v>81</v>
      </c>
      <c r="BM84" t="s" s="0">
        <v>81</v>
      </c>
      <c r="BN84" t="s" s="0">
        <v>874</v>
      </c>
      <c r="BO84" t="s" s="0">
        <v>409</v>
      </c>
      <c r="BP84" t="s" s="0">
        <v>152</v>
      </c>
      <c r="BQ84" t="s" s="0">
        <v>2237</v>
      </c>
      <c r="BR84" t="s" s="0">
        <v>81</v>
      </c>
      <c r="BS84" t="s" s="0">
        <v>2238</v>
      </c>
      <c r="BT84" t="s" s="165">
        <f>HYPERLINK("https://www.webofscience.com/wos/woscc/full-record/WOS:001487617900013","View Record in Web of Science")</f>
        <v>114</v>
      </c>
      <c r="BU84" t="s" s="0">
        <v>2239</v>
      </c>
      <c r="BV84" t="s" s="0">
        <v>81</v>
      </c>
      <c r="BW84" t="s" s="0">
        <v>81</v>
      </c>
      <c r="BX84" t="s" s="0">
        <v>116</v>
      </c>
    </row>
    <row r="85">
      <c r="A85" t="s" s="0">
        <v>77</v>
      </c>
      <c r="B85" t="s" s="0">
        <v>77</v>
      </c>
      <c r="C85" t="s" s="0">
        <v>77</v>
      </c>
      <c r="D85" t="s" s="0">
        <v>77</v>
      </c>
      <c r="E85" t="s" s="0">
        <v>2240</v>
      </c>
      <c r="F85" t="s" s="0">
        <v>2241</v>
      </c>
      <c r="G85" t="s" s="0">
        <v>2242</v>
      </c>
      <c r="H85" t="s" s="0">
        <v>81</v>
      </c>
      <c r="I85" t="s" s="0">
        <v>82</v>
      </c>
      <c r="J85" t="s" s="0">
        <v>2243</v>
      </c>
      <c r="K85" t="s" s="0">
        <v>2244</v>
      </c>
      <c r="L85" t="s" s="0">
        <v>81</v>
      </c>
      <c r="M85" t="s" s="0">
        <v>81</v>
      </c>
      <c r="N85" t="s" s="0">
        <v>81</v>
      </c>
      <c r="O85" t="s" s="0">
        <v>2245</v>
      </c>
      <c r="P85" t="s" s="0">
        <v>2246</v>
      </c>
      <c r="Q85" t="s" s="0">
        <v>87</v>
      </c>
      <c r="R85" t="s" s="0">
        <v>81</v>
      </c>
      <c r="S85" t="s" s="0">
        <v>81</v>
      </c>
      <c r="T85" t="s" s="0">
        <v>81</v>
      </c>
      <c r="U85" t="s" s="0">
        <v>81</v>
      </c>
      <c r="V85" t="s" s="0">
        <v>2247</v>
      </c>
      <c r="W85" t="s" s="0">
        <v>2248</v>
      </c>
      <c r="X85" t="s" s="0">
        <v>81</v>
      </c>
      <c r="Y85" t="s" s="0">
        <v>81</v>
      </c>
      <c r="Z85" t="s" s="0">
        <v>90</v>
      </c>
      <c r="AA85" t="s" s="0">
        <v>91</v>
      </c>
      <c r="AB85" t="s" s="0">
        <v>81</v>
      </c>
      <c r="AC85" t="s" s="0">
        <v>81</v>
      </c>
      <c r="AD85" t="s" s="0">
        <v>81</v>
      </c>
      <c r="AE85" t="s" s="0">
        <v>81</v>
      </c>
      <c r="AF85" t="s" s="0">
        <v>81</v>
      </c>
      <c r="AG85" t="s" s="0">
        <v>2249</v>
      </c>
      <c r="AH85" t="s" s="0">
        <v>2250</v>
      </c>
      <c r="AI85" t="s" s="0">
        <v>2251</v>
      </c>
      <c r="AJ85" t="s" s="0">
        <v>81</v>
      </c>
      <c r="AK85" t="s" s="0">
        <v>81</v>
      </c>
      <c r="AL85" t="s" s="0">
        <v>783</v>
      </c>
      <c r="AM85" t="s" s="0">
        <v>77</v>
      </c>
      <c r="AN85" t="s" s="0">
        <v>77</v>
      </c>
      <c r="AO85" t="s" s="0">
        <v>97</v>
      </c>
      <c r="AP85" t="s" s="0">
        <v>97</v>
      </c>
      <c r="AQ85" t="s" s="0">
        <v>2208</v>
      </c>
      <c r="AR85" t="s" s="0">
        <v>2209</v>
      </c>
      <c r="AS85" t="s" s="0">
        <v>2252</v>
      </c>
      <c r="AT85" t="s" s="0">
        <v>2253</v>
      </c>
      <c r="AU85" t="s" s="0">
        <v>2254</v>
      </c>
      <c r="AV85" t="s" s="0">
        <v>81</v>
      </c>
      <c r="AW85" t="s" s="0">
        <v>2255</v>
      </c>
      <c r="AX85" t="s" s="0">
        <v>2256</v>
      </c>
      <c r="AY85" t="s" s="0">
        <v>2257</v>
      </c>
      <c r="AZ85" t="s" s="0">
        <v>103</v>
      </c>
      <c r="BA85" t="s" s="0">
        <v>252</v>
      </c>
      <c r="BB85" t="s" s="0">
        <v>175</v>
      </c>
      <c r="BC85" t="s" s="0">
        <v>81</v>
      </c>
      <c r="BD85" t="s" s="0">
        <v>81</v>
      </c>
      <c r="BE85" t="s" s="0">
        <v>81</v>
      </c>
      <c r="BF85" t="s" s="0">
        <v>81</v>
      </c>
      <c r="BG85" t="s" s="0">
        <v>81</v>
      </c>
      <c r="BH85" t="s" s="0">
        <v>81</v>
      </c>
      <c r="BI85" t="s" s="0">
        <v>2258</v>
      </c>
      <c r="BJ85" t="s" s="0">
        <v>2259</v>
      </c>
      <c r="BK85" t="s" s="166">
        <f>HYPERLINK("http://dx.doi.org/10.1007/s11325-026-03774-0","http://dx.doi.org/10.1007/s11325-026-03774-0")</f>
        <v>2260</v>
      </c>
      <c r="BL85" t="s" s="0">
        <v>81</v>
      </c>
      <c r="BM85" t="s" s="0">
        <v>81</v>
      </c>
      <c r="BN85" t="s" s="0">
        <v>135</v>
      </c>
      <c r="BO85" t="s" s="0">
        <v>2261</v>
      </c>
      <c r="BP85" t="s" s="0">
        <v>2262</v>
      </c>
      <c r="BQ85" t="s" s="0">
        <v>2263</v>
      </c>
      <c r="BR85" t="s" s="0">
        <v>2264</v>
      </c>
      <c r="BS85" t="s" s="0">
        <v>2265</v>
      </c>
      <c r="BT85" t="s" s="167">
        <f>HYPERLINK("https://www.webofscience.com/wos/woscc/full-record/WOS:001836189300001","View Record in Web of Science")</f>
        <v>114</v>
      </c>
      <c r="BU85" t="s" s="0">
        <v>81</v>
      </c>
      <c r="BV85" t="s" s="0">
        <v>81</v>
      </c>
      <c r="BW85" t="s" s="0">
        <v>81</v>
      </c>
      <c r="BX85" t="s" s="0">
        <v>116</v>
      </c>
    </row>
    <row r="86">
      <c r="A86" t="s" s="0">
        <v>77</v>
      </c>
      <c r="B86" t="s" s="0">
        <v>77</v>
      </c>
      <c r="C86" t="s" s="0">
        <v>77</v>
      </c>
      <c r="D86" t="s" s="0">
        <v>77</v>
      </c>
      <c r="E86" t="s" s="0">
        <v>2266</v>
      </c>
      <c r="F86" t="s" s="0">
        <v>2267</v>
      </c>
      <c r="G86" t="s" s="0">
        <v>2268</v>
      </c>
      <c r="H86" t="s" s="0">
        <v>81</v>
      </c>
      <c r="I86" t="s" s="0">
        <v>82</v>
      </c>
      <c r="J86" t="s" s="0">
        <v>2269</v>
      </c>
      <c r="K86" t="s" s="0">
        <v>2270</v>
      </c>
      <c r="L86" t="s" s="0">
        <v>81</v>
      </c>
      <c r="M86" t="s" s="0">
        <v>81</v>
      </c>
      <c r="N86" t="s" s="0">
        <v>81</v>
      </c>
      <c r="O86" t="s" s="0">
        <v>2271</v>
      </c>
      <c r="P86" t="s" s="0">
        <v>2272</v>
      </c>
      <c r="Q86" t="s" s="0">
        <v>87</v>
      </c>
      <c r="R86" t="s" s="0">
        <v>81</v>
      </c>
      <c r="S86" t="s" s="0">
        <v>81</v>
      </c>
      <c r="T86" t="s" s="0">
        <v>81</v>
      </c>
      <c r="U86" t="s" s="0">
        <v>81</v>
      </c>
      <c r="V86" t="s" s="0">
        <v>2273</v>
      </c>
      <c r="W86" t="s" s="0">
        <v>2158</v>
      </c>
      <c r="X86" t="s" s="0">
        <v>81</v>
      </c>
      <c r="Y86" t="s" s="0">
        <v>81</v>
      </c>
      <c r="Z86" t="s" s="0">
        <v>90</v>
      </c>
      <c r="AA86" t="s" s="0">
        <v>91</v>
      </c>
      <c r="AB86" t="s" s="0">
        <v>81</v>
      </c>
      <c r="AC86" t="s" s="0">
        <v>81</v>
      </c>
      <c r="AD86" t="s" s="0">
        <v>81</v>
      </c>
      <c r="AE86" t="s" s="0">
        <v>81</v>
      </c>
      <c r="AF86" t="s" s="0">
        <v>81</v>
      </c>
      <c r="AG86" t="s" s="0">
        <v>2274</v>
      </c>
      <c r="AH86" t="s" s="0">
        <v>600</v>
      </c>
      <c r="AI86" t="s" s="0">
        <v>81</v>
      </c>
      <c r="AJ86" t="s" s="0">
        <v>81</v>
      </c>
      <c r="AK86" t="s" s="0">
        <v>81</v>
      </c>
      <c r="AL86" t="s" s="0">
        <v>2275</v>
      </c>
      <c r="AM86" t="s" s="0">
        <v>77</v>
      </c>
      <c r="AN86" t="s" s="0">
        <v>77</v>
      </c>
      <c r="AO86" t="s" s="0">
        <v>77</v>
      </c>
      <c r="AP86" t="s" s="0">
        <v>77</v>
      </c>
      <c r="AQ86" t="s" s="0">
        <v>1344</v>
      </c>
      <c r="AR86" t="s" s="0">
        <v>1345</v>
      </c>
      <c r="AS86" t="s" s="0">
        <v>1346</v>
      </c>
      <c r="AT86" t="s" s="0">
        <v>2163</v>
      </c>
      <c r="AU86" t="s" s="0">
        <v>2164</v>
      </c>
      <c r="AV86" t="s" s="0">
        <v>81</v>
      </c>
      <c r="AW86" t="s" s="0">
        <v>2165</v>
      </c>
      <c r="AX86" t="s" s="0">
        <v>2166</v>
      </c>
      <c r="AY86" t="s" s="0">
        <v>2276</v>
      </c>
      <c r="AZ86" t="s" s="0">
        <v>103</v>
      </c>
      <c r="BA86" t="s" s="0">
        <v>1050</v>
      </c>
      <c r="BB86" t="s" s="0">
        <v>81</v>
      </c>
      <c r="BC86" t="s" s="0">
        <v>81</v>
      </c>
      <c r="BD86" t="s" s="0">
        <v>97</v>
      </c>
      <c r="BE86" t="s" s="0">
        <v>81</v>
      </c>
      <c r="BF86" t="s" s="0">
        <v>81</v>
      </c>
      <c r="BG86" t="s" s="0">
        <v>81</v>
      </c>
      <c r="BH86" t="s" s="0">
        <v>81</v>
      </c>
      <c r="BI86" t="s" s="0">
        <v>2277</v>
      </c>
      <c r="BJ86" t="s" s="0">
        <v>2278</v>
      </c>
      <c r="BK86" t="s" s="168">
        <f>HYPERLINK("http://dx.doi.org/10.1016/j.engappai.2026.115812","http://dx.doi.org/10.1016/j.engappai.2026.115812")</f>
        <v>2279</v>
      </c>
      <c r="BL86" t="s" s="0">
        <v>81</v>
      </c>
      <c r="BM86" t="s" s="0">
        <v>81</v>
      </c>
      <c r="BN86" t="s" s="0">
        <v>222</v>
      </c>
      <c r="BO86" t="s" s="0">
        <v>2172</v>
      </c>
      <c r="BP86" t="s" s="0">
        <v>2173</v>
      </c>
      <c r="BQ86" t="s" s="0">
        <v>2280</v>
      </c>
      <c r="BR86" t="s" s="0">
        <v>81</v>
      </c>
      <c r="BS86" t="s" s="0">
        <v>2281</v>
      </c>
      <c r="BT86" t="s" s="169">
        <f>HYPERLINK("https://www.webofscience.com/wos/woscc/full-record/WOS:001843258300001","View Record in Web of Science")</f>
        <v>114</v>
      </c>
      <c r="BU86" t="s" s="0">
        <v>81</v>
      </c>
      <c r="BV86" t="s" s="0">
        <v>81</v>
      </c>
      <c r="BW86" t="s" s="0">
        <v>81</v>
      </c>
      <c r="BX86" t="s" s="0">
        <v>116</v>
      </c>
    </row>
    <row r="87">
      <c r="A87" t="s" s="0">
        <v>77</v>
      </c>
      <c r="B87" t="s" s="0">
        <v>77</v>
      </c>
      <c r="C87" t="s" s="0">
        <v>77</v>
      </c>
      <c r="D87" t="s" s="0">
        <v>77</v>
      </c>
      <c r="E87" t="s" s="0">
        <v>2282</v>
      </c>
      <c r="F87" t="s" s="0">
        <v>2283</v>
      </c>
      <c r="G87" t="s" s="0">
        <v>2284</v>
      </c>
      <c r="H87" t="s" s="0">
        <v>81</v>
      </c>
      <c r="I87" t="s" s="0">
        <v>82</v>
      </c>
      <c r="J87" t="s" s="0">
        <v>2285</v>
      </c>
      <c r="K87" t="s" s="0">
        <v>2286</v>
      </c>
      <c r="L87" t="s" s="0">
        <v>2287</v>
      </c>
      <c r="M87" t="s" s="0">
        <v>2288</v>
      </c>
      <c r="N87" t="s" s="0">
        <v>2289</v>
      </c>
      <c r="O87" t="s" s="0">
        <v>2290</v>
      </c>
      <c r="P87" t="s" s="0">
        <v>2291</v>
      </c>
      <c r="Q87" t="s" s="0">
        <v>87</v>
      </c>
      <c r="R87" t="s" s="0">
        <v>81</v>
      </c>
      <c r="S87" t="s" s="0">
        <v>81</v>
      </c>
      <c r="T87" t="s" s="0">
        <v>81</v>
      </c>
      <c r="U87" t="s" s="0">
        <v>81</v>
      </c>
      <c r="V87" t="s" s="0">
        <v>2292</v>
      </c>
      <c r="W87" t="s" s="0">
        <v>2293</v>
      </c>
      <c r="X87" t="s" s="0">
        <v>81</v>
      </c>
      <c r="Y87" t="s" s="0">
        <v>81</v>
      </c>
      <c r="Z87" t="s" s="0">
        <v>90</v>
      </c>
      <c r="AA87" t="s" s="0">
        <v>91</v>
      </c>
      <c r="AB87" t="s" s="0">
        <v>81</v>
      </c>
      <c r="AC87" t="s" s="0">
        <v>81</v>
      </c>
      <c r="AD87" t="s" s="0">
        <v>81</v>
      </c>
      <c r="AE87" t="s" s="0">
        <v>81</v>
      </c>
      <c r="AF87" t="s" s="0">
        <v>81</v>
      </c>
      <c r="AG87" t="s" s="0">
        <v>2294</v>
      </c>
      <c r="AH87" t="s" s="0">
        <v>2295</v>
      </c>
      <c r="AI87" t="s" s="0">
        <v>81</v>
      </c>
      <c r="AJ87" t="s" s="0">
        <v>81</v>
      </c>
      <c r="AK87" t="s" s="0">
        <v>81</v>
      </c>
      <c r="AL87" t="s" s="0">
        <v>2296</v>
      </c>
      <c r="AM87" t="s" s="0">
        <v>77</v>
      </c>
      <c r="AN87" t="s" s="0">
        <v>77</v>
      </c>
      <c r="AO87" t="s" s="0">
        <v>77</v>
      </c>
      <c r="AP87" t="s" s="0">
        <v>77</v>
      </c>
      <c r="AQ87" t="s" s="0">
        <v>136</v>
      </c>
      <c r="AR87" t="s" s="0">
        <v>137</v>
      </c>
      <c r="AS87" t="s" s="0">
        <v>138</v>
      </c>
      <c r="AT87" t="s" s="0">
        <v>2297</v>
      </c>
      <c r="AU87" t="s" s="0">
        <v>2298</v>
      </c>
      <c r="AV87" t="s" s="0">
        <v>81</v>
      </c>
      <c r="AW87" t="s" s="0">
        <v>2299</v>
      </c>
      <c r="AX87" t="s" s="0">
        <v>2300</v>
      </c>
      <c r="AY87" t="s" s="0">
        <v>2301</v>
      </c>
      <c r="AZ87" t="s" s="0">
        <v>103</v>
      </c>
      <c r="BA87" t="s" s="0">
        <v>2302</v>
      </c>
      <c r="BB87" t="s" s="0">
        <v>81</v>
      </c>
      <c r="BC87" t="s" s="0">
        <v>81</v>
      </c>
      <c r="BD87" t="s" s="0">
        <v>81</v>
      </c>
      <c r="BE87" t="s" s="0">
        <v>81</v>
      </c>
      <c r="BF87" t="s" s="0">
        <v>81</v>
      </c>
      <c r="BG87" t="s" s="0">
        <v>81</v>
      </c>
      <c r="BH87" t="s" s="0">
        <v>81</v>
      </c>
      <c r="BI87" t="s" s="0">
        <v>2303</v>
      </c>
      <c r="BJ87" t="s" s="0">
        <v>2304</v>
      </c>
      <c r="BK87" t="s" s="170">
        <f>HYPERLINK("http://dx.doi.org/10.1016/j.media.2026.104159","http://dx.doi.org/10.1016/j.media.2026.104159")</f>
        <v>2305</v>
      </c>
      <c r="BL87" t="s" s="0">
        <v>81</v>
      </c>
      <c r="BM87" t="s" s="0">
        <v>81</v>
      </c>
      <c r="BN87" t="s" s="0">
        <v>434</v>
      </c>
      <c r="BO87" t="s" s="0">
        <v>2306</v>
      </c>
      <c r="BP87" t="s" s="0">
        <v>2307</v>
      </c>
      <c r="BQ87" t="s" s="0">
        <v>2308</v>
      </c>
      <c r="BR87" t="s" s="0">
        <v>2309</v>
      </c>
      <c r="BS87" t="s" s="0">
        <v>2310</v>
      </c>
      <c r="BT87" t="s" s="171">
        <f>HYPERLINK("https://www.webofscience.com/wos/woscc/full-record/WOS:001828863100001","View Record in Web of Science")</f>
        <v>114</v>
      </c>
      <c r="BU87" t="s" s="0">
        <v>81</v>
      </c>
      <c r="BV87" t="s" s="0">
        <v>81</v>
      </c>
      <c r="BW87" t="s" s="0">
        <v>81</v>
      </c>
      <c r="BX87" t="s" s="0">
        <v>116</v>
      </c>
    </row>
    <row r="88">
      <c r="A88" t="s" s="0">
        <v>77</v>
      </c>
      <c r="B88" t="s" s="0">
        <v>77</v>
      </c>
      <c r="C88" t="s" s="0">
        <v>196</v>
      </c>
      <c r="D88" t="s" s="0">
        <v>77</v>
      </c>
      <c r="E88" t="s" s="0">
        <v>2311</v>
      </c>
      <c r="F88" t="s" s="0">
        <v>2312</v>
      </c>
      <c r="G88" t="s" s="0">
        <v>2313</v>
      </c>
      <c r="H88" t="s" s="0">
        <v>81</v>
      </c>
      <c r="I88" t="s" s="0">
        <v>82</v>
      </c>
      <c r="J88" t="s" s="0">
        <v>2314</v>
      </c>
      <c r="K88" t="s" s="0">
        <v>2315</v>
      </c>
      <c r="L88" t="s" s="0">
        <v>81</v>
      </c>
      <c r="M88" t="s" s="0">
        <v>81</v>
      </c>
      <c r="N88" t="s" s="0">
        <v>81</v>
      </c>
      <c r="O88" t="s" s="0">
        <v>2316</v>
      </c>
      <c r="P88" t="s" s="0">
        <v>2317</v>
      </c>
      <c r="Q88" t="s" s="0">
        <v>87</v>
      </c>
      <c r="R88" t="s" s="0">
        <v>81</v>
      </c>
      <c r="S88" t="s" s="0">
        <v>81</v>
      </c>
      <c r="T88" t="s" s="0">
        <v>81</v>
      </c>
      <c r="U88" t="s" s="0">
        <v>81</v>
      </c>
      <c r="V88" t="s" s="0">
        <v>2318</v>
      </c>
      <c r="W88" t="s" s="0">
        <v>2319</v>
      </c>
      <c r="X88" t="s" s="0">
        <v>81</v>
      </c>
      <c r="Y88" t="s" s="0">
        <v>81</v>
      </c>
      <c r="Z88" t="s" s="0">
        <v>90</v>
      </c>
      <c r="AA88" t="s" s="0">
        <v>91</v>
      </c>
      <c r="AB88" t="s" s="0">
        <v>81</v>
      </c>
      <c r="AC88" t="s" s="0">
        <v>81</v>
      </c>
      <c r="AD88" t="s" s="0">
        <v>81</v>
      </c>
      <c r="AE88" t="s" s="0">
        <v>81</v>
      </c>
      <c r="AF88" t="s" s="0">
        <v>81</v>
      </c>
      <c r="AG88" t="s" s="0">
        <v>81</v>
      </c>
      <c r="AH88" t="s" s="0">
        <v>2320</v>
      </c>
      <c r="AI88" t="s" s="0">
        <v>2321</v>
      </c>
      <c r="AJ88" t="s" s="0">
        <v>2322</v>
      </c>
      <c r="AK88" t="s" s="0">
        <v>81</v>
      </c>
      <c r="AL88" t="s" s="0">
        <v>344</v>
      </c>
      <c r="AM88" t="s" s="0">
        <v>211</v>
      </c>
      <c r="AN88" t="s" s="0">
        <v>211</v>
      </c>
      <c r="AO88" t="s" s="0">
        <v>77</v>
      </c>
      <c r="AP88" t="s" s="0">
        <v>175</v>
      </c>
      <c r="AQ88" t="s" s="0">
        <v>2323</v>
      </c>
      <c r="AR88" t="s" s="0">
        <v>2324</v>
      </c>
      <c r="AS88" t="s" s="0">
        <v>2325</v>
      </c>
      <c r="AT88" t="s" s="0">
        <v>2326</v>
      </c>
      <c r="AU88" t="s" s="0">
        <v>2327</v>
      </c>
      <c r="AV88" t="s" s="0">
        <v>81</v>
      </c>
      <c r="AW88" t="s" s="0">
        <v>2328</v>
      </c>
      <c r="AX88" t="s" s="0">
        <v>2329</v>
      </c>
      <c r="AY88" t="s" s="0">
        <v>227</v>
      </c>
      <c r="AZ88" t="s" s="0">
        <v>220</v>
      </c>
      <c r="BA88" t="s" s="0">
        <v>925</v>
      </c>
      <c r="BB88" t="s" s="0">
        <v>316</v>
      </c>
      <c r="BC88" t="s" s="0">
        <v>81</v>
      </c>
      <c r="BD88" t="s" s="0">
        <v>81</v>
      </c>
      <c r="BE88" t="s" s="0">
        <v>81</v>
      </c>
      <c r="BF88" t="s" s="0">
        <v>81</v>
      </c>
      <c r="BG88" t="s" s="0">
        <v>2330</v>
      </c>
      <c r="BH88" t="s" s="0">
        <v>2331</v>
      </c>
      <c r="BI88" t="s" s="0">
        <v>81</v>
      </c>
      <c r="BJ88" t="s" s="0">
        <v>2332</v>
      </c>
      <c r="BK88" t="s" s="172">
        <f>HYPERLINK("http://dx.doi.org/10.5489/cuaj.7473","http://dx.doi.org/10.5489/cuaj.7473")</f>
        <v>2333</v>
      </c>
      <c r="BL88" t="s" s="0">
        <v>81</v>
      </c>
      <c r="BM88" t="s" s="0">
        <v>81</v>
      </c>
      <c r="BN88" t="s" s="0">
        <v>261</v>
      </c>
      <c r="BO88" t="s" s="0">
        <v>2334</v>
      </c>
      <c r="BP88" t="s" s="0">
        <v>2334</v>
      </c>
      <c r="BQ88" t="s" s="0">
        <v>2335</v>
      </c>
      <c r="BR88" t="s" s="0">
        <v>2336</v>
      </c>
      <c r="BS88" t="s" s="0">
        <v>2337</v>
      </c>
      <c r="BT88" t="s" s="173">
        <f>HYPERLINK("https://www.webofscience.com/wos/woscc/full-record/WOS:000808231100010","View Record in Web of Science")</f>
        <v>114</v>
      </c>
      <c r="BU88" t="s" s="0">
        <v>301</v>
      </c>
      <c r="BV88" t="s" s="0">
        <v>81</v>
      </c>
      <c r="BW88" t="s" s="0">
        <v>81</v>
      </c>
      <c r="BX88" t="s" s="0">
        <v>116</v>
      </c>
    </row>
    <row r="89">
      <c r="A89" t="s" s="0">
        <v>77</v>
      </c>
      <c r="B89" t="s" s="0">
        <v>77</v>
      </c>
      <c r="C89" t="s" s="0">
        <v>77</v>
      </c>
      <c r="D89" t="s" s="0">
        <v>77</v>
      </c>
      <c r="E89" t="s" s="0">
        <v>2338</v>
      </c>
      <c r="F89" t="s" s="0">
        <v>2339</v>
      </c>
      <c r="G89" t="s" s="0">
        <v>2340</v>
      </c>
      <c r="H89" t="s" s="0">
        <v>81</v>
      </c>
      <c r="I89" t="s" s="0">
        <v>589</v>
      </c>
      <c r="J89" t="s" s="0">
        <v>2341</v>
      </c>
      <c r="K89" t="s" s="0">
        <v>2342</v>
      </c>
      <c r="L89" t="s" s="0">
        <v>81</v>
      </c>
      <c r="M89" t="s" s="0">
        <v>81</v>
      </c>
      <c r="N89" t="s" s="0">
        <v>81</v>
      </c>
      <c r="O89" t="s" s="0">
        <v>2343</v>
      </c>
      <c r="P89" t="s" s="0">
        <v>2344</v>
      </c>
      <c r="Q89" t="s" s="0">
        <v>87</v>
      </c>
      <c r="R89" t="s" s="0">
        <v>81</v>
      </c>
      <c r="S89" t="s" s="0">
        <v>81</v>
      </c>
      <c r="T89" t="s" s="0">
        <v>81</v>
      </c>
      <c r="U89" t="s" s="0">
        <v>81</v>
      </c>
      <c r="V89" t="s" s="0">
        <v>2345</v>
      </c>
      <c r="W89" t="s" s="0">
        <v>2346</v>
      </c>
      <c r="X89" t="s" s="0">
        <v>81</v>
      </c>
      <c r="Y89" t="s" s="0">
        <v>81</v>
      </c>
      <c r="Z89" t="s" s="0">
        <v>90</v>
      </c>
      <c r="AA89" t="s" s="0">
        <v>91</v>
      </c>
      <c r="AB89" t="s" s="0">
        <v>81</v>
      </c>
      <c r="AC89" t="s" s="0">
        <v>81</v>
      </c>
      <c r="AD89" t="s" s="0">
        <v>81</v>
      </c>
      <c r="AE89" t="s" s="0">
        <v>81</v>
      </c>
      <c r="AF89" t="s" s="0">
        <v>81</v>
      </c>
      <c r="AG89" t="s" s="0">
        <v>2347</v>
      </c>
      <c r="AH89" t="s" s="0">
        <v>81</v>
      </c>
      <c r="AI89" t="s" s="0">
        <v>2348</v>
      </c>
      <c r="AJ89" t="s" s="0">
        <v>81</v>
      </c>
      <c r="AK89" t="s" s="0">
        <v>81</v>
      </c>
      <c r="AL89" t="s" s="0">
        <v>367</v>
      </c>
      <c r="AM89" t="s" s="0">
        <v>381</v>
      </c>
      <c r="AN89" t="s" s="0">
        <v>261</v>
      </c>
      <c r="AO89" t="s" s="0">
        <v>228</v>
      </c>
      <c r="AP89" t="s" s="0">
        <v>252</v>
      </c>
      <c r="AQ89" t="s" s="0">
        <v>726</v>
      </c>
      <c r="AR89" t="s" s="0">
        <v>727</v>
      </c>
      <c r="AS89" t="s" s="0">
        <v>728</v>
      </c>
      <c r="AT89" t="s" s="0">
        <v>2349</v>
      </c>
      <c r="AU89" t="s" s="0">
        <v>2350</v>
      </c>
      <c r="AV89" t="s" s="0">
        <v>81</v>
      </c>
      <c r="AW89" t="s" s="0">
        <v>2351</v>
      </c>
      <c r="AX89" t="s" s="0">
        <v>2352</v>
      </c>
      <c r="AY89" t="s" s="0">
        <v>2353</v>
      </c>
      <c r="AZ89" t="s" s="0">
        <v>290</v>
      </c>
      <c r="BA89" t="s" s="0">
        <v>109</v>
      </c>
      <c r="BB89" t="s" s="0">
        <v>196</v>
      </c>
      <c r="BC89" t="s" s="0">
        <v>81</v>
      </c>
      <c r="BD89" t="s" s="0">
        <v>81</v>
      </c>
      <c r="BE89" t="s" s="0">
        <v>81</v>
      </c>
      <c r="BF89" t="s" s="0">
        <v>81</v>
      </c>
      <c r="BG89" t="s" s="0">
        <v>81</v>
      </c>
      <c r="BH89" t="s" s="0">
        <v>81</v>
      </c>
      <c r="BI89" t="s" s="0">
        <v>2354</v>
      </c>
      <c r="BJ89" t="s" s="0">
        <v>2355</v>
      </c>
      <c r="BK89" t="s" s="174">
        <f>HYPERLINK("http://dx.doi.org/10.1111/asap.70031","http://dx.doi.org/10.1111/asap.70031")</f>
        <v>2356</v>
      </c>
      <c r="BL89" t="s" s="0">
        <v>81</v>
      </c>
      <c r="BM89" t="s" s="0">
        <v>81</v>
      </c>
      <c r="BN89" t="s" s="0">
        <v>316</v>
      </c>
      <c r="BO89" t="s" s="0">
        <v>2357</v>
      </c>
      <c r="BP89" t="s" s="0">
        <v>2358</v>
      </c>
      <c r="BQ89" t="s" s="0">
        <v>2359</v>
      </c>
      <c r="BR89" t="s" s="0">
        <v>81</v>
      </c>
      <c r="BS89" t="s" s="0">
        <v>2360</v>
      </c>
      <c r="BT89" t="s" s="175">
        <f>HYPERLINK("https://www.webofscience.com/wos/woscc/full-record/WOS:001650765000014","View Record in Web of Science")</f>
        <v>114</v>
      </c>
      <c r="BU89" t="s" s="0">
        <v>155</v>
      </c>
      <c r="BV89" t="s" s="0">
        <v>81</v>
      </c>
      <c r="BW89" t="s" s="0">
        <v>81</v>
      </c>
      <c r="BX89" t="s" s="0">
        <v>116</v>
      </c>
    </row>
    <row r="90">
      <c r="A90" t="s" s="0">
        <v>77</v>
      </c>
      <c r="B90" t="s" s="0">
        <v>77</v>
      </c>
      <c r="C90" t="s" s="0">
        <v>77</v>
      </c>
      <c r="D90" t="s" s="0">
        <v>77</v>
      </c>
      <c r="E90" t="s" s="0">
        <v>2361</v>
      </c>
      <c r="F90" t="s" s="0">
        <v>2362</v>
      </c>
      <c r="G90" t="s" s="0">
        <v>2363</v>
      </c>
      <c r="H90" t="s" s="0">
        <v>81</v>
      </c>
      <c r="I90" t="s" s="0">
        <v>82</v>
      </c>
      <c r="J90" t="s" s="0">
        <v>2364</v>
      </c>
      <c r="K90" t="s" s="0">
        <v>2365</v>
      </c>
      <c r="L90" t="s" s="0">
        <v>81</v>
      </c>
      <c r="M90" t="s" s="0">
        <v>81</v>
      </c>
      <c r="N90" t="s" s="0">
        <v>81</v>
      </c>
      <c r="O90" t="s" s="0">
        <v>2366</v>
      </c>
      <c r="P90" t="s" s="0">
        <v>2367</v>
      </c>
      <c r="Q90" t="s" s="0">
        <v>87</v>
      </c>
      <c r="R90" t="s" s="0">
        <v>81</v>
      </c>
      <c r="S90" t="s" s="0">
        <v>81</v>
      </c>
      <c r="T90" t="s" s="0">
        <v>81</v>
      </c>
      <c r="U90" t="s" s="0">
        <v>81</v>
      </c>
      <c r="V90" t="s" s="0">
        <v>2368</v>
      </c>
      <c r="W90" t="s" s="0">
        <v>2369</v>
      </c>
      <c r="X90" t="s" s="0">
        <v>81</v>
      </c>
      <c r="Y90" t="s" s="0">
        <v>81</v>
      </c>
      <c r="Z90" t="s" s="0">
        <v>90</v>
      </c>
      <c r="AA90" t="s" s="0">
        <v>91</v>
      </c>
      <c r="AB90" t="s" s="0">
        <v>81</v>
      </c>
      <c r="AC90" t="s" s="0">
        <v>81</v>
      </c>
      <c r="AD90" t="s" s="0">
        <v>81</v>
      </c>
      <c r="AE90" t="s" s="0">
        <v>81</v>
      </c>
      <c r="AF90" t="s" s="0">
        <v>81</v>
      </c>
      <c r="AG90" t="s" s="0">
        <v>2370</v>
      </c>
      <c r="AH90" t="s" s="0">
        <v>600</v>
      </c>
      <c r="AI90" t="s" s="0">
        <v>81</v>
      </c>
      <c r="AJ90" t="s" s="0">
        <v>81</v>
      </c>
      <c r="AK90" t="s" s="0">
        <v>81</v>
      </c>
      <c r="AL90" t="s" s="0">
        <v>109</v>
      </c>
      <c r="AM90" t="s" s="0">
        <v>97</v>
      </c>
      <c r="AN90" t="s" s="0">
        <v>97</v>
      </c>
      <c r="AO90" t="s" s="0">
        <v>234</v>
      </c>
      <c r="AP90" t="s" s="0">
        <v>234</v>
      </c>
      <c r="AQ90" t="s" s="0">
        <v>98</v>
      </c>
      <c r="AR90" t="s" s="0">
        <v>99</v>
      </c>
      <c r="AS90" t="s" s="0">
        <v>100</v>
      </c>
      <c r="AT90" t="s" s="0">
        <v>2371</v>
      </c>
      <c r="AU90" t="s" s="0">
        <v>81</v>
      </c>
      <c r="AV90" t="s" s="0">
        <v>81</v>
      </c>
      <c r="AW90" t="s" s="0">
        <v>2372</v>
      </c>
      <c r="AX90" t="s" s="0">
        <v>2373</v>
      </c>
      <c r="AY90" t="s" s="0">
        <v>2374</v>
      </c>
      <c r="AZ90" t="s" s="0">
        <v>103</v>
      </c>
      <c r="BA90" t="s" s="0">
        <v>486</v>
      </c>
      <c r="BB90" t="s" s="0">
        <v>133</v>
      </c>
      <c r="BC90" t="s" s="0">
        <v>81</v>
      </c>
      <c r="BD90" t="s" s="0">
        <v>81</v>
      </c>
      <c r="BE90" t="s" s="0">
        <v>81</v>
      </c>
      <c r="BF90" t="s" s="0">
        <v>81</v>
      </c>
      <c r="BG90" t="s" s="0">
        <v>2375</v>
      </c>
      <c r="BH90" t="s" s="0">
        <v>2376</v>
      </c>
      <c r="BI90" t="s" s="0">
        <v>81</v>
      </c>
      <c r="BJ90" t="s" s="0">
        <v>2377</v>
      </c>
      <c r="BK90" t="s" s="176">
        <f>HYPERLINK("http://dx.doi.org/10.1109/JIOT.2025.3615253","http://dx.doi.org/10.1109/JIOT.2025.3615253")</f>
        <v>2378</v>
      </c>
      <c r="BL90" t="s" s="0">
        <v>81</v>
      </c>
      <c r="BM90" t="s" s="0">
        <v>81</v>
      </c>
      <c r="BN90" t="s" s="0">
        <v>381</v>
      </c>
      <c r="BO90" t="s" s="0">
        <v>110</v>
      </c>
      <c r="BP90" t="s" s="0">
        <v>111</v>
      </c>
      <c r="BQ90" t="s" s="0">
        <v>2379</v>
      </c>
      <c r="BR90" t="s" s="0">
        <v>81</v>
      </c>
      <c r="BS90" t="s" s="0">
        <v>2380</v>
      </c>
      <c r="BT90" t="s" s="177">
        <f>HYPERLINK("https://www.webofscience.com/wos/woscc/full-record/WOS:001696600200033","View Record in Web of Science")</f>
        <v>114</v>
      </c>
      <c r="BU90" t="s" s="0">
        <v>81</v>
      </c>
      <c r="BV90" t="s" s="0">
        <v>81</v>
      </c>
      <c r="BW90" t="s" s="0">
        <v>81</v>
      </c>
      <c r="BX90" t="s" s="0">
        <v>116</v>
      </c>
    </row>
    <row r="91">
      <c r="A91" t="s" s="0">
        <v>77</v>
      </c>
      <c r="B91" t="s" s="0">
        <v>77</v>
      </c>
      <c r="C91" t="s" s="0">
        <v>77</v>
      </c>
      <c r="D91" t="s" s="0">
        <v>77</v>
      </c>
      <c r="E91" t="s" s="0">
        <v>2381</v>
      </c>
      <c r="F91" t="s" s="0">
        <v>2382</v>
      </c>
      <c r="G91" t="s" s="0">
        <v>2383</v>
      </c>
      <c r="H91" t="s" s="0">
        <v>81</v>
      </c>
      <c r="I91" t="s" s="0">
        <v>82</v>
      </c>
      <c r="J91" t="s" s="0">
        <v>2384</v>
      </c>
      <c r="K91" t="s" s="0">
        <v>2385</v>
      </c>
      <c r="L91" t="s" s="0">
        <v>2386</v>
      </c>
      <c r="M91" t="s" s="0">
        <v>2387</v>
      </c>
      <c r="N91" t="s" s="0">
        <v>2388</v>
      </c>
      <c r="O91" t="s" s="0">
        <v>2389</v>
      </c>
      <c r="P91" t="s" s="0">
        <v>2390</v>
      </c>
      <c r="Q91" t="s" s="0">
        <v>87</v>
      </c>
      <c r="R91" t="s" s="0">
        <v>81</v>
      </c>
      <c r="S91" t="s" s="0">
        <v>81</v>
      </c>
      <c r="T91" t="s" s="0">
        <v>81</v>
      </c>
      <c r="U91" t="s" s="0">
        <v>81</v>
      </c>
      <c r="V91" t="s" s="0">
        <v>2391</v>
      </c>
      <c r="W91" t="s" s="0">
        <v>910</v>
      </c>
      <c r="X91" t="s" s="0">
        <v>81</v>
      </c>
      <c r="Y91" t="s" s="0">
        <v>81</v>
      </c>
      <c r="Z91" t="s" s="0">
        <v>90</v>
      </c>
      <c r="AA91" t="s" s="0">
        <v>91</v>
      </c>
      <c r="AB91" t="s" s="0">
        <v>81</v>
      </c>
      <c r="AC91" t="s" s="0">
        <v>81</v>
      </c>
      <c r="AD91" t="s" s="0">
        <v>81</v>
      </c>
      <c r="AE91" t="s" s="0">
        <v>81</v>
      </c>
      <c r="AF91" t="s" s="0">
        <v>81</v>
      </c>
      <c r="AG91" t="s" s="0">
        <v>81</v>
      </c>
      <c r="AH91" t="s" s="0">
        <v>2392</v>
      </c>
      <c r="AI91" t="s" s="0">
        <v>2393</v>
      </c>
      <c r="AJ91" t="s" s="0">
        <v>2394</v>
      </c>
      <c r="AK91" t="s" s="0">
        <v>81</v>
      </c>
      <c r="AL91" t="s" s="0">
        <v>150</v>
      </c>
      <c r="AM91" t="s" s="0">
        <v>77</v>
      </c>
      <c r="AN91" t="s" s="0">
        <v>77</v>
      </c>
      <c r="AO91" t="s" s="0">
        <v>77</v>
      </c>
      <c r="AP91" t="s" s="0">
        <v>77</v>
      </c>
      <c r="AQ91" t="s" s="0">
        <v>915</v>
      </c>
      <c r="AR91" t="s" s="0">
        <v>916</v>
      </c>
      <c r="AS91" t="s" s="0">
        <v>917</v>
      </c>
      <c r="AT91" t="s" s="0">
        <v>918</v>
      </c>
      <c r="AU91" t="s" s="0">
        <v>81</v>
      </c>
      <c r="AV91" t="s" s="0">
        <v>81</v>
      </c>
      <c r="AW91" t="s" s="0">
        <v>919</v>
      </c>
      <c r="AX91" t="s" s="0">
        <v>920</v>
      </c>
      <c r="AY91" t="s" s="0">
        <v>2395</v>
      </c>
      <c r="AZ91" t="s" s="0">
        <v>103</v>
      </c>
      <c r="BA91" t="s" s="0">
        <v>925</v>
      </c>
      <c r="BB91" t="s" s="0">
        <v>97</v>
      </c>
      <c r="BC91" t="s" s="0">
        <v>81</v>
      </c>
      <c r="BD91" t="s" s="0">
        <v>81</v>
      </c>
      <c r="BE91" t="s" s="0">
        <v>81</v>
      </c>
      <c r="BF91" t="s" s="0">
        <v>81</v>
      </c>
      <c r="BG91" t="s" s="0">
        <v>81</v>
      </c>
      <c r="BH91" t="s" s="0">
        <v>81</v>
      </c>
      <c r="BI91" t="s" s="0">
        <v>2396</v>
      </c>
      <c r="BJ91" t="s" s="0">
        <v>2397</v>
      </c>
      <c r="BK91" t="s" s="178">
        <f>HYPERLINK("http://dx.doi.org/10.1038/s41598-026-36904-5","http://dx.doi.org/10.1038/s41598-026-36904-5")</f>
        <v>2398</v>
      </c>
      <c r="BL91" t="s" s="0">
        <v>81</v>
      </c>
      <c r="BM91" t="s" s="0">
        <v>81</v>
      </c>
      <c r="BN91" t="s" s="0">
        <v>191</v>
      </c>
      <c r="BO91" t="s" s="0">
        <v>926</v>
      </c>
      <c r="BP91" t="s" s="0">
        <v>927</v>
      </c>
      <c r="BQ91" t="s" s="0">
        <v>2399</v>
      </c>
      <c r="BR91" t="s" s="0">
        <v>2400</v>
      </c>
      <c r="BS91" t="s" s="0">
        <v>2401</v>
      </c>
      <c r="BT91" t="s" s="179">
        <f>HYPERLINK("https://www.webofscience.com/wos/woscc/full-record/WOS:001688987700011","View Record in Web of Science")</f>
        <v>114</v>
      </c>
      <c r="BU91" t="s" s="0">
        <v>301</v>
      </c>
      <c r="BV91" t="s" s="0">
        <v>81</v>
      </c>
      <c r="BW91" t="s" s="0">
        <v>81</v>
      </c>
      <c r="BX91" t="s" s="0">
        <v>116</v>
      </c>
    </row>
    <row r="92">
      <c r="A92" t="s" s="0">
        <v>77</v>
      </c>
      <c r="B92" t="s" s="0">
        <v>77</v>
      </c>
      <c r="C92" t="s" s="0">
        <v>97</v>
      </c>
      <c r="D92" t="s" s="0">
        <v>77</v>
      </c>
      <c r="E92" t="s" s="0">
        <v>2402</v>
      </c>
      <c r="F92" t="s" s="0">
        <v>2403</v>
      </c>
      <c r="G92" t="s" s="0">
        <v>2404</v>
      </c>
      <c r="H92" t="s" s="0">
        <v>81</v>
      </c>
      <c r="I92" t="s" s="0">
        <v>82</v>
      </c>
      <c r="J92" t="s" s="0">
        <v>2405</v>
      </c>
      <c r="K92" t="s" s="0">
        <v>2406</v>
      </c>
      <c r="L92" t="s" s="0">
        <v>2407</v>
      </c>
      <c r="M92" t="s" s="0">
        <v>2408</v>
      </c>
      <c r="N92" t="s" s="0">
        <v>81</v>
      </c>
      <c r="O92" t="s" s="0">
        <v>2409</v>
      </c>
      <c r="P92" t="s" s="0">
        <v>2410</v>
      </c>
      <c r="Q92" t="s" s="0">
        <v>87</v>
      </c>
      <c r="R92" t="s" s="0">
        <v>81</v>
      </c>
      <c r="S92" t="s" s="0">
        <v>81</v>
      </c>
      <c r="T92" t="s" s="0">
        <v>81</v>
      </c>
      <c r="U92" t="s" s="0">
        <v>81</v>
      </c>
      <c r="V92" t="s" s="0">
        <v>2411</v>
      </c>
      <c r="W92" t="s" s="0">
        <v>2412</v>
      </c>
      <c r="X92" t="s" s="0">
        <v>81</v>
      </c>
      <c r="Y92" t="s" s="0">
        <v>81</v>
      </c>
      <c r="Z92" t="s" s="0">
        <v>90</v>
      </c>
      <c r="AA92" t="s" s="0">
        <v>91</v>
      </c>
      <c r="AB92" t="s" s="0">
        <v>81</v>
      </c>
      <c r="AC92" t="s" s="0">
        <v>81</v>
      </c>
      <c r="AD92" t="s" s="0">
        <v>81</v>
      </c>
      <c r="AE92" t="s" s="0">
        <v>81</v>
      </c>
      <c r="AF92" t="s" s="0">
        <v>81</v>
      </c>
      <c r="AG92" t="s" s="0">
        <v>81</v>
      </c>
      <c r="AH92" t="s" s="0">
        <v>2413</v>
      </c>
      <c r="AI92" t="s" s="0">
        <v>2414</v>
      </c>
      <c r="AJ92" t="s" s="0">
        <v>2415</v>
      </c>
      <c r="AK92" t="s" s="0">
        <v>81</v>
      </c>
      <c r="AL92" t="s" s="0">
        <v>1785</v>
      </c>
      <c r="AM92" t="s" s="0">
        <v>316</v>
      </c>
      <c r="AN92" t="s" s="0">
        <v>316</v>
      </c>
      <c r="AO92" t="s" s="0">
        <v>196</v>
      </c>
      <c r="AP92" t="s" s="0">
        <v>381</v>
      </c>
      <c r="AQ92" t="s" s="0">
        <v>2416</v>
      </c>
      <c r="AR92" t="s" s="0">
        <v>604</v>
      </c>
      <c r="AS92" t="s" s="0">
        <v>2417</v>
      </c>
      <c r="AT92" t="s" s="0">
        <v>2418</v>
      </c>
      <c r="AU92" t="s" s="0">
        <v>2419</v>
      </c>
      <c r="AV92" t="s" s="0">
        <v>81</v>
      </c>
      <c r="AW92" t="s" s="0">
        <v>2420</v>
      </c>
      <c r="AX92" t="s" s="0">
        <v>2421</v>
      </c>
      <c r="AY92" t="s" s="0">
        <v>1183</v>
      </c>
      <c r="AZ92" t="s" s="0">
        <v>185</v>
      </c>
      <c r="BA92" t="s" s="0">
        <v>2422</v>
      </c>
      <c r="BB92" t="s" s="0">
        <v>316</v>
      </c>
      <c r="BC92" t="s" s="0">
        <v>81</v>
      </c>
      <c r="BD92" t="s" s="0">
        <v>81</v>
      </c>
      <c r="BE92" t="s" s="0">
        <v>81</v>
      </c>
      <c r="BF92" t="s" s="0">
        <v>81</v>
      </c>
      <c r="BG92" t="s" s="0">
        <v>2423</v>
      </c>
      <c r="BH92" t="s" s="0">
        <v>2424</v>
      </c>
      <c r="BI92" t="s" s="0">
        <v>81</v>
      </c>
      <c r="BJ92" t="s" s="0">
        <v>2425</v>
      </c>
      <c r="BK92" t="s" s="180">
        <f>HYPERLINK("http://dx.doi.org/10.1053/j.ajkd.2024.04.008","http://dx.doi.org/10.1053/j.ajkd.2024.04.008")</f>
        <v>2426</v>
      </c>
      <c r="BL92" t="s" s="0">
        <v>81</v>
      </c>
      <c r="BM92" t="s" s="0">
        <v>2427</v>
      </c>
      <c r="BN92" t="s" s="0">
        <v>234</v>
      </c>
      <c r="BO92" t="s" s="0">
        <v>2334</v>
      </c>
      <c r="BP92" t="s" s="0">
        <v>2334</v>
      </c>
      <c r="BQ92" t="s" s="0">
        <v>2428</v>
      </c>
      <c r="BR92" t="s" s="0">
        <v>2429</v>
      </c>
      <c r="BS92" t="s" s="0">
        <v>2430</v>
      </c>
      <c r="BT92" t="s" s="181">
        <f>HYPERLINK("https://www.webofscience.com/wos/woscc/full-record/WOS:001361971700001","View Record in Web of Science")</f>
        <v>114</v>
      </c>
      <c r="BU92" t="s" s="0">
        <v>233</v>
      </c>
      <c r="BV92" t="s" s="0">
        <v>81</v>
      </c>
      <c r="BW92" t="s" s="0">
        <v>81</v>
      </c>
      <c r="BX92" t="s" s="0">
        <v>116</v>
      </c>
    </row>
    <row r="93">
      <c r="A93" t="s" s="0">
        <v>77</v>
      </c>
      <c r="B93" t="s" s="0">
        <v>77</v>
      </c>
      <c r="C93" t="s" s="0">
        <v>77</v>
      </c>
      <c r="D93" t="s" s="0">
        <v>77</v>
      </c>
      <c r="E93" t="s" s="0">
        <v>2431</v>
      </c>
      <c r="F93" t="s" s="0">
        <v>2432</v>
      </c>
      <c r="G93" t="s" s="0">
        <v>2433</v>
      </c>
      <c r="H93" t="s" s="0">
        <v>81</v>
      </c>
      <c r="I93" t="s" s="0">
        <v>238</v>
      </c>
      <c r="J93" t="s" s="0">
        <v>2434</v>
      </c>
      <c r="K93" t="s" s="0">
        <v>2435</v>
      </c>
      <c r="L93" t="s" s="0">
        <v>2436</v>
      </c>
      <c r="M93" t="s" s="0">
        <v>2437</v>
      </c>
      <c r="N93" t="s" s="0">
        <v>2438</v>
      </c>
      <c r="O93" t="s" s="0">
        <v>2439</v>
      </c>
      <c r="P93" t="s" s="0">
        <v>2440</v>
      </c>
      <c r="Q93" t="s" s="0">
        <v>87</v>
      </c>
      <c r="R93" t="s" s="0">
        <v>81</v>
      </c>
      <c r="S93" t="s" s="0">
        <v>81</v>
      </c>
      <c r="T93" t="s" s="0">
        <v>81</v>
      </c>
      <c r="U93" t="s" s="0">
        <v>81</v>
      </c>
      <c r="V93" t="s" s="0">
        <v>2441</v>
      </c>
      <c r="W93" t="s" s="0">
        <v>2442</v>
      </c>
      <c r="X93" t="s" s="0">
        <v>81</v>
      </c>
      <c r="Y93" t="s" s="0">
        <v>81</v>
      </c>
      <c r="Z93" t="s" s="0">
        <v>90</v>
      </c>
      <c r="AA93" t="s" s="0">
        <v>91</v>
      </c>
      <c r="AB93" t="s" s="0">
        <v>81</v>
      </c>
      <c r="AC93" t="s" s="0">
        <v>81</v>
      </c>
      <c r="AD93" t="s" s="0">
        <v>81</v>
      </c>
      <c r="AE93" t="s" s="0">
        <v>81</v>
      </c>
      <c r="AF93" t="s" s="0">
        <v>81</v>
      </c>
      <c r="AG93" t="s" s="0">
        <v>2443</v>
      </c>
      <c r="AH93" t="s" s="0">
        <v>2444</v>
      </c>
      <c r="AI93" t="s" s="0">
        <v>2445</v>
      </c>
      <c r="AJ93" t="s" s="0">
        <v>2446</v>
      </c>
      <c r="AK93" t="s" s="0">
        <v>81</v>
      </c>
      <c r="AL93" t="s" s="0">
        <v>2447</v>
      </c>
      <c r="AM93" t="s" s="0">
        <v>156</v>
      </c>
      <c r="AN93" t="s" s="0">
        <v>156</v>
      </c>
      <c r="AO93" t="s" s="0">
        <v>77</v>
      </c>
      <c r="AP93" t="s" s="0">
        <v>77</v>
      </c>
      <c r="AQ93" t="s" s="0">
        <v>2448</v>
      </c>
      <c r="AR93" t="s" s="0">
        <v>2449</v>
      </c>
      <c r="AS93" t="s" s="0">
        <v>2450</v>
      </c>
      <c r="AT93" t="s" s="0">
        <v>2451</v>
      </c>
      <c r="AU93" t="s" s="0">
        <v>2452</v>
      </c>
      <c r="AV93" t="s" s="0">
        <v>81</v>
      </c>
      <c r="AW93" t="s" s="0">
        <v>2453</v>
      </c>
      <c r="AX93" t="s" s="0">
        <v>2454</v>
      </c>
      <c r="AY93" t="s" s="0">
        <v>1542</v>
      </c>
      <c r="AZ93" t="s" s="0">
        <v>290</v>
      </c>
      <c r="BA93" t="s" s="0">
        <v>134</v>
      </c>
      <c r="BB93" t="s" s="0">
        <v>316</v>
      </c>
      <c r="BC93" t="s" s="0">
        <v>81</v>
      </c>
      <c r="BD93" t="s" s="0">
        <v>81</v>
      </c>
      <c r="BE93" t="s" s="0">
        <v>81</v>
      </c>
      <c r="BF93" t="s" s="0">
        <v>81</v>
      </c>
      <c r="BG93" t="s" s="0">
        <v>81</v>
      </c>
      <c r="BH93" t="s" s="0">
        <v>81</v>
      </c>
      <c r="BI93" t="s" s="0">
        <v>2455</v>
      </c>
      <c r="BJ93" t="s" s="0">
        <v>2456</v>
      </c>
      <c r="BK93" t="s" s="182">
        <f>HYPERLINK("http://dx.doi.org/10.1117/1.JMI.12.6.061407","http://dx.doi.org/10.1117/1.JMI.12.6.061407")</f>
        <v>2457</v>
      </c>
      <c r="BL93" t="s" s="0">
        <v>81</v>
      </c>
      <c r="BM93" t="s" s="0">
        <v>81</v>
      </c>
      <c r="BN93" t="s" s="0">
        <v>434</v>
      </c>
      <c r="BO93" t="s" s="0">
        <v>738</v>
      </c>
      <c r="BP93" t="s" s="0">
        <v>738</v>
      </c>
      <c r="BQ93" t="s" s="0">
        <v>2458</v>
      </c>
      <c r="BR93" t="s" s="0">
        <v>2459</v>
      </c>
      <c r="BS93" t="s" s="0">
        <v>2460</v>
      </c>
      <c r="BT93" t="s" s="183">
        <f>HYPERLINK("https://www.webofscience.com/wos/woscc/full-record/WOS:001651920000014","View Record in Web of Science")</f>
        <v>114</v>
      </c>
      <c r="BU93" t="s" s="0">
        <v>1055</v>
      </c>
      <c r="BV93" t="s" s="0">
        <v>81</v>
      </c>
      <c r="BW93" t="s" s="0">
        <v>81</v>
      </c>
      <c r="BX93" t="s" s="0">
        <v>116</v>
      </c>
    </row>
    <row r="94">
      <c r="A94" t="s" s="0">
        <v>77</v>
      </c>
      <c r="B94" t="s" s="0">
        <v>77</v>
      </c>
      <c r="C94" t="s" s="0">
        <v>97</v>
      </c>
      <c r="D94" t="s" s="0">
        <v>77</v>
      </c>
      <c r="E94" t="s" s="0">
        <v>2461</v>
      </c>
      <c r="F94" t="s" s="0">
        <v>2462</v>
      </c>
      <c r="G94" t="s" s="0">
        <v>2463</v>
      </c>
      <c r="H94" t="s" s="0">
        <v>81</v>
      </c>
      <c r="I94" t="s" s="0">
        <v>82</v>
      </c>
      <c r="J94" t="s" s="0">
        <v>2464</v>
      </c>
      <c r="K94" t="s" s="0">
        <v>2465</v>
      </c>
      <c r="L94" t="s" s="0">
        <v>2466</v>
      </c>
      <c r="M94" t="s" s="0">
        <v>1850</v>
      </c>
      <c r="N94" t="s" s="0">
        <v>2467</v>
      </c>
      <c r="O94" t="s" s="0">
        <v>2468</v>
      </c>
      <c r="P94" t="s" s="0">
        <v>2469</v>
      </c>
      <c r="Q94" t="s" s="0">
        <v>87</v>
      </c>
      <c r="R94" t="s" s="0">
        <v>81</v>
      </c>
      <c r="S94" t="s" s="0">
        <v>81</v>
      </c>
      <c r="T94" t="s" s="0">
        <v>81</v>
      </c>
      <c r="U94" t="s" s="0">
        <v>81</v>
      </c>
      <c r="V94" t="s" s="0">
        <v>2470</v>
      </c>
      <c r="W94" t="s" s="0">
        <v>89</v>
      </c>
      <c r="X94" t="s" s="0">
        <v>81</v>
      </c>
      <c r="Y94" t="s" s="0">
        <v>81</v>
      </c>
      <c r="Z94" t="s" s="0">
        <v>90</v>
      </c>
      <c r="AA94" t="s" s="0">
        <v>91</v>
      </c>
      <c r="AB94" t="s" s="0">
        <v>81</v>
      </c>
      <c r="AC94" t="s" s="0">
        <v>81</v>
      </c>
      <c r="AD94" t="s" s="0">
        <v>81</v>
      </c>
      <c r="AE94" t="s" s="0">
        <v>81</v>
      </c>
      <c r="AF94" t="s" s="0">
        <v>81</v>
      </c>
      <c r="AG94" t="s" s="0">
        <v>2471</v>
      </c>
      <c r="AH94" t="s" s="0">
        <v>2472</v>
      </c>
      <c r="AI94" t="s" s="0">
        <v>2473</v>
      </c>
      <c r="AJ94" t="s" s="0">
        <v>2474</v>
      </c>
      <c r="AK94" t="s" s="0">
        <v>81</v>
      </c>
      <c r="AL94" t="s" s="0">
        <v>1047</v>
      </c>
      <c r="AM94" t="s" s="0">
        <v>485</v>
      </c>
      <c r="AN94" t="s" s="0">
        <v>485</v>
      </c>
      <c r="AO94" t="s" s="0">
        <v>97</v>
      </c>
      <c r="AP94" t="s" s="0">
        <v>234</v>
      </c>
      <c r="AQ94" t="s" s="0">
        <v>98</v>
      </c>
      <c r="AR94" t="s" s="0">
        <v>99</v>
      </c>
      <c r="AS94" t="s" s="0">
        <v>100</v>
      </c>
      <c r="AT94" t="s" s="0">
        <v>101</v>
      </c>
      <c r="AU94" t="s" s="0">
        <v>81</v>
      </c>
      <c r="AV94" t="s" s="0">
        <v>81</v>
      </c>
      <c r="AW94" t="s" s="0">
        <v>89</v>
      </c>
      <c r="AX94" t="s" s="0">
        <v>102</v>
      </c>
      <c r="AY94" t="s" s="0">
        <v>260</v>
      </c>
      <c r="AZ94" t="s" s="0">
        <v>260</v>
      </c>
      <c r="BA94" t="s" s="0">
        <v>191</v>
      </c>
      <c r="BB94" t="s" s="0">
        <v>81</v>
      </c>
      <c r="BC94" t="s" s="0">
        <v>81</v>
      </c>
      <c r="BD94" t="s" s="0">
        <v>81</v>
      </c>
      <c r="BE94" t="s" s="0">
        <v>81</v>
      </c>
      <c r="BF94" t="s" s="0">
        <v>81</v>
      </c>
      <c r="BG94" t="s" s="0">
        <v>2475</v>
      </c>
      <c r="BH94" t="s" s="0">
        <v>2476</v>
      </c>
      <c r="BI94" t="s" s="0">
        <v>81</v>
      </c>
      <c r="BJ94" t="s" s="0">
        <v>2477</v>
      </c>
      <c r="BK94" t="s" s="184">
        <f>HYPERLINK("http://dx.doi.org/10.1109/ACCESS.2023.3330465","http://dx.doi.org/10.1109/ACCESS.2023.3330465")</f>
        <v>2478</v>
      </c>
      <c r="BL94" t="s" s="0">
        <v>81</v>
      </c>
      <c r="BM94" t="s" s="0">
        <v>81</v>
      </c>
      <c r="BN94" t="s" s="0">
        <v>485</v>
      </c>
      <c r="BO94" t="s" s="0">
        <v>110</v>
      </c>
      <c r="BP94" t="s" s="0">
        <v>111</v>
      </c>
      <c r="BQ94" t="s" s="0">
        <v>2479</v>
      </c>
      <c r="BR94" t="s" s="0">
        <v>81</v>
      </c>
      <c r="BS94" t="s" s="0">
        <v>2480</v>
      </c>
      <c r="BT94" t="s" s="185">
        <f>HYPERLINK("https://www.webofscience.com/wos/woscc/full-record/WOS:001104672300001","View Record in Web of Science")</f>
        <v>114</v>
      </c>
      <c r="BU94" t="s" s="0">
        <v>301</v>
      </c>
      <c r="BV94" t="s" s="0">
        <v>81</v>
      </c>
      <c r="BW94" t="s" s="0">
        <v>81</v>
      </c>
      <c r="BX94" t="s" s="0">
        <v>116</v>
      </c>
    </row>
    <row r="95">
      <c r="A95" t="s" s="0">
        <v>77</v>
      </c>
      <c r="B95" t="s" s="0">
        <v>77</v>
      </c>
      <c r="C95" t="s" s="0">
        <v>77</v>
      </c>
      <c r="D95" t="s" s="0">
        <v>77</v>
      </c>
      <c r="E95" t="s" s="0">
        <v>2481</v>
      </c>
      <c r="F95" t="s" s="0">
        <v>2482</v>
      </c>
      <c r="G95" t="s" s="0">
        <v>2483</v>
      </c>
      <c r="H95" t="s" s="0">
        <v>81</v>
      </c>
      <c r="I95" t="s" s="0">
        <v>82</v>
      </c>
      <c r="J95" t="s" s="0">
        <v>2484</v>
      </c>
      <c r="K95" t="s" s="0">
        <v>2485</v>
      </c>
      <c r="L95" t="s" s="0">
        <v>2486</v>
      </c>
      <c r="M95" t="s" s="0">
        <v>2487</v>
      </c>
      <c r="N95" t="s" s="0">
        <v>2488</v>
      </c>
      <c r="O95" t="s" s="0">
        <v>2489</v>
      </c>
      <c r="P95" t="s" s="0">
        <v>2490</v>
      </c>
      <c r="Q95" t="s" s="0">
        <v>87</v>
      </c>
      <c r="R95" t="s" s="0">
        <v>81</v>
      </c>
      <c r="S95" t="s" s="0">
        <v>81</v>
      </c>
      <c r="T95" t="s" s="0">
        <v>81</v>
      </c>
      <c r="U95" t="s" s="0">
        <v>81</v>
      </c>
      <c r="V95" t="s" s="0">
        <v>2491</v>
      </c>
      <c r="W95" t="s" s="0">
        <v>2492</v>
      </c>
      <c r="X95" t="s" s="0">
        <v>81</v>
      </c>
      <c r="Y95" t="s" s="0">
        <v>81</v>
      </c>
      <c r="Z95" t="s" s="0">
        <v>90</v>
      </c>
      <c r="AA95" t="s" s="0">
        <v>91</v>
      </c>
      <c r="AB95" t="s" s="0">
        <v>81</v>
      </c>
      <c r="AC95" t="s" s="0">
        <v>81</v>
      </c>
      <c r="AD95" t="s" s="0">
        <v>81</v>
      </c>
      <c r="AE95" t="s" s="0">
        <v>81</v>
      </c>
      <c r="AF95" t="s" s="0">
        <v>81</v>
      </c>
      <c r="AG95" t="s" s="0">
        <v>2493</v>
      </c>
      <c r="AH95" t="s" s="0">
        <v>81</v>
      </c>
      <c r="AI95" t="s" s="0">
        <v>2494</v>
      </c>
      <c r="AJ95" t="s" s="0">
        <v>2495</v>
      </c>
      <c r="AK95" t="s" s="0">
        <v>81</v>
      </c>
      <c r="AL95" t="s" s="0">
        <v>324</v>
      </c>
      <c r="AM95" t="s" s="0">
        <v>97</v>
      </c>
      <c r="AN95" t="s" s="0">
        <v>97</v>
      </c>
      <c r="AO95" t="s" s="0">
        <v>97</v>
      </c>
      <c r="AP95" t="s" s="0">
        <v>175</v>
      </c>
      <c r="AQ95" t="s" s="0">
        <v>177</v>
      </c>
      <c r="AR95" t="s" s="0">
        <v>178</v>
      </c>
      <c r="AS95" t="s" s="0">
        <v>179</v>
      </c>
      <c r="AT95" t="s" s="0">
        <v>2496</v>
      </c>
      <c r="AU95" t="s" s="0">
        <v>81</v>
      </c>
      <c r="AV95" t="s" s="0">
        <v>81</v>
      </c>
      <c r="AW95" t="s" s="0">
        <v>2497</v>
      </c>
      <c r="AX95" t="s" s="0">
        <v>2498</v>
      </c>
      <c r="AY95" t="s" s="0">
        <v>290</v>
      </c>
      <c r="AZ95" t="s" s="0">
        <v>290</v>
      </c>
      <c r="BA95" t="s" s="0">
        <v>343</v>
      </c>
      <c r="BB95" t="s" s="0">
        <v>81</v>
      </c>
      <c r="BC95" t="s" s="0">
        <v>81</v>
      </c>
      <c r="BD95" t="s" s="0">
        <v>81</v>
      </c>
      <c r="BE95" t="s" s="0">
        <v>81</v>
      </c>
      <c r="BF95" t="s" s="0">
        <v>81</v>
      </c>
      <c r="BG95" t="s" s="0">
        <v>81</v>
      </c>
      <c r="BH95" t="s" s="0">
        <v>81</v>
      </c>
      <c r="BI95" t="s" s="0">
        <v>2499</v>
      </c>
      <c r="BJ95" t="s" s="0">
        <v>2500</v>
      </c>
      <c r="BK95" t="s" s="186">
        <f>HYPERLINK("http://dx.doi.org/10.1016/j.nicl.2025.103790","http://dx.doi.org/10.1016/j.nicl.2025.103790")</f>
        <v>2501</v>
      </c>
      <c r="BL95" t="s" s="0">
        <v>81</v>
      </c>
      <c r="BM95" t="s" s="0">
        <v>2502</v>
      </c>
      <c r="BN95" t="s" s="0">
        <v>104</v>
      </c>
      <c r="BO95" t="s" s="0">
        <v>2503</v>
      </c>
      <c r="BP95" t="s" s="0">
        <v>2504</v>
      </c>
      <c r="BQ95" t="s" s="0">
        <v>2505</v>
      </c>
      <c r="BR95" t="s" s="0">
        <v>2506</v>
      </c>
      <c r="BS95" t="s" s="0">
        <v>2507</v>
      </c>
      <c r="BT95" t="s" s="187">
        <f>HYPERLINK("https://www.webofscience.com/wos/woscc/full-record/WOS:001477828800001","View Record in Web of Science")</f>
        <v>114</v>
      </c>
      <c r="BU95" t="s" s="0">
        <v>270</v>
      </c>
      <c r="BV95" t="s" s="0">
        <v>81</v>
      </c>
      <c r="BW95" t="s" s="0">
        <v>81</v>
      </c>
      <c r="BX95" t="s" s="0">
        <v>116</v>
      </c>
    </row>
    <row r="96">
      <c r="A96" t="s" s="0">
        <v>77</v>
      </c>
      <c r="B96" t="s" s="0">
        <v>77</v>
      </c>
      <c r="C96" t="s" s="0">
        <v>156</v>
      </c>
      <c r="D96" t="s" s="0">
        <v>77</v>
      </c>
      <c r="E96" t="s" s="0">
        <v>2508</v>
      </c>
      <c r="F96" t="s" s="0">
        <v>2509</v>
      </c>
      <c r="G96" t="s" s="0">
        <v>2510</v>
      </c>
      <c r="H96" t="s" s="0">
        <v>81</v>
      </c>
      <c r="I96" t="s" s="0">
        <v>528</v>
      </c>
      <c r="J96" t="s" s="0">
        <v>2511</v>
      </c>
      <c r="K96" t="s" s="0">
        <v>2512</v>
      </c>
      <c r="L96" t="s" s="0">
        <v>2513</v>
      </c>
      <c r="M96" t="s" s="0">
        <v>2514</v>
      </c>
      <c r="N96" t="s" s="0">
        <v>2515</v>
      </c>
      <c r="O96" t="s" s="0">
        <v>2516</v>
      </c>
      <c r="P96" t="s" s="0">
        <v>2517</v>
      </c>
      <c r="Q96" t="s" s="0">
        <v>87</v>
      </c>
      <c r="R96" t="s" s="0">
        <v>81</v>
      </c>
      <c r="S96" t="s" s="0">
        <v>81</v>
      </c>
      <c r="T96" t="s" s="0">
        <v>81</v>
      </c>
      <c r="U96" t="s" s="0">
        <v>81</v>
      </c>
      <c r="V96" t="s" s="0">
        <v>2518</v>
      </c>
      <c r="W96" t="s" s="0">
        <v>838</v>
      </c>
      <c r="X96" t="s" s="0">
        <v>81</v>
      </c>
      <c r="Y96" t="s" s="0">
        <v>81</v>
      </c>
      <c r="Z96" t="s" s="0">
        <v>90</v>
      </c>
      <c r="AA96" t="s" s="0">
        <v>91</v>
      </c>
      <c r="AB96" t="s" s="0">
        <v>81</v>
      </c>
      <c r="AC96" t="s" s="0">
        <v>81</v>
      </c>
      <c r="AD96" t="s" s="0">
        <v>81</v>
      </c>
      <c r="AE96" t="s" s="0">
        <v>81</v>
      </c>
      <c r="AF96" t="s" s="0">
        <v>81</v>
      </c>
      <c r="AG96" t="s" s="0">
        <v>2519</v>
      </c>
      <c r="AH96" t="s" s="0">
        <v>2520</v>
      </c>
      <c r="AI96" t="s" s="0">
        <v>2521</v>
      </c>
      <c r="AJ96" t="s" s="0">
        <v>2522</v>
      </c>
      <c r="AK96" t="s" s="0">
        <v>81</v>
      </c>
      <c r="AL96" t="s" s="0">
        <v>508</v>
      </c>
      <c r="AM96" t="s" s="0">
        <v>381</v>
      </c>
      <c r="AN96" t="s" s="0">
        <v>191</v>
      </c>
      <c r="AO96" t="s" s="0">
        <v>175</v>
      </c>
      <c r="AP96" t="s" s="0">
        <v>191</v>
      </c>
      <c r="AQ96" t="s" s="0">
        <v>368</v>
      </c>
      <c r="AR96" t="s" s="0">
        <v>369</v>
      </c>
      <c r="AS96" t="s" s="0">
        <v>370</v>
      </c>
      <c r="AT96" t="s" s="0">
        <v>81</v>
      </c>
      <c r="AU96" t="s" s="0">
        <v>842</v>
      </c>
      <c r="AV96" t="s" s="0">
        <v>81</v>
      </c>
      <c r="AW96" t="s" s="0">
        <v>843</v>
      </c>
      <c r="AX96" t="s" s="0">
        <v>844</v>
      </c>
      <c r="AY96" t="s" s="0">
        <v>2523</v>
      </c>
      <c r="AZ96" t="s" s="0">
        <v>185</v>
      </c>
      <c r="BA96" t="s" s="0">
        <v>134</v>
      </c>
      <c r="BB96" t="s" s="0">
        <v>81</v>
      </c>
      <c r="BC96" t="s" s="0">
        <v>81</v>
      </c>
      <c r="BD96" t="s" s="0">
        <v>81</v>
      </c>
      <c r="BE96" t="s" s="0">
        <v>81</v>
      </c>
      <c r="BF96" t="s" s="0">
        <v>81</v>
      </c>
      <c r="BG96" t="s" s="0">
        <v>81</v>
      </c>
      <c r="BH96" t="s" s="0">
        <v>81</v>
      </c>
      <c r="BI96" t="s" s="0">
        <v>2524</v>
      </c>
      <c r="BJ96" t="s" s="0">
        <v>2525</v>
      </c>
      <c r="BK96" t="s" s="188">
        <f>HYPERLINK("http://dx.doi.org/10.3389/fpubh.2024.1462693","http://dx.doi.org/10.3389/fpubh.2024.1462693")</f>
        <v>2526</v>
      </c>
      <c r="BL96" t="s" s="0">
        <v>81</v>
      </c>
      <c r="BM96" t="s" s="0">
        <v>81</v>
      </c>
      <c r="BN96" t="s" s="0">
        <v>925</v>
      </c>
      <c r="BO96" t="s" s="0">
        <v>850</v>
      </c>
      <c r="BP96" t="s" s="0">
        <v>850</v>
      </c>
      <c r="BQ96" t="s" s="0">
        <v>2527</v>
      </c>
      <c r="BR96" t="s" s="0">
        <v>2528</v>
      </c>
      <c r="BS96" t="s" s="0">
        <v>2529</v>
      </c>
      <c r="BT96" t="s" s="189">
        <f>HYPERLINK("https://www.webofscience.com/wos/woscc/full-record/WOS:001389316900001","View Record in Web of Science")</f>
        <v>114</v>
      </c>
      <c r="BU96" t="s" s="0">
        <v>301</v>
      </c>
      <c r="BV96" t="s" s="0">
        <v>81</v>
      </c>
      <c r="BW96" t="s" s="0">
        <v>81</v>
      </c>
      <c r="BX96" t="s" s="0">
        <v>116</v>
      </c>
    </row>
    <row r="97">
      <c r="A97" t="s" s="0">
        <v>77</v>
      </c>
      <c r="B97" t="s" s="0">
        <v>77</v>
      </c>
      <c r="C97" t="s" s="0">
        <v>77</v>
      </c>
      <c r="D97" t="s" s="0">
        <v>77</v>
      </c>
      <c r="E97" t="s" s="0">
        <v>2530</v>
      </c>
      <c r="F97" t="s" s="0">
        <v>2531</v>
      </c>
      <c r="G97" t="s" s="0">
        <v>2532</v>
      </c>
      <c r="H97" t="s" s="0">
        <v>81</v>
      </c>
      <c r="I97" t="s" s="0">
        <v>82</v>
      </c>
      <c r="J97" t="s" s="0">
        <v>2533</v>
      </c>
      <c r="K97" t="s" s="0">
        <v>2534</v>
      </c>
      <c r="L97" t="s" s="0">
        <v>2535</v>
      </c>
      <c r="M97" t="s" s="0">
        <v>2536</v>
      </c>
      <c r="N97" t="s" s="0">
        <v>2537</v>
      </c>
      <c r="O97" t="s" s="0">
        <v>2538</v>
      </c>
      <c r="P97" t="s" s="0">
        <v>2539</v>
      </c>
      <c r="Q97" t="s" s="0">
        <v>87</v>
      </c>
      <c r="R97" t="s" s="0">
        <v>81</v>
      </c>
      <c r="S97" t="s" s="0">
        <v>81</v>
      </c>
      <c r="T97" t="s" s="0">
        <v>81</v>
      </c>
      <c r="U97" t="s" s="0">
        <v>81</v>
      </c>
      <c r="V97" t="s" s="0">
        <v>2540</v>
      </c>
      <c r="W97" t="s" s="0">
        <v>2541</v>
      </c>
      <c r="X97" t="s" s="0">
        <v>81</v>
      </c>
      <c r="Y97" t="s" s="0">
        <v>81</v>
      </c>
      <c r="Z97" t="s" s="0">
        <v>90</v>
      </c>
      <c r="AA97" t="s" s="0">
        <v>91</v>
      </c>
      <c r="AB97" t="s" s="0">
        <v>81</v>
      </c>
      <c r="AC97" t="s" s="0">
        <v>81</v>
      </c>
      <c r="AD97" t="s" s="0">
        <v>81</v>
      </c>
      <c r="AE97" t="s" s="0">
        <v>81</v>
      </c>
      <c r="AF97" t="s" s="0">
        <v>81</v>
      </c>
      <c r="AG97" t="s" s="0">
        <v>81</v>
      </c>
      <c r="AH97" t="s" s="0">
        <v>2542</v>
      </c>
      <c r="AI97" t="s" s="0">
        <v>2543</v>
      </c>
      <c r="AJ97" t="s" s="0">
        <v>81</v>
      </c>
      <c r="AK97" t="s" s="0">
        <v>81</v>
      </c>
      <c r="AL97" t="s" s="0">
        <v>756</v>
      </c>
      <c r="AM97" t="s" s="0">
        <v>77</v>
      </c>
      <c r="AN97" t="s" s="0">
        <v>77</v>
      </c>
      <c r="AO97" t="s" s="0">
        <v>97</v>
      </c>
      <c r="AP97" t="s" s="0">
        <v>97</v>
      </c>
      <c r="AQ97" t="s" s="0">
        <v>2544</v>
      </c>
      <c r="AR97" t="s" s="0">
        <v>255</v>
      </c>
      <c r="AS97" t="s" s="0">
        <v>2545</v>
      </c>
      <c r="AT97" t="s" s="0">
        <v>2546</v>
      </c>
      <c r="AU97" t="s" s="0">
        <v>81</v>
      </c>
      <c r="AV97" t="s" s="0">
        <v>81</v>
      </c>
      <c r="AW97" t="s" s="0">
        <v>2547</v>
      </c>
      <c r="AX97" t="s" s="0">
        <v>2548</v>
      </c>
      <c r="AY97" t="s" s="0">
        <v>849</v>
      </c>
      <c r="AZ97" t="s" s="0">
        <v>103</v>
      </c>
      <c r="BA97" t="s" s="0">
        <v>81</v>
      </c>
      <c r="BB97" t="s" s="0">
        <v>2549</v>
      </c>
      <c r="BC97" t="s" s="0">
        <v>81</v>
      </c>
      <c r="BD97" t="s" s="0">
        <v>81</v>
      </c>
      <c r="BE97" t="s" s="0">
        <v>81</v>
      </c>
      <c r="BF97" t="s" s="0">
        <v>81</v>
      </c>
      <c r="BG97" t="s" s="0">
        <v>81</v>
      </c>
      <c r="BH97" t="s" s="0">
        <v>81</v>
      </c>
      <c r="BI97" t="s" s="0">
        <v>2550</v>
      </c>
      <c r="BJ97" t="s" s="0">
        <v>2551</v>
      </c>
      <c r="BK97" t="s" s="190">
        <f>HYPERLINK("http://dx.doi.org/10.3791/70011","http://dx.doi.org/10.3791/70011")</f>
        <v>2552</v>
      </c>
      <c r="BL97" t="s" s="0">
        <v>81</v>
      </c>
      <c r="BM97" t="s" s="0">
        <v>81</v>
      </c>
      <c r="BN97" t="s" s="0">
        <v>925</v>
      </c>
      <c r="BO97" t="s" s="0">
        <v>926</v>
      </c>
      <c r="BP97" t="s" s="0">
        <v>927</v>
      </c>
      <c r="BQ97" t="s" s="0">
        <v>2553</v>
      </c>
      <c r="BR97" t="s" s="0">
        <v>2554</v>
      </c>
      <c r="BS97" t="s" s="0">
        <v>2555</v>
      </c>
      <c r="BT97" t="s" s="191">
        <f>HYPERLINK("https://www.webofscience.com/wos/woscc/full-record/WOS:001819766200001","View Record in Web of Science")</f>
        <v>114</v>
      </c>
      <c r="BU97" t="s" s="0">
        <v>81</v>
      </c>
      <c r="BV97" t="s" s="0">
        <v>81</v>
      </c>
      <c r="BW97" t="s" s="0">
        <v>81</v>
      </c>
      <c r="BX97" t="s" s="0">
        <v>116</v>
      </c>
    </row>
    <row r="98">
      <c r="A98" t="s" s="0">
        <v>77</v>
      </c>
      <c r="B98" t="s" s="0">
        <v>77</v>
      </c>
      <c r="C98" t="s" s="0">
        <v>97</v>
      </c>
      <c r="D98" t="s" s="0">
        <v>77</v>
      </c>
      <c r="E98" t="s" s="0">
        <v>2556</v>
      </c>
      <c r="F98" t="s" s="0">
        <v>2557</v>
      </c>
      <c r="G98" t="s" s="0">
        <v>2558</v>
      </c>
      <c r="H98" t="s" s="0">
        <v>81</v>
      </c>
      <c r="I98" t="s" s="0">
        <v>82</v>
      </c>
      <c r="J98" t="s" s="0">
        <v>2559</v>
      </c>
      <c r="K98" t="s" s="0">
        <v>2560</v>
      </c>
      <c r="L98" t="s" s="0">
        <v>81</v>
      </c>
      <c r="M98" t="s" s="0">
        <v>81</v>
      </c>
      <c r="N98" t="s" s="0">
        <v>81</v>
      </c>
      <c r="O98" t="s" s="0">
        <v>2561</v>
      </c>
      <c r="P98" t="s" s="0">
        <v>2562</v>
      </c>
      <c r="Q98" t="s" s="0">
        <v>87</v>
      </c>
      <c r="R98" t="s" s="0">
        <v>81</v>
      </c>
      <c r="S98" t="s" s="0">
        <v>81</v>
      </c>
      <c r="T98" t="s" s="0">
        <v>81</v>
      </c>
      <c r="U98" t="s" s="0">
        <v>81</v>
      </c>
      <c r="V98" t="s" s="0">
        <v>2563</v>
      </c>
      <c r="W98" t="s" s="0">
        <v>2564</v>
      </c>
      <c r="X98" t="s" s="0">
        <v>81</v>
      </c>
      <c r="Y98" t="s" s="0">
        <v>81</v>
      </c>
      <c r="Z98" t="s" s="0">
        <v>90</v>
      </c>
      <c r="AA98" t="s" s="0">
        <v>91</v>
      </c>
      <c r="AB98" t="s" s="0">
        <v>81</v>
      </c>
      <c r="AC98" t="s" s="0">
        <v>81</v>
      </c>
      <c r="AD98" t="s" s="0">
        <v>81</v>
      </c>
      <c r="AE98" t="s" s="0">
        <v>81</v>
      </c>
      <c r="AF98" t="s" s="0">
        <v>81</v>
      </c>
      <c r="AG98" t="s" s="0">
        <v>2565</v>
      </c>
      <c r="AH98" t="s" s="0">
        <v>2566</v>
      </c>
      <c r="AI98" t="s" s="0">
        <v>2567</v>
      </c>
      <c r="AJ98" t="s" s="0">
        <v>2568</v>
      </c>
      <c r="AK98" t="s" s="0">
        <v>81</v>
      </c>
      <c r="AL98" t="s" s="0">
        <v>2569</v>
      </c>
      <c r="AM98" t="s" s="0">
        <v>261</v>
      </c>
      <c r="AN98" t="s" s="0">
        <v>211</v>
      </c>
      <c r="AO98" t="s" s="0">
        <v>156</v>
      </c>
      <c r="AP98" t="s" s="0">
        <v>925</v>
      </c>
      <c r="AQ98" t="s" s="0">
        <v>2570</v>
      </c>
      <c r="AR98" t="s" s="0">
        <v>2571</v>
      </c>
      <c r="AS98" t="s" s="0">
        <v>2572</v>
      </c>
      <c r="AT98" t="s" s="0">
        <v>2573</v>
      </c>
      <c r="AU98" t="s" s="0">
        <v>2574</v>
      </c>
      <c r="AV98" t="s" s="0">
        <v>81</v>
      </c>
      <c r="AW98" t="s" s="0">
        <v>2575</v>
      </c>
      <c r="AX98" t="s" s="0">
        <v>2576</v>
      </c>
      <c r="AY98" t="s" s="0">
        <v>2577</v>
      </c>
      <c r="AZ98" t="s" s="0">
        <v>260</v>
      </c>
      <c r="BA98" t="s" s="0">
        <v>176</v>
      </c>
      <c r="BB98" t="s" s="0">
        <v>211</v>
      </c>
      <c r="BC98" t="s" s="0">
        <v>81</v>
      </c>
      <c r="BD98" t="s" s="0">
        <v>81</v>
      </c>
      <c r="BE98" t="s" s="0">
        <v>81</v>
      </c>
      <c r="BF98" t="s" s="0">
        <v>81</v>
      </c>
      <c r="BG98" t="s" s="0">
        <v>81</v>
      </c>
      <c r="BH98" t="s" s="0">
        <v>81</v>
      </c>
      <c r="BI98" t="s" s="0">
        <v>2578</v>
      </c>
      <c r="BJ98" t="s" s="0">
        <v>2579</v>
      </c>
      <c r="BK98" t="s" s="192">
        <f>HYPERLINK("http://dx.doi.org/10.31083/j.fbl2810248","http://dx.doi.org/10.31083/j.fbl2810248")</f>
        <v>2580</v>
      </c>
      <c r="BL98" t="s" s="0">
        <v>81</v>
      </c>
      <c r="BM98" t="s" s="0">
        <v>81</v>
      </c>
      <c r="BN98" t="s" s="0">
        <v>434</v>
      </c>
      <c r="BO98" t="s" s="0">
        <v>2581</v>
      </c>
      <c r="BP98" t="s" s="0">
        <v>2581</v>
      </c>
      <c r="BQ98" t="s" s="0">
        <v>2582</v>
      </c>
      <c r="BR98" t="s" s="0">
        <v>2583</v>
      </c>
      <c r="BS98" t="s" s="0">
        <v>2584</v>
      </c>
      <c r="BT98" t="s" s="193">
        <f>HYPERLINK("https://www.webofscience.com/wos/woscc/full-record/WOS:001106813700016","View Record in Web of Science")</f>
        <v>114</v>
      </c>
      <c r="BU98" t="s" s="0">
        <v>301</v>
      </c>
      <c r="BV98" t="s" s="0">
        <v>81</v>
      </c>
      <c r="BW98" t="s" s="0">
        <v>81</v>
      </c>
      <c r="BX98" t="s" s="0">
        <v>116</v>
      </c>
    </row>
    <row r="99">
      <c r="A99" t="s" s="0">
        <v>77</v>
      </c>
      <c r="B99" t="s" s="0">
        <v>77</v>
      </c>
      <c r="C99" t="s" s="0">
        <v>77</v>
      </c>
      <c r="D99" t="s" s="0">
        <v>77</v>
      </c>
      <c r="E99" t="s" s="0">
        <v>2585</v>
      </c>
      <c r="F99" t="s" s="0">
        <v>2586</v>
      </c>
      <c r="G99" t="s" s="0">
        <v>2587</v>
      </c>
      <c r="H99" t="s" s="0">
        <v>81</v>
      </c>
      <c r="I99" t="s" s="0">
        <v>238</v>
      </c>
      <c r="J99" t="s" s="0">
        <v>2588</v>
      </c>
      <c r="K99" t="s" s="0">
        <v>2406</v>
      </c>
      <c r="L99" t="s" s="0">
        <v>2589</v>
      </c>
      <c r="M99" t="s" s="0">
        <v>2590</v>
      </c>
      <c r="N99" t="s" s="0">
        <v>2591</v>
      </c>
      <c r="O99" t="s" s="0">
        <v>2592</v>
      </c>
      <c r="P99" t="s" s="0">
        <v>2593</v>
      </c>
      <c r="Q99" t="s" s="0">
        <v>87</v>
      </c>
      <c r="R99" t="s" s="0">
        <v>81</v>
      </c>
      <c r="S99" t="s" s="0">
        <v>81</v>
      </c>
      <c r="T99" t="s" s="0">
        <v>81</v>
      </c>
      <c r="U99" t="s" s="0">
        <v>81</v>
      </c>
      <c r="V99" t="s" s="0">
        <v>2594</v>
      </c>
      <c r="W99" t="s" s="0">
        <v>2595</v>
      </c>
      <c r="X99" t="s" s="0">
        <v>81</v>
      </c>
      <c r="Y99" t="s" s="0">
        <v>81</v>
      </c>
      <c r="Z99" t="s" s="0">
        <v>90</v>
      </c>
      <c r="AA99" t="s" s="0">
        <v>91</v>
      </c>
      <c r="AB99" t="s" s="0">
        <v>81</v>
      </c>
      <c r="AC99" t="s" s="0">
        <v>81</v>
      </c>
      <c r="AD99" t="s" s="0">
        <v>81</v>
      </c>
      <c r="AE99" t="s" s="0">
        <v>81</v>
      </c>
      <c r="AF99" t="s" s="0">
        <v>81</v>
      </c>
      <c r="AG99" t="s" s="0">
        <v>2596</v>
      </c>
      <c r="AH99" t="s" s="0">
        <v>2597</v>
      </c>
      <c r="AI99" t="s" s="0">
        <v>2598</v>
      </c>
      <c r="AJ99" t="s" s="0">
        <v>2599</v>
      </c>
      <c r="AK99" t="s" s="0">
        <v>81</v>
      </c>
      <c r="AL99" t="s" s="0">
        <v>890</v>
      </c>
      <c r="AM99" t="s" s="0">
        <v>77</v>
      </c>
      <c r="AN99" t="s" s="0">
        <v>77</v>
      </c>
      <c r="AO99" t="s" s="0">
        <v>77</v>
      </c>
      <c r="AP99" t="s" s="0">
        <v>77</v>
      </c>
      <c r="AQ99" t="s" s="0">
        <v>1654</v>
      </c>
      <c r="AR99" t="s" s="0">
        <v>1345</v>
      </c>
      <c r="AS99" t="s" s="0">
        <v>1655</v>
      </c>
      <c r="AT99" t="s" s="0">
        <v>81</v>
      </c>
      <c r="AU99" t="s" s="0">
        <v>2600</v>
      </c>
      <c r="AV99" t="s" s="0">
        <v>81</v>
      </c>
      <c r="AW99" t="s" s="0">
        <v>2595</v>
      </c>
      <c r="AX99" t="s" s="0">
        <v>2601</v>
      </c>
      <c r="AY99" t="s" s="0">
        <v>2353</v>
      </c>
      <c r="AZ99" t="s" s="0">
        <v>290</v>
      </c>
      <c r="BA99" t="s" s="0">
        <v>381</v>
      </c>
      <c r="BB99" t="s" s="0">
        <v>316</v>
      </c>
      <c r="BC99" t="s" s="0">
        <v>81</v>
      </c>
      <c r="BD99" t="s" s="0">
        <v>81</v>
      </c>
      <c r="BE99" t="s" s="0">
        <v>81</v>
      </c>
      <c r="BF99" t="s" s="0">
        <v>81</v>
      </c>
      <c r="BG99" t="s" s="0">
        <v>81</v>
      </c>
      <c r="BH99" t="s" s="0">
        <v>81</v>
      </c>
      <c r="BI99" t="s" s="0">
        <v>2602</v>
      </c>
      <c r="BJ99" t="s" s="0">
        <v>2603</v>
      </c>
      <c r="BK99" t="s" s="194">
        <f>HYPERLINK("http://dx.doi.org/10.1093/jamiaopen/ooaf148","http://dx.doi.org/10.1093/jamiaopen/ooaf148")</f>
        <v>2604</v>
      </c>
      <c r="BL99" t="s" s="0">
        <v>81</v>
      </c>
      <c r="BM99" t="s" s="0">
        <v>81</v>
      </c>
      <c r="BN99" t="s" s="0">
        <v>381</v>
      </c>
      <c r="BO99" t="s" s="0">
        <v>792</v>
      </c>
      <c r="BP99" t="s" s="0">
        <v>792</v>
      </c>
      <c r="BQ99" t="s" s="0">
        <v>2605</v>
      </c>
      <c r="BR99" t="s" s="0">
        <v>2606</v>
      </c>
      <c r="BS99" t="s" s="0">
        <v>2607</v>
      </c>
      <c r="BT99" t="s" s="195">
        <f>HYPERLINK("https://www.webofscience.com/wos/woscc/full-record/WOS:001609608000001","View Record in Web of Science")</f>
        <v>114</v>
      </c>
      <c r="BU99" t="s" s="0">
        <v>301</v>
      </c>
      <c r="BV99" t="s" s="0">
        <v>81</v>
      </c>
      <c r="BW99" t="s" s="0">
        <v>81</v>
      </c>
      <c r="BX99" t="s" s="0">
        <v>116</v>
      </c>
    </row>
    <row r="100">
      <c r="A100" t="s" s="0">
        <v>77</v>
      </c>
      <c r="B100" t="s" s="0">
        <v>77</v>
      </c>
      <c r="C100" t="s" s="0">
        <v>77</v>
      </c>
      <c r="D100" t="s" s="0">
        <v>77</v>
      </c>
      <c r="E100" t="s" s="0">
        <v>2608</v>
      </c>
      <c r="F100" t="s" s="0">
        <v>2609</v>
      </c>
      <c r="G100" t="s" s="0">
        <v>2610</v>
      </c>
      <c r="H100" t="s" s="0">
        <v>81</v>
      </c>
      <c r="I100" t="s" s="0">
        <v>238</v>
      </c>
      <c r="J100" t="s" s="0">
        <v>2611</v>
      </c>
      <c r="K100" t="s" s="0">
        <v>2612</v>
      </c>
      <c r="L100" t="s" s="0">
        <v>81</v>
      </c>
      <c r="M100" t="s" s="0">
        <v>81</v>
      </c>
      <c r="N100" t="s" s="0">
        <v>81</v>
      </c>
      <c r="O100" t="s" s="0">
        <v>2613</v>
      </c>
      <c r="P100" t="s" s="0">
        <v>2614</v>
      </c>
      <c r="Q100" t="s" s="0">
        <v>87</v>
      </c>
      <c r="R100" t="s" s="0">
        <v>81</v>
      </c>
      <c r="S100" t="s" s="0">
        <v>81</v>
      </c>
      <c r="T100" t="s" s="0">
        <v>81</v>
      </c>
      <c r="U100" t="s" s="0">
        <v>81</v>
      </c>
      <c r="V100" t="s" s="0">
        <v>2615</v>
      </c>
      <c r="W100" t="s" s="0">
        <v>2616</v>
      </c>
      <c r="X100" t="s" s="0">
        <v>81</v>
      </c>
      <c r="Y100" t="s" s="0">
        <v>81</v>
      </c>
      <c r="Z100" t="s" s="0">
        <v>90</v>
      </c>
      <c r="AA100" t="s" s="0">
        <v>91</v>
      </c>
      <c r="AB100" t="s" s="0">
        <v>81</v>
      </c>
      <c r="AC100" t="s" s="0">
        <v>81</v>
      </c>
      <c r="AD100" t="s" s="0">
        <v>81</v>
      </c>
      <c r="AE100" t="s" s="0">
        <v>81</v>
      </c>
      <c r="AF100" t="s" s="0">
        <v>81</v>
      </c>
      <c r="AG100" t="s" s="0">
        <v>2617</v>
      </c>
      <c r="AH100" t="s" s="0">
        <v>2618</v>
      </c>
      <c r="AI100" t="s" s="0">
        <v>2619</v>
      </c>
      <c r="AJ100" t="s" s="0">
        <v>2620</v>
      </c>
      <c r="AK100" t="s" s="0">
        <v>81</v>
      </c>
      <c r="AL100" t="s" s="0">
        <v>173</v>
      </c>
      <c r="AM100" t="s" s="0">
        <v>77</v>
      </c>
      <c r="AN100" t="s" s="0">
        <v>77</v>
      </c>
      <c r="AO100" t="s" s="0">
        <v>77</v>
      </c>
      <c r="AP100" t="s" s="0">
        <v>97</v>
      </c>
      <c r="AQ100" t="s" s="0">
        <v>1654</v>
      </c>
      <c r="AR100" t="s" s="0">
        <v>1345</v>
      </c>
      <c r="AS100" t="s" s="0">
        <v>1655</v>
      </c>
      <c r="AT100" t="s" s="0">
        <v>81</v>
      </c>
      <c r="AU100" t="s" s="0">
        <v>2621</v>
      </c>
      <c r="AV100" t="s" s="0">
        <v>81</v>
      </c>
      <c r="AW100" t="s" s="0">
        <v>2622</v>
      </c>
      <c r="AX100" t="s" s="0">
        <v>2623</v>
      </c>
      <c r="AY100" t="s" s="0">
        <v>1743</v>
      </c>
      <c r="AZ100" t="s" s="0">
        <v>290</v>
      </c>
      <c r="BA100" t="s" s="0">
        <v>316</v>
      </c>
      <c r="BB100" t="s" s="0">
        <v>316</v>
      </c>
      <c r="BC100" t="s" s="0">
        <v>81</v>
      </c>
      <c r="BD100" t="s" s="0">
        <v>81</v>
      </c>
      <c r="BE100" t="s" s="0">
        <v>81</v>
      </c>
      <c r="BF100" t="s" s="0">
        <v>81</v>
      </c>
      <c r="BG100" t="s" s="0">
        <v>2624</v>
      </c>
      <c r="BH100" t="s" s="0">
        <v>2625</v>
      </c>
      <c r="BI100" t="s" s="0">
        <v>81</v>
      </c>
      <c r="BJ100" t="s" s="0">
        <v>2626</v>
      </c>
      <c r="BK100" t="s" s="196">
        <f>HYPERLINK("http://dx.doi.org/10.1093/ehjdh/ztaf090","http://dx.doi.org/10.1093/ehjdh/ztaf090")</f>
        <v>2627</v>
      </c>
      <c r="BL100" t="s" s="0">
        <v>81</v>
      </c>
      <c r="BM100" t="s" s="0">
        <v>578</v>
      </c>
      <c r="BN100" t="s" s="0">
        <v>486</v>
      </c>
      <c r="BO100" t="s" s="0">
        <v>2628</v>
      </c>
      <c r="BP100" t="s" s="0">
        <v>2629</v>
      </c>
      <c r="BQ100" t="s" s="0">
        <v>2630</v>
      </c>
      <c r="BR100" t="s" s="0">
        <v>2631</v>
      </c>
      <c r="BS100" t="s" s="0">
        <v>2632</v>
      </c>
      <c r="BT100" t="s" s="197">
        <f>HYPERLINK("https://www.webofscience.com/wos/woscc/full-record/WOS:001563706600001","View Record in Web of Science")</f>
        <v>114</v>
      </c>
      <c r="BU100" t="s" s="0">
        <v>301</v>
      </c>
      <c r="BV100" t="s" s="0">
        <v>81</v>
      </c>
      <c r="BW100" t="s" s="0">
        <v>81</v>
      </c>
      <c r="BX100" t="s" s="0">
        <v>116</v>
      </c>
    </row>
    <row r="101">
      <c r="A101" t="s" s="0">
        <v>77</v>
      </c>
      <c r="B101" t="s" s="0">
        <v>77</v>
      </c>
      <c r="C101" t="s" s="0">
        <v>156</v>
      </c>
      <c r="D101" t="s" s="0">
        <v>77</v>
      </c>
      <c r="E101" t="s" s="0">
        <v>2633</v>
      </c>
      <c r="F101" t="s" s="0">
        <v>2634</v>
      </c>
      <c r="G101" t="s" s="0">
        <v>2635</v>
      </c>
      <c r="H101" t="s" s="0">
        <v>81</v>
      </c>
      <c r="I101" t="s" s="0">
        <v>82</v>
      </c>
      <c r="J101" t="s" s="0">
        <v>2636</v>
      </c>
      <c r="K101" t="s" s="0">
        <v>2637</v>
      </c>
      <c r="L101" t="s" s="0">
        <v>2638</v>
      </c>
      <c r="M101" t="s" s="0">
        <v>1247</v>
      </c>
      <c r="N101" t="s" s="0">
        <v>2639</v>
      </c>
      <c r="O101" t="s" s="0">
        <v>2640</v>
      </c>
      <c r="P101" t="s" s="0">
        <v>2641</v>
      </c>
      <c r="Q101" t="s" s="0">
        <v>87</v>
      </c>
      <c r="R101" t="s" s="0">
        <v>81</v>
      </c>
      <c r="S101" t="s" s="0">
        <v>81</v>
      </c>
      <c r="T101" t="s" s="0">
        <v>81</v>
      </c>
      <c r="U101" t="s" s="0">
        <v>81</v>
      </c>
      <c r="V101" t="s" s="0">
        <v>2642</v>
      </c>
      <c r="W101" t="s" s="0">
        <v>910</v>
      </c>
      <c r="X101" t="s" s="0">
        <v>81</v>
      </c>
      <c r="Y101" t="s" s="0">
        <v>81</v>
      </c>
      <c r="Z101" t="s" s="0">
        <v>90</v>
      </c>
      <c r="AA101" t="s" s="0">
        <v>91</v>
      </c>
      <c r="AB101" t="s" s="0">
        <v>81</v>
      </c>
      <c r="AC101" t="s" s="0">
        <v>81</v>
      </c>
      <c r="AD101" t="s" s="0">
        <v>81</v>
      </c>
      <c r="AE101" t="s" s="0">
        <v>81</v>
      </c>
      <c r="AF101" t="s" s="0">
        <v>81</v>
      </c>
      <c r="AG101" t="s" s="0">
        <v>2643</v>
      </c>
      <c r="AH101" t="s" s="0">
        <v>2644</v>
      </c>
      <c r="AI101" t="s" s="0">
        <v>81</v>
      </c>
      <c r="AJ101" t="s" s="0">
        <v>81</v>
      </c>
      <c r="AK101" t="s" s="0">
        <v>81</v>
      </c>
      <c r="AL101" t="s" s="0">
        <v>734</v>
      </c>
      <c r="AM101" t="s" s="0">
        <v>486</v>
      </c>
      <c r="AN101" t="s" s="0">
        <v>367</v>
      </c>
      <c r="AO101" t="s" s="0">
        <v>175</v>
      </c>
      <c r="AP101" t="s" s="0">
        <v>234</v>
      </c>
      <c r="AQ101" t="s" s="0">
        <v>915</v>
      </c>
      <c r="AR101" t="s" s="0">
        <v>916</v>
      </c>
      <c r="AS101" t="s" s="0">
        <v>917</v>
      </c>
      <c r="AT101" t="s" s="0">
        <v>918</v>
      </c>
      <c r="AU101" t="s" s="0">
        <v>81</v>
      </c>
      <c r="AV101" t="s" s="0">
        <v>81</v>
      </c>
      <c r="AW101" t="s" s="0">
        <v>919</v>
      </c>
      <c r="AX101" t="s" s="0">
        <v>920</v>
      </c>
      <c r="AY101" t="s" s="0">
        <v>2645</v>
      </c>
      <c r="AZ101" t="s" s="0">
        <v>290</v>
      </c>
      <c r="BA101" t="s" s="0">
        <v>291</v>
      </c>
      <c r="BB101" t="s" s="0">
        <v>97</v>
      </c>
      <c r="BC101" t="s" s="0">
        <v>81</v>
      </c>
      <c r="BD101" t="s" s="0">
        <v>81</v>
      </c>
      <c r="BE101" t="s" s="0">
        <v>81</v>
      </c>
      <c r="BF101" t="s" s="0">
        <v>81</v>
      </c>
      <c r="BG101" t="s" s="0">
        <v>81</v>
      </c>
      <c r="BH101" t="s" s="0">
        <v>81</v>
      </c>
      <c r="BI101" t="s" s="0">
        <v>2646</v>
      </c>
      <c r="BJ101" t="s" s="0">
        <v>2647</v>
      </c>
      <c r="BK101" t="s" s="198">
        <f>HYPERLINK("http://dx.doi.org/10.1038/s41598-025-25266-z","http://dx.doi.org/10.1038/s41598-025-25266-z")</f>
        <v>2648</v>
      </c>
      <c r="BL101" t="s" s="0">
        <v>81</v>
      </c>
      <c r="BM101" t="s" s="0">
        <v>81</v>
      </c>
      <c r="BN101" t="s" s="0">
        <v>134</v>
      </c>
      <c r="BO101" t="s" s="0">
        <v>926</v>
      </c>
      <c r="BP101" t="s" s="0">
        <v>927</v>
      </c>
      <c r="BQ101" t="s" s="0">
        <v>2649</v>
      </c>
      <c r="BR101" t="s" s="0">
        <v>2650</v>
      </c>
      <c r="BS101" t="s" s="0">
        <v>2651</v>
      </c>
      <c r="BT101" t="s" s="199">
        <f>HYPERLINK("https://www.webofscience.com/wos/woscc/full-record/WOS:001647744500001","View Record in Web of Science")</f>
        <v>114</v>
      </c>
      <c r="BU101" t="s" s="0">
        <v>301</v>
      </c>
      <c r="BV101" t="s" s="0">
        <v>81</v>
      </c>
      <c r="BW101" t="s" s="0">
        <v>81</v>
      </c>
      <c r="BX101" t="s" s="0">
        <v>116</v>
      </c>
    </row>
    <row r="102">
      <c r="A102" t="s" s="0">
        <v>77</v>
      </c>
      <c r="B102" t="s" s="0">
        <v>77</v>
      </c>
      <c r="C102" t="s" s="0">
        <v>77</v>
      </c>
      <c r="D102" t="s" s="0">
        <v>77</v>
      </c>
      <c r="E102" t="s" s="0">
        <v>2652</v>
      </c>
      <c r="F102" t="s" s="0">
        <v>2653</v>
      </c>
      <c r="G102" t="s" s="0">
        <v>2654</v>
      </c>
      <c r="H102" t="s" s="0">
        <v>81</v>
      </c>
      <c r="I102" t="s" s="0">
        <v>82</v>
      </c>
      <c r="J102" t="s" s="0">
        <v>2655</v>
      </c>
      <c r="K102" t="s" s="0">
        <v>2656</v>
      </c>
      <c r="L102" t="s" s="0">
        <v>81</v>
      </c>
      <c r="M102" t="s" s="0">
        <v>81</v>
      </c>
      <c r="N102" t="s" s="0">
        <v>81</v>
      </c>
      <c r="O102" t="s" s="0">
        <v>2657</v>
      </c>
      <c r="P102" t="s" s="0">
        <v>81</v>
      </c>
      <c r="Q102" t="s" s="0">
        <v>87</v>
      </c>
      <c r="R102" t="s" s="0">
        <v>81</v>
      </c>
      <c r="S102" t="s" s="0">
        <v>81</v>
      </c>
      <c r="T102" t="s" s="0">
        <v>81</v>
      </c>
      <c r="U102" t="s" s="0">
        <v>81</v>
      </c>
      <c r="V102" t="s" s="0">
        <v>2658</v>
      </c>
      <c r="W102" t="s" s="0">
        <v>2659</v>
      </c>
      <c r="X102" t="s" s="0">
        <v>81</v>
      </c>
      <c r="Y102" t="s" s="0">
        <v>81</v>
      </c>
      <c r="Z102" t="s" s="0">
        <v>90</v>
      </c>
      <c r="AA102" t="s" s="0">
        <v>1581</v>
      </c>
      <c r="AB102" t="s" s="0">
        <v>81</v>
      </c>
      <c r="AC102" t="s" s="0">
        <v>81</v>
      </c>
      <c r="AD102" t="s" s="0">
        <v>81</v>
      </c>
      <c r="AE102" t="s" s="0">
        <v>81</v>
      </c>
      <c r="AF102" t="s" s="0">
        <v>81</v>
      </c>
      <c r="AG102" t="s" s="0">
        <v>2660</v>
      </c>
      <c r="AH102" t="s" s="0">
        <v>81</v>
      </c>
      <c r="AI102" t="s" s="0">
        <v>2661</v>
      </c>
      <c r="AJ102" t="s" s="0">
        <v>81</v>
      </c>
      <c r="AK102" t="s" s="0">
        <v>81</v>
      </c>
      <c r="AL102" t="s" s="0">
        <v>104</v>
      </c>
      <c r="AM102" t="s" s="0">
        <v>77</v>
      </c>
      <c r="AN102" t="s" s="0">
        <v>77</v>
      </c>
      <c r="AO102" t="s" s="0">
        <v>77</v>
      </c>
      <c r="AP102" t="s" s="0">
        <v>77</v>
      </c>
      <c r="AQ102" t="s" s="0">
        <v>2662</v>
      </c>
      <c r="AR102" t="s" s="0">
        <v>2663</v>
      </c>
      <c r="AS102" t="s" s="0">
        <v>2664</v>
      </c>
      <c r="AT102" t="s" s="0">
        <v>2665</v>
      </c>
      <c r="AU102" t="s" s="0">
        <v>2666</v>
      </c>
      <c r="AV102" t="s" s="0">
        <v>81</v>
      </c>
      <c r="AW102" t="s" s="0">
        <v>2667</v>
      </c>
      <c r="AX102" t="s" s="0">
        <v>2668</v>
      </c>
      <c r="AY102" t="s" s="0">
        <v>81</v>
      </c>
      <c r="AZ102" t="s" s="0">
        <v>103</v>
      </c>
      <c r="BA102" t="s" s="0">
        <v>81</v>
      </c>
      <c r="BB102" t="s" s="0">
        <v>81</v>
      </c>
      <c r="BC102" t="s" s="0">
        <v>81</v>
      </c>
      <c r="BD102" t="s" s="0">
        <v>81</v>
      </c>
      <c r="BE102" t="s" s="0">
        <v>81</v>
      </c>
      <c r="BF102" t="s" s="0">
        <v>81</v>
      </c>
      <c r="BG102" t="s" s="0">
        <v>81</v>
      </c>
      <c r="BH102" t="s" s="0">
        <v>81</v>
      </c>
      <c r="BI102" t="s" s="0">
        <v>81</v>
      </c>
      <c r="BJ102" t="s" s="0">
        <v>2669</v>
      </c>
      <c r="BK102" t="s" s="200">
        <f>HYPERLINK("http://dx.doi.org/10.1007/s40009-026-02283-8","http://dx.doi.org/10.1007/s40009-026-02283-8")</f>
        <v>2670</v>
      </c>
      <c r="BL102" t="s" s="0">
        <v>81</v>
      </c>
      <c r="BM102" t="s" s="0">
        <v>849</v>
      </c>
      <c r="BN102" t="s" s="0">
        <v>175</v>
      </c>
      <c r="BO102" t="s" s="0">
        <v>926</v>
      </c>
      <c r="BP102" t="s" s="0">
        <v>927</v>
      </c>
      <c r="BQ102" t="s" s="0">
        <v>2671</v>
      </c>
      <c r="BR102" t="s" s="0">
        <v>81</v>
      </c>
      <c r="BS102" t="s" s="0">
        <v>2672</v>
      </c>
      <c r="BT102" t="s" s="201">
        <f>HYPERLINK("https://www.webofscience.com/wos/woscc/full-record/WOS:001791923900001","View Record in Web of Science")</f>
        <v>114</v>
      </c>
      <c r="BU102" t="s" s="0">
        <v>81</v>
      </c>
      <c r="BV102" t="s" s="0">
        <v>81</v>
      </c>
      <c r="BW102" t="s" s="0">
        <v>81</v>
      </c>
      <c r="BX102" t="s" s="0">
        <v>116</v>
      </c>
    </row>
    <row r="103">
      <c r="A103" t="s" s="0">
        <v>77</v>
      </c>
      <c r="B103" t="s" s="0">
        <v>77</v>
      </c>
      <c r="C103" t="s" s="0">
        <v>77</v>
      </c>
      <c r="D103" t="s" s="0">
        <v>77</v>
      </c>
      <c r="E103" t="s" s="0">
        <v>2673</v>
      </c>
      <c r="F103" t="s" s="0">
        <v>2674</v>
      </c>
      <c r="G103" t="s" s="0">
        <v>2675</v>
      </c>
      <c r="H103" t="s" s="0">
        <v>81</v>
      </c>
      <c r="I103" t="s" s="0">
        <v>82</v>
      </c>
      <c r="J103" t="s" s="0">
        <v>2676</v>
      </c>
      <c r="K103" t="s" s="0">
        <v>2677</v>
      </c>
      <c r="L103" t="s" s="0">
        <v>81</v>
      </c>
      <c r="M103" t="s" s="0">
        <v>81</v>
      </c>
      <c r="N103" t="s" s="0">
        <v>81</v>
      </c>
      <c r="O103" t="s" s="0">
        <v>2678</v>
      </c>
      <c r="P103" t="s" s="0">
        <v>2679</v>
      </c>
      <c r="Q103" t="s" s="0">
        <v>87</v>
      </c>
      <c r="R103" t="s" s="0">
        <v>81</v>
      </c>
      <c r="S103" t="s" s="0">
        <v>81</v>
      </c>
      <c r="T103" t="s" s="0">
        <v>81</v>
      </c>
      <c r="U103" t="s" s="0">
        <v>81</v>
      </c>
      <c r="V103" t="s" s="0">
        <v>2680</v>
      </c>
      <c r="W103" t="s" s="0">
        <v>2681</v>
      </c>
      <c r="X103" t="s" s="0">
        <v>81</v>
      </c>
      <c r="Y103" t="s" s="0">
        <v>81</v>
      </c>
      <c r="Z103" t="s" s="0">
        <v>90</v>
      </c>
      <c r="AA103" t="s" s="0">
        <v>91</v>
      </c>
      <c r="AB103" t="s" s="0">
        <v>81</v>
      </c>
      <c r="AC103" t="s" s="0">
        <v>81</v>
      </c>
      <c r="AD103" t="s" s="0">
        <v>81</v>
      </c>
      <c r="AE103" t="s" s="0">
        <v>81</v>
      </c>
      <c r="AF103" t="s" s="0">
        <v>81</v>
      </c>
      <c r="AG103" t="s" s="0">
        <v>2682</v>
      </c>
      <c r="AH103" t="s" s="0">
        <v>2683</v>
      </c>
      <c r="AI103" t="s" s="0">
        <v>2684</v>
      </c>
      <c r="AJ103" t="s" s="0">
        <v>2685</v>
      </c>
      <c r="AK103" t="s" s="0">
        <v>81</v>
      </c>
      <c r="AL103" t="s" s="0">
        <v>366</v>
      </c>
      <c r="AM103" t="s" s="0">
        <v>77</v>
      </c>
      <c r="AN103" t="s" s="0">
        <v>77</v>
      </c>
      <c r="AO103" t="s" s="0">
        <v>97</v>
      </c>
      <c r="AP103" t="s" s="0">
        <v>211</v>
      </c>
      <c r="AQ103" t="s" s="0">
        <v>2686</v>
      </c>
      <c r="AR103" t="s" s="0">
        <v>137</v>
      </c>
      <c r="AS103" t="s" s="0">
        <v>2687</v>
      </c>
      <c r="AT103" t="s" s="0">
        <v>2688</v>
      </c>
      <c r="AU103" t="s" s="0">
        <v>2689</v>
      </c>
      <c r="AV103" t="s" s="0">
        <v>81</v>
      </c>
      <c r="AW103" t="s" s="0">
        <v>2690</v>
      </c>
      <c r="AX103" t="s" s="0">
        <v>2691</v>
      </c>
      <c r="AY103" t="s" s="0">
        <v>185</v>
      </c>
      <c r="AZ103" t="s" s="0">
        <v>185</v>
      </c>
      <c r="BA103" t="s" s="0">
        <v>343</v>
      </c>
      <c r="BB103" t="s" s="0">
        <v>97</v>
      </c>
      <c r="BC103" t="s" s="0">
        <v>81</v>
      </c>
      <c r="BD103" t="s" s="0">
        <v>81</v>
      </c>
      <c r="BE103" t="s" s="0">
        <v>81</v>
      </c>
      <c r="BF103" t="s" s="0">
        <v>81</v>
      </c>
      <c r="BG103" t="s" s="0">
        <v>2692</v>
      </c>
      <c r="BH103" t="s" s="0">
        <v>2693</v>
      </c>
      <c r="BI103" t="s" s="0">
        <v>81</v>
      </c>
      <c r="BJ103" t="s" s="0">
        <v>2694</v>
      </c>
      <c r="BK103" t="s" s="202">
        <f>HYPERLINK("http://dx.doi.org/10.3233/JIFS-235053","http://dx.doi.org/10.3233/JIFS-235053")</f>
        <v>2695</v>
      </c>
      <c r="BL103" t="s" s="0">
        <v>81</v>
      </c>
      <c r="BM103" t="s" s="0">
        <v>81</v>
      </c>
      <c r="BN103" t="s" s="0">
        <v>486</v>
      </c>
      <c r="BO103" t="s" s="0">
        <v>409</v>
      </c>
      <c r="BP103" t="s" s="0">
        <v>152</v>
      </c>
      <c r="BQ103" t="s" s="0">
        <v>2696</v>
      </c>
      <c r="BR103" t="s" s="0">
        <v>81</v>
      </c>
      <c r="BS103" t="s" s="0">
        <v>2697</v>
      </c>
      <c r="BT103" t="s" s="203">
        <f>HYPERLINK("https://www.webofscience.com/wos/woscc/full-record/WOS:001163267400035","View Record in Web of Science")</f>
        <v>114</v>
      </c>
      <c r="BU103" t="s" s="0">
        <v>2239</v>
      </c>
      <c r="BV103" t="s" s="0">
        <v>81</v>
      </c>
      <c r="BW103" t="s" s="0">
        <v>81</v>
      </c>
      <c r="BX103" t="s" s="0">
        <v>116</v>
      </c>
    </row>
    <row r="104">
      <c r="A104" t="s" s="0">
        <v>77</v>
      </c>
      <c r="B104" t="s" s="0">
        <v>77</v>
      </c>
      <c r="C104" t="s" s="0">
        <v>77</v>
      </c>
      <c r="D104" t="s" s="0">
        <v>77</v>
      </c>
      <c r="E104" t="s" s="0">
        <v>2698</v>
      </c>
      <c r="F104" t="s" s="0">
        <v>2699</v>
      </c>
      <c r="G104" t="s" s="0">
        <v>2700</v>
      </c>
      <c r="H104" t="s" s="0">
        <v>81</v>
      </c>
      <c r="I104" t="s" s="0">
        <v>238</v>
      </c>
      <c r="J104" t="s" s="0">
        <v>2701</v>
      </c>
      <c r="K104" t="s" s="0">
        <v>2702</v>
      </c>
      <c r="L104" t="s" s="0">
        <v>2703</v>
      </c>
      <c r="M104" t="s" s="0">
        <v>2704</v>
      </c>
      <c r="N104" t="s" s="0">
        <v>2705</v>
      </c>
      <c r="O104" t="s" s="0">
        <v>2706</v>
      </c>
      <c r="P104" t="s" s="0">
        <v>2707</v>
      </c>
      <c r="Q104" t="s" s="0">
        <v>87</v>
      </c>
      <c r="R104" t="s" s="0">
        <v>81</v>
      </c>
      <c r="S104" t="s" s="0">
        <v>81</v>
      </c>
      <c r="T104" t="s" s="0">
        <v>81</v>
      </c>
      <c r="U104" t="s" s="0">
        <v>81</v>
      </c>
      <c r="V104" t="s" s="0">
        <v>2708</v>
      </c>
      <c r="W104" t="s" s="0">
        <v>2709</v>
      </c>
      <c r="X104" t="s" s="0">
        <v>81</v>
      </c>
      <c r="Y104" t="s" s="0">
        <v>81</v>
      </c>
      <c r="Z104" t="s" s="0">
        <v>90</v>
      </c>
      <c r="AA104" t="s" s="0">
        <v>91</v>
      </c>
      <c r="AB104" t="s" s="0">
        <v>81</v>
      </c>
      <c r="AC104" t="s" s="0">
        <v>81</v>
      </c>
      <c r="AD104" t="s" s="0">
        <v>81</v>
      </c>
      <c r="AE104" t="s" s="0">
        <v>81</v>
      </c>
      <c r="AF104" t="s" s="0">
        <v>81</v>
      </c>
      <c r="AG104" t="s" s="0">
        <v>81</v>
      </c>
      <c r="AH104" t="s" s="0">
        <v>81</v>
      </c>
      <c r="AI104" t="s" s="0">
        <v>2710</v>
      </c>
      <c r="AJ104" t="s" s="0">
        <v>2711</v>
      </c>
      <c r="AK104" t="s" s="0">
        <v>81</v>
      </c>
      <c r="AL104" t="s" s="0">
        <v>890</v>
      </c>
      <c r="AM104" t="s" s="0">
        <v>97</v>
      </c>
      <c r="AN104" t="s" s="0">
        <v>156</v>
      </c>
      <c r="AO104" t="s" s="0">
        <v>316</v>
      </c>
      <c r="AP104" t="s" s="0">
        <v>234</v>
      </c>
      <c r="AQ104" t="s" s="0">
        <v>1317</v>
      </c>
      <c r="AR104" t="s" s="0">
        <v>1318</v>
      </c>
      <c r="AS104" t="s" s="0">
        <v>1319</v>
      </c>
      <c r="AT104" t="s" s="0">
        <v>81</v>
      </c>
      <c r="AU104" t="s" s="0">
        <v>2712</v>
      </c>
      <c r="AV104" t="s" s="0">
        <v>81</v>
      </c>
      <c r="AW104" t="s" s="0">
        <v>2713</v>
      </c>
      <c r="AX104" t="s" s="0">
        <v>2714</v>
      </c>
      <c r="AY104" t="s" s="0">
        <v>2715</v>
      </c>
      <c r="AZ104" t="s" s="0">
        <v>290</v>
      </c>
      <c r="BA104" t="s" s="0">
        <v>133</v>
      </c>
      <c r="BB104" t="s" s="0">
        <v>134</v>
      </c>
      <c r="BC104" t="s" s="0">
        <v>81</v>
      </c>
      <c r="BD104" t="s" s="0">
        <v>81</v>
      </c>
      <c r="BE104" t="s" s="0">
        <v>81</v>
      </c>
      <c r="BF104" t="s" s="0">
        <v>81</v>
      </c>
      <c r="BG104" t="s" s="0">
        <v>81</v>
      </c>
      <c r="BH104" t="s" s="0">
        <v>81</v>
      </c>
      <c r="BI104" t="s" s="0">
        <v>2716</v>
      </c>
      <c r="BJ104" t="s" s="0">
        <v>2717</v>
      </c>
      <c r="BK104" t="s" s="204">
        <f>HYPERLINK("http://dx.doi.org/10.1371/journal.pgph.0005715","http://dx.doi.org/10.1371/journal.pgph.0005715")</f>
        <v>2718</v>
      </c>
      <c r="BL104" t="s" s="0">
        <v>81</v>
      </c>
      <c r="BM104" t="s" s="0">
        <v>81</v>
      </c>
      <c r="BN104" t="s" s="0">
        <v>486</v>
      </c>
      <c r="BO104" t="s" s="0">
        <v>850</v>
      </c>
      <c r="BP104" t="s" s="0">
        <v>850</v>
      </c>
      <c r="BQ104" t="s" s="0">
        <v>2719</v>
      </c>
      <c r="BR104" t="s" s="0">
        <v>2720</v>
      </c>
      <c r="BS104" t="s" s="0">
        <v>2721</v>
      </c>
      <c r="BT104" t="s" s="205">
        <f>HYPERLINK("https://www.webofscience.com/wos/woscc/full-record/WOS:001660532200003","View Record in Web of Science")</f>
        <v>114</v>
      </c>
      <c r="BU104" t="s" s="0">
        <v>301</v>
      </c>
      <c r="BV104" t="s" s="0">
        <v>81</v>
      </c>
      <c r="BW104" t="s" s="0">
        <v>81</v>
      </c>
      <c r="BX104" t="s" s="0">
        <v>116</v>
      </c>
    </row>
    <row r="105">
      <c r="A105" t="s" s="0">
        <v>77</v>
      </c>
      <c r="B105" t="s" s="0">
        <v>77</v>
      </c>
      <c r="C105" t="s" s="0">
        <v>77</v>
      </c>
      <c r="D105" t="s" s="0">
        <v>77</v>
      </c>
      <c r="E105" t="s" s="0">
        <v>2722</v>
      </c>
      <c r="F105" t="s" s="0">
        <v>2723</v>
      </c>
      <c r="G105" t="s" s="0">
        <v>2724</v>
      </c>
      <c r="H105" t="s" s="0">
        <v>81</v>
      </c>
      <c r="I105" t="s" s="0">
        <v>82</v>
      </c>
      <c r="J105" t="s" s="0">
        <v>2725</v>
      </c>
      <c r="K105" t="s" s="0">
        <v>2726</v>
      </c>
      <c r="L105" t="s" s="0">
        <v>81</v>
      </c>
      <c r="M105" t="s" s="0">
        <v>81</v>
      </c>
      <c r="N105" t="s" s="0">
        <v>81</v>
      </c>
      <c r="O105" t="s" s="0">
        <v>2727</v>
      </c>
      <c r="P105" t="s" s="0">
        <v>81</v>
      </c>
      <c r="Q105" t="s" s="0">
        <v>87</v>
      </c>
      <c r="R105" t="s" s="0">
        <v>81</v>
      </c>
      <c r="S105" t="s" s="0">
        <v>81</v>
      </c>
      <c r="T105" t="s" s="0">
        <v>81</v>
      </c>
      <c r="U105" t="s" s="0">
        <v>81</v>
      </c>
      <c r="V105" t="s" s="0">
        <v>2728</v>
      </c>
      <c r="W105" t="s" s="0">
        <v>2729</v>
      </c>
      <c r="X105" t="s" s="0">
        <v>81</v>
      </c>
      <c r="Y105" t="s" s="0">
        <v>81</v>
      </c>
      <c r="Z105" t="s" s="0">
        <v>90</v>
      </c>
      <c r="AA105" t="s" s="0">
        <v>91</v>
      </c>
      <c r="AB105" t="s" s="0">
        <v>81</v>
      </c>
      <c r="AC105" t="s" s="0">
        <v>81</v>
      </c>
      <c r="AD105" t="s" s="0">
        <v>81</v>
      </c>
      <c r="AE105" t="s" s="0">
        <v>81</v>
      </c>
      <c r="AF105" t="s" s="0">
        <v>81</v>
      </c>
      <c r="AG105" t="s" s="0">
        <v>2730</v>
      </c>
      <c r="AH105" t="s" s="0">
        <v>81</v>
      </c>
      <c r="AI105" t="s" s="0">
        <v>2731</v>
      </c>
      <c r="AJ105" t="s" s="0">
        <v>2732</v>
      </c>
      <c r="AK105" t="s" s="0">
        <v>81</v>
      </c>
      <c r="AL105" t="s" s="0">
        <v>2733</v>
      </c>
      <c r="AM105" t="s" s="0">
        <v>77</v>
      </c>
      <c r="AN105" t="s" s="0">
        <v>77</v>
      </c>
      <c r="AO105" t="s" s="0">
        <v>486</v>
      </c>
      <c r="AP105" t="s" s="0">
        <v>925</v>
      </c>
      <c r="AQ105" t="s" s="0">
        <v>136</v>
      </c>
      <c r="AR105" t="s" s="0">
        <v>137</v>
      </c>
      <c r="AS105" t="s" s="0">
        <v>138</v>
      </c>
      <c r="AT105" t="s" s="0">
        <v>2734</v>
      </c>
      <c r="AU105" t="s" s="0">
        <v>2735</v>
      </c>
      <c r="AV105" t="s" s="0">
        <v>81</v>
      </c>
      <c r="AW105" t="s" s="0">
        <v>2736</v>
      </c>
      <c r="AX105" t="s" s="0">
        <v>2737</v>
      </c>
      <c r="AY105" t="s" s="0">
        <v>2108</v>
      </c>
      <c r="AZ105" t="s" s="0">
        <v>103</v>
      </c>
      <c r="BA105" t="s" s="0">
        <v>2738</v>
      </c>
      <c r="BB105" t="s" s="0">
        <v>81</v>
      </c>
      <c r="BC105" t="s" s="0">
        <v>81</v>
      </c>
      <c r="BD105" t="s" s="0">
        <v>81</v>
      </c>
      <c r="BE105" t="s" s="0">
        <v>81</v>
      </c>
      <c r="BF105" t="s" s="0">
        <v>81</v>
      </c>
      <c r="BG105" t="s" s="0">
        <v>81</v>
      </c>
      <c r="BH105" t="s" s="0">
        <v>81</v>
      </c>
      <c r="BI105" t="s" s="0">
        <v>2739</v>
      </c>
      <c r="BJ105" t="s" s="0">
        <v>2740</v>
      </c>
      <c r="BK105" t="s" s="206">
        <f>HYPERLINK("http://dx.doi.org/10.1016/j.image.2025.117442","http://dx.doi.org/10.1016/j.image.2025.117442")</f>
        <v>2741</v>
      </c>
      <c r="BL105" t="s" s="0">
        <v>81</v>
      </c>
      <c r="BM105" t="s" s="0">
        <v>2353</v>
      </c>
      <c r="BN105" t="s" s="0">
        <v>109</v>
      </c>
      <c r="BO105" t="s" s="0">
        <v>2191</v>
      </c>
      <c r="BP105" t="s" s="0">
        <v>1003</v>
      </c>
      <c r="BQ105" t="s" s="0">
        <v>2742</v>
      </c>
      <c r="BR105" t="s" s="0">
        <v>81</v>
      </c>
      <c r="BS105" t="s" s="0">
        <v>2743</v>
      </c>
      <c r="BT105" t="s" s="207">
        <f>HYPERLINK("https://www.webofscience.com/wos/woscc/full-record/WOS:001632811000001","View Record in Web of Science")</f>
        <v>114</v>
      </c>
      <c r="BU105" t="s" s="0">
        <v>81</v>
      </c>
      <c r="BV105" t="s" s="0">
        <v>81</v>
      </c>
      <c r="BW105" t="s" s="0">
        <v>81</v>
      </c>
      <c r="BX105" t="s" s="0">
        <v>116</v>
      </c>
    </row>
    <row r="106">
      <c r="A106" t="s" s="0">
        <v>77</v>
      </c>
      <c r="B106" t="s" s="0">
        <v>77</v>
      </c>
      <c r="C106" t="s" s="0">
        <v>77</v>
      </c>
      <c r="D106" t="s" s="0">
        <v>77</v>
      </c>
      <c r="E106" t="s" s="0">
        <v>2744</v>
      </c>
      <c r="F106" t="s" s="0">
        <v>2745</v>
      </c>
      <c r="G106" t="s" s="0">
        <v>2746</v>
      </c>
      <c r="H106" t="s" s="0">
        <v>81</v>
      </c>
      <c r="I106" t="s" s="0">
        <v>82</v>
      </c>
      <c r="J106" t="s" s="0">
        <v>2747</v>
      </c>
      <c r="K106" t="s" s="0">
        <v>2748</v>
      </c>
      <c r="L106" t="s" s="0">
        <v>2749</v>
      </c>
      <c r="M106" t="s" s="0">
        <v>2750</v>
      </c>
      <c r="N106" t="s" s="0">
        <v>2751</v>
      </c>
      <c r="O106" t="s" s="0">
        <v>2752</v>
      </c>
      <c r="P106" t="s" s="0">
        <v>2753</v>
      </c>
      <c r="Q106" t="s" s="0">
        <v>87</v>
      </c>
      <c r="R106" t="s" s="0">
        <v>81</v>
      </c>
      <c r="S106" t="s" s="0">
        <v>81</v>
      </c>
      <c r="T106" t="s" s="0">
        <v>81</v>
      </c>
      <c r="U106" t="s" s="0">
        <v>81</v>
      </c>
      <c r="V106" t="s" s="0">
        <v>2754</v>
      </c>
      <c r="W106" t="s" s="0">
        <v>1954</v>
      </c>
      <c r="X106" t="s" s="0">
        <v>81</v>
      </c>
      <c r="Y106" t="s" s="0">
        <v>81</v>
      </c>
      <c r="Z106" t="s" s="0">
        <v>90</v>
      </c>
      <c r="AA106" t="s" s="0">
        <v>91</v>
      </c>
      <c r="AB106" t="s" s="0">
        <v>81</v>
      </c>
      <c r="AC106" t="s" s="0">
        <v>81</v>
      </c>
      <c r="AD106" t="s" s="0">
        <v>81</v>
      </c>
      <c r="AE106" t="s" s="0">
        <v>81</v>
      </c>
      <c r="AF106" t="s" s="0">
        <v>81</v>
      </c>
      <c r="AG106" t="s" s="0">
        <v>2755</v>
      </c>
      <c r="AH106" t="s" s="0">
        <v>2756</v>
      </c>
      <c r="AI106" t="s" s="0">
        <v>2757</v>
      </c>
      <c r="AJ106" t="s" s="0">
        <v>2758</v>
      </c>
      <c r="AK106" t="s" s="0">
        <v>81</v>
      </c>
      <c r="AL106" t="s" s="0">
        <v>324</v>
      </c>
      <c r="AM106" t="s" s="0">
        <v>156</v>
      </c>
      <c r="AN106" t="s" s="0">
        <v>156</v>
      </c>
      <c r="AO106" t="s" s="0">
        <v>196</v>
      </c>
      <c r="AP106" t="s" s="0">
        <v>196</v>
      </c>
      <c r="AQ106" t="s" s="0">
        <v>665</v>
      </c>
      <c r="AR106" t="s" s="0">
        <v>546</v>
      </c>
      <c r="AS106" t="s" s="0">
        <v>666</v>
      </c>
      <c r="AT106" t="s" s="0">
        <v>81</v>
      </c>
      <c r="AU106" t="s" s="0">
        <v>1957</v>
      </c>
      <c r="AV106" t="s" s="0">
        <v>81</v>
      </c>
      <c r="AW106" t="s" s="0">
        <v>1958</v>
      </c>
      <c r="AX106" t="s" s="0">
        <v>1959</v>
      </c>
      <c r="AY106" t="s" s="0">
        <v>2759</v>
      </c>
      <c r="AZ106" t="s" s="0">
        <v>290</v>
      </c>
      <c r="BA106" t="s" s="0">
        <v>228</v>
      </c>
      <c r="BB106" t="s" s="0">
        <v>97</v>
      </c>
      <c r="BC106" t="s" s="0">
        <v>81</v>
      </c>
      <c r="BD106" t="s" s="0">
        <v>81</v>
      </c>
      <c r="BE106" t="s" s="0">
        <v>81</v>
      </c>
      <c r="BF106" t="s" s="0">
        <v>81</v>
      </c>
      <c r="BG106" t="s" s="0">
        <v>81</v>
      </c>
      <c r="BH106" t="s" s="0">
        <v>81</v>
      </c>
      <c r="BI106" t="s" s="0">
        <v>135</v>
      </c>
      <c r="BJ106" t="s" s="0">
        <v>2760</v>
      </c>
      <c r="BK106" t="s" s="208">
        <f>HYPERLINK("http://dx.doi.org/10.1186/s12911-025-03315-x","http://dx.doi.org/10.1186/s12911-025-03315-x")</f>
        <v>2761</v>
      </c>
      <c r="BL106" t="s" s="0">
        <v>81</v>
      </c>
      <c r="BM106" t="s" s="0">
        <v>81</v>
      </c>
      <c r="BN106" t="s" s="0">
        <v>210</v>
      </c>
      <c r="BO106" t="s" s="0">
        <v>1963</v>
      </c>
      <c r="BP106" t="s" s="0">
        <v>1963</v>
      </c>
      <c r="BQ106" t="s" s="0">
        <v>2762</v>
      </c>
      <c r="BR106" t="s" s="0">
        <v>2763</v>
      </c>
      <c r="BS106" t="s" s="0">
        <v>2764</v>
      </c>
      <c r="BT106" t="s" s="209">
        <f>HYPERLINK("https://www.webofscience.com/wos/woscc/full-record/WOS:001669066700002","View Record in Web of Science")</f>
        <v>114</v>
      </c>
      <c r="BU106" t="s" s="0">
        <v>301</v>
      </c>
      <c r="BV106" t="s" s="0">
        <v>81</v>
      </c>
      <c r="BW106" t="s" s="0">
        <v>81</v>
      </c>
      <c r="BX106" t="s" s="0">
        <v>116</v>
      </c>
    </row>
    <row r="107">
      <c r="A107" t="s" s="0">
        <v>97</v>
      </c>
      <c r="B107" t="s" s="0">
        <v>77</v>
      </c>
      <c r="C107" t="s" s="0">
        <v>77</v>
      </c>
      <c r="D107" t="s" s="0">
        <v>77</v>
      </c>
      <c r="E107" t="s" s="0">
        <v>2765</v>
      </c>
      <c r="F107" t="s" s="0">
        <v>2766</v>
      </c>
      <c r="G107" t="s" s="0">
        <v>2767</v>
      </c>
      <c r="H107" t="s" s="0">
        <v>81</v>
      </c>
      <c r="I107" t="s" s="0">
        <v>589</v>
      </c>
      <c r="J107" t="s" s="0">
        <v>2768</v>
      </c>
      <c r="K107" t="s" s="0">
        <v>2769</v>
      </c>
      <c r="L107" t="s" s="0">
        <v>81</v>
      </c>
      <c r="M107" t="s" s="0">
        <v>81</v>
      </c>
      <c r="N107" t="s" s="0">
        <v>81</v>
      </c>
      <c r="O107" t="s" s="0">
        <v>2770</v>
      </c>
      <c r="P107" t="s" s="0">
        <v>2771</v>
      </c>
      <c r="Q107" t="s" s="0">
        <v>87</v>
      </c>
      <c r="R107" t="s" s="0">
        <v>81</v>
      </c>
      <c r="S107" t="s" s="0">
        <v>81</v>
      </c>
      <c r="T107" t="s" s="0">
        <v>81</v>
      </c>
      <c r="U107" t="s" s="0">
        <v>81</v>
      </c>
      <c r="V107" t="s" s="0">
        <v>2772</v>
      </c>
      <c r="W107" t="s" s="0">
        <v>2773</v>
      </c>
      <c r="X107" t="s" s="0">
        <v>81</v>
      </c>
      <c r="Y107" t="s" s="0">
        <v>81</v>
      </c>
      <c r="Z107" t="s" s="0">
        <v>90</v>
      </c>
      <c r="AA107" t="s" s="0">
        <v>91</v>
      </c>
      <c r="AB107" t="s" s="0">
        <v>81</v>
      </c>
      <c r="AC107" t="s" s="0">
        <v>81</v>
      </c>
      <c r="AD107" t="s" s="0">
        <v>81</v>
      </c>
      <c r="AE107" t="s" s="0">
        <v>81</v>
      </c>
      <c r="AF107" t="s" s="0">
        <v>81</v>
      </c>
      <c r="AG107" t="s" s="0">
        <v>2774</v>
      </c>
      <c r="AH107" t="s" s="0">
        <v>2775</v>
      </c>
      <c r="AI107" t="s" s="0">
        <v>81</v>
      </c>
      <c r="AJ107" t="s" s="0">
        <v>2776</v>
      </c>
      <c r="AK107" t="s" s="0">
        <v>81</v>
      </c>
      <c r="AL107" t="s" s="0">
        <v>544</v>
      </c>
      <c r="AM107" t="s" s="0">
        <v>211</v>
      </c>
      <c r="AN107" t="s" s="0">
        <v>104</v>
      </c>
      <c r="AO107" t="s" s="0">
        <v>133</v>
      </c>
      <c r="AP107" t="s" s="0">
        <v>174</v>
      </c>
      <c r="AQ107" t="s" s="0">
        <v>368</v>
      </c>
      <c r="AR107" t="s" s="0">
        <v>369</v>
      </c>
      <c r="AS107" t="s" s="0">
        <v>370</v>
      </c>
      <c r="AT107" t="s" s="0">
        <v>2777</v>
      </c>
      <c r="AU107" t="s" s="0">
        <v>81</v>
      </c>
      <c r="AV107" t="s" s="0">
        <v>81</v>
      </c>
      <c r="AW107" t="s" s="0">
        <v>2778</v>
      </c>
      <c r="AX107" t="s" s="0">
        <v>2779</v>
      </c>
      <c r="AY107" t="s" s="0">
        <v>2780</v>
      </c>
      <c r="AZ107" t="s" s="0">
        <v>260</v>
      </c>
      <c r="BA107" t="s" s="0">
        <v>104</v>
      </c>
      <c r="BB107" t="s" s="0">
        <v>81</v>
      </c>
      <c r="BC107" t="s" s="0">
        <v>81</v>
      </c>
      <c r="BD107" t="s" s="0">
        <v>81</v>
      </c>
      <c r="BE107" t="s" s="0">
        <v>81</v>
      </c>
      <c r="BF107" t="s" s="0">
        <v>81</v>
      </c>
      <c r="BG107" t="s" s="0">
        <v>81</v>
      </c>
      <c r="BH107" t="s" s="0">
        <v>81</v>
      </c>
      <c r="BI107" t="s" s="0">
        <v>2781</v>
      </c>
      <c r="BJ107" t="s" s="0">
        <v>2782</v>
      </c>
      <c r="BK107" t="s" s="210">
        <f>HYPERLINK("http://dx.doi.org/10.3389/fpsyg.2023.1069426","http://dx.doi.org/10.3389/fpsyg.2023.1069426")</f>
        <v>2783</v>
      </c>
      <c r="BL107" t="s" s="0">
        <v>81</v>
      </c>
      <c r="BM107" t="s" s="0">
        <v>81</v>
      </c>
      <c r="BN107" t="s" s="0">
        <v>134</v>
      </c>
      <c r="BO107" t="s" s="0">
        <v>2784</v>
      </c>
      <c r="BP107" t="s" s="0">
        <v>2785</v>
      </c>
      <c r="BQ107" t="s" s="0">
        <v>2786</v>
      </c>
      <c r="BR107" t="s" s="0">
        <v>2787</v>
      </c>
      <c r="BS107" t="s" s="0">
        <v>2788</v>
      </c>
      <c r="BT107" t="s" s="211">
        <f>HYPERLINK("https://www.webofscience.com/wos/woscc/full-record/WOS:000953371500001","View Record in Web of Science")</f>
        <v>114</v>
      </c>
      <c r="BU107" t="s" s="0">
        <v>301</v>
      </c>
      <c r="BV107" t="s" s="0">
        <v>81</v>
      </c>
      <c r="BW107" t="s" s="0">
        <v>81</v>
      </c>
      <c r="BX107" t="s" s="0">
        <v>116</v>
      </c>
    </row>
    <row r="108">
      <c r="A108" t="s" s="0">
        <v>77</v>
      </c>
      <c r="B108" t="s" s="0">
        <v>77</v>
      </c>
      <c r="C108" t="s" s="0">
        <v>77</v>
      </c>
      <c r="D108" t="s" s="0">
        <v>77</v>
      </c>
      <c r="E108" t="s" s="0">
        <v>2789</v>
      </c>
      <c r="F108" t="s" s="0">
        <v>2790</v>
      </c>
      <c r="G108" t="s" s="0">
        <v>2791</v>
      </c>
      <c r="H108" t="s" s="0">
        <v>81</v>
      </c>
      <c r="I108" t="s" s="0">
        <v>82</v>
      </c>
      <c r="J108" t="s" s="0">
        <v>2792</v>
      </c>
      <c r="K108" t="s" s="0">
        <v>2793</v>
      </c>
      <c r="L108" t="s" s="0">
        <v>81</v>
      </c>
      <c r="M108" t="s" s="0">
        <v>81</v>
      </c>
      <c r="N108" t="s" s="0">
        <v>81</v>
      </c>
      <c r="O108" t="s" s="0">
        <v>2794</v>
      </c>
      <c r="P108" t="s" s="0">
        <v>2795</v>
      </c>
      <c r="Q108" t="s" s="0">
        <v>87</v>
      </c>
      <c r="R108" t="s" s="0">
        <v>81</v>
      </c>
      <c r="S108" t="s" s="0">
        <v>81</v>
      </c>
      <c r="T108" t="s" s="0">
        <v>81</v>
      </c>
      <c r="U108" t="s" s="0">
        <v>81</v>
      </c>
      <c r="V108" t="s" s="0">
        <v>2796</v>
      </c>
      <c r="W108" t="s" s="0">
        <v>2797</v>
      </c>
      <c r="X108" t="s" s="0">
        <v>81</v>
      </c>
      <c r="Y108" t="s" s="0">
        <v>81</v>
      </c>
      <c r="Z108" t="s" s="0">
        <v>90</v>
      </c>
      <c r="AA108" t="s" s="0">
        <v>91</v>
      </c>
      <c r="AB108" t="s" s="0">
        <v>81</v>
      </c>
      <c r="AC108" t="s" s="0">
        <v>81</v>
      </c>
      <c r="AD108" t="s" s="0">
        <v>81</v>
      </c>
      <c r="AE108" t="s" s="0">
        <v>81</v>
      </c>
      <c r="AF108" t="s" s="0">
        <v>81</v>
      </c>
      <c r="AG108" t="s" s="0">
        <v>2798</v>
      </c>
      <c r="AH108" t="s" s="0">
        <v>2799</v>
      </c>
      <c r="AI108" t="s" s="0">
        <v>2800</v>
      </c>
      <c r="AJ108" t="s" s="0">
        <v>81</v>
      </c>
      <c r="AK108" t="s" s="0">
        <v>81</v>
      </c>
      <c r="AL108" t="s" s="0">
        <v>150</v>
      </c>
      <c r="AM108" t="s" s="0">
        <v>77</v>
      </c>
      <c r="AN108" t="s" s="0">
        <v>77</v>
      </c>
      <c r="AO108" t="s" s="0">
        <v>97</v>
      </c>
      <c r="AP108" t="s" s="0">
        <v>97</v>
      </c>
      <c r="AQ108" t="s" s="0">
        <v>284</v>
      </c>
      <c r="AR108" t="s" s="0">
        <v>285</v>
      </c>
      <c r="AS108" t="s" s="0">
        <v>286</v>
      </c>
      <c r="AT108" t="s" s="0">
        <v>81</v>
      </c>
      <c r="AU108" t="s" s="0">
        <v>2801</v>
      </c>
      <c r="AV108" t="s" s="0">
        <v>81</v>
      </c>
      <c r="AW108" t="s" s="0">
        <v>2802</v>
      </c>
      <c r="AX108" t="s" s="0">
        <v>2803</v>
      </c>
      <c r="AY108" t="s" s="0">
        <v>1836</v>
      </c>
      <c r="AZ108" t="s" s="0">
        <v>103</v>
      </c>
      <c r="BA108" t="s" s="0">
        <v>925</v>
      </c>
      <c r="BB108" t="s" s="0">
        <v>133</v>
      </c>
      <c r="BC108" t="s" s="0">
        <v>81</v>
      </c>
      <c r="BD108" t="s" s="0">
        <v>81</v>
      </c>
      <c r="BE108" t="s" s="0">
        <v>81</v>
      </c>
      <c r="BF108" t="s" s="0">
        <v>81</v>
      </c>
      <c r="BG108" t="s" s="0">
        <v>81</v>
      </c>
      <c r="BH108" t="s" s="0">
        <v>81</v>
      </c>
      <c r="BI108" t="s" s="0">
        <v>2804</v>
      </c>
      <c r="BJ108" t="s" s="0">
        <v>2805</v>
      </c>
      <c r="BK108" t="s" s="212">
        <f>HYPERLINK("http://dx.doi.org/10.3390/app16052514","http://dx.doi.org/10.3390/app16052514")</f>
        <v>2806</v>
      </c>
      <c r="BL108" t="s" s="0">
        <v>81</v>
      </c>
      <c r="BM108" t="s" s="0">
        <v>81</v>
      </c>
      <c r="BN108" t="s" s="0">
        <v>874</v>
      </c>
      <c r="BO108" t="s" s="0">
        <v>2807</v>
      </c>
      <c r="BP108" t="s" s="0">
        <v>2808</v>
      </c>
      <c r="BQ108" t="s" s="0">
        <v>2809</v>
      </c>
      <c r="BR108" t="s" s="0">
        <v>81</v>
      </c>
      <c r="BS108" t="s" s="0">
        <v>2810</v>
      </c>
      <c r="BT108" t="s" s="213">
        <f>HYPERLINK("https://www.webofscience.com/wos/woscc/full-record/WOS:001713352900001","View Record in Web of Science")</f>
        <v>114</v>
      </c>
      <c r="BU108" t="s" s="0">
        <v>301</v>
      </c>
      <c r="BV108" t="s" s="0">
        <v>81</v>
      </c>
      <c r="BW108" t="s" s="0">
        <v>81</v>
      </c>
      <c r="BX108" t="s" s="0">
        <v>116</v>
      </c>
    </row>
    <row r="109">
      <c r="A109" t="s" s="0">
        <v>97</v>
      </c>
      <c r="B109" t="s" s="0">
        <v>77</v>
      </c>
      <c r="C109" t="s" s="0">
        <v>156</v>
      </c>
      <c r="D109" t="s" s="0">
        <v>77</v>
      </c>
      <c r="E109" t="s" s="0">
        <v>2811</v>
      </c>
      <c r="F109" t="s" s="0">
        <v>2812</v>
      </c>
      <c r="G109" t="s" s="0">
        <v>2813</v>
      </c>
      <c r="H109" t="s" s="0">
        <v>81</v>
      </c>
      <c r="I109" t="s" s="0">
        <v>82</v>
      </c>
      <c r="J109" t="s" s="0">
        <v>2043</v>
      </c>
      <c r="K109" t="s" s="0">
        <v>2044</v>
      </c>
      <c r="L109" t="s" s="0">
        <v>81</v>
      </c>
      <c r="M109" t="s" s="0">
        <v>81</v>
      </c>
      <c r="N109" t="s" s="0">
        <v>81</v>
      </c>
      <c r="O109" t="s" s="0">
        <v>2814</v>
      </c>
      <c r="P109" t="s" s="0">
        <v>2815</v>
      </c>
      <c r="Q109" t="s" s="0">
        <v>87</v>
      </c>
      <c r="R109" t="s" s="0">
        <v>81</v>
      </c>
      <c r="S109" t="s" s="0">
        <v>81</v>
      </c>
      <c r="T109" t="s" s="0">
        <v>81</v>
      </c>
      <c r="U109" t="s" s="0">
        <v>81</v>
      </c>
      <c r="V109" t="s" s="0">
        <v>2816</v>
      </c>
      <c r="W109" t="s" s="0">
        <v>2048</v>
      </c>
      <c r="X109" t="s" s="0">
        <v>81</v>
      </c>
      <c r="Y109" t="s" s="0">
        <v>81</v>
      </c>
      <c r="Z109" t="s" s="0">
        <v>90</v>
      </c>
      <c r="AA109" t="s" s="0">
        <v>91</v>
      </c>
      <c r="AB109" t="s" s="0">
        <v>81</v>
      </c>
      <c r="AC109" t="s" s="0">
        <v>81</v>
      </c>
      <c r="AD109" t="s" s="0">
        <v>81</v>
      </c>
      <c r="AE109" t="s" s="0">
        <v>81</v>
      </c>
      <c r="AF109" t="s" s="0">
        <v>81</v>
      </c>
      <c r="AG109" t="s" s="0">
        <v>2817</v>
      </c>
      <c r="AH109" t="s" s="0">
        <v>81</v>
      </c>
      <c r="AI109" t="s" s="0">
        <v>2818</v>
      </c>
      <c r="AJ109" t="s" s="0">
        <v>81</v>
      </c>
      <c r="AK109" t="s" s="0">
        <v>81</v>
      </c>
      <c r="AL109" t="s" s="0">
        <v>344</v>
      </c>
      <c r="AM109" t="s" s="0">
        <v>367</v>
      </c>
      <c r="AN109" t="s" s="0">
        <v>874</v>
      </c>
      <c r="AO109" t="s" s="0">
        <v>104</v>
      </c>
      <c r="AP109" t="s" s="0">
        <v>874</v>
      </c>
      <c r="AQ109" t="s" s="0">
        <v>665</v>
      </c>
      <c r="AR109" t="s" s="0">
        <v>546</v>
      </c>
      <c r="AS109" t="s" s="0">
        <v>666</v>
      </c>
      <c r="AT109" t="s" s="0">
        <v>2052</v>
      </c>
      <c r="AU109" t="s" s="0">
        <v>81</v>
      </c>
      <c r="AV109" t="s" s="0">
        <v>81</v>
      </c>
      <c r="AW109" t="s" s="0">
        <v>2053</v>
      </c>
      <c r="AX109" t="s" s="0">
        <v>2054</v>
      </c>
      <c r="AY109" t="s" s="0">
        <v>1048</v>
      </c>
      <c r="AZ109" t="s" s="0">
        <v>290</v>
      </c>
      <c r="BA109" t="s" s="0">
        <v>109</v>
      </c>
      <c r="BB109" t="s" s="0">
        <v>97</v>
      </c>
      <c r="BC109" t="s" s="0">
        <v>81</v>
      </c>
      <c r="BD109" t="s" s="0">
        <v>81</v>
      </c>
      <c r="BE109" t="s" s="0">
        <v>81</v>
      </c>
      <c r="BF109" t="s" s="0">
        <v>81</v>
      </c>
      <c r="BG109" t="s" s="0">
        <v>81</v>
      </c>
      <c r="BH109" t="s" s="0">
        <v>81</v>
      </c>
      <c r="BI109" t="s" s="0">
        <v>2819</v>
      </c>
      <c r="BJ109" t="s" s="0">
        <v>2820</v>
      </c>
      <c r="BK109" t="s" s="214">
        <f>HYPERLINK("http://dx.doi.org/10.1186/s12880-025-01630-3","http://dx.doi.org/10.1186/s12880-025-01630-3")</f>
        <v>2821</v>
      </c>
      <c r="BL109" t="s" s="0">
        <v>81</v>
      </c>
      <c r="BM109" t="s" s="0">
        <v>81</v>
      </c>
      <c r="BN109" t="s" s="0">
        <v>925</v>
      </c>
      <c r="BO109" t="s" s="0">
        <v>738</v>
      </c>
      <c r="BP109" t="s" s="0">
        <v>738</v>
      </c>
      <c r="BQ109" t="s" s="0">
        <v>2822</v>
      </c>
      <c r="BR109" t="s" s="0">
        <v>2823</v>
      </c>
      <c r="BS109" t="s" s="0">
        <v>2824</v>
      </c>
      <c r="BT109" t="s" s="215">
        <f>HYPERLINK("https://www.webofscience.com/wos/woscc/full-record/WOS:001451151700002","View Record in Web of Science")</f>
        <v>114</v>
      </c>
      <c r="BU109" t="s" s="0">
        <v>301</v>
      </c>
      <c r="BV109" t="s" s="0">
        <v>81</v>
      </c>
      <c r="BW109" t="s" s="0">
        <v>81</v>
      </c>
      <c r="BX109" t="s" s="0">
        <v>116</v>
      </c>
    </row>
    <row r="110">
      <c r="A110" t="s" s="0">
        <v>77</v>
      </c>
      <c r="B110" t="s" s="0">
        <v>77</v>
      </c>
      <c r="C110" t="s" s="0">
        <v>77</v>
      </c>
      <c r="D110" t="s" s="0">
        <v>77</v>
      </c>
      <c r="E110" t="s" s="0">
        <v>2825</v>
      </c>
      <c r="F110" t="s" s="0">
        <v>2826</v>
      </c>
      <c r="G110" t="s" s="0">
        <v>2827</v>
      </c>
      <c r="H110" t="s" s="0">
        <v>81</v>
      </c>
      <c r="I110" t="s" s="0">
        <v>82</v>
      </c>
      <c r="J110" t="s" s="0">
        <v>2828</v>
      </c>
      <c r="K110" t="s" s="0">
        <v>2829</v>
      </c>
      <c r="L110" t="s" s="0">
        <v>2830</v>
      </c>
      <c r="M110" t="s" s="0">
        <v>2831</v>
      </c>
      <c r="N110" t="s" s="0">
        <v>335</v>
      </c>
      <c r="O110" t="s" s="0">
        <v>2832</v>
      </c>
      <c r="P110" t="s" s="0">
        <v>2833</v>
      </c>
      <c r="Q110" t="s" s="0">
        <v>87</v>
      </c>
      <c r="R110" t="s" s="0">
        <v>81</v>
      </c>
      <c r="S110" t="s" s="0">
        <v>81</v>
      </c>
      <c r="T110" t="s" s="0">
        <v>81</v>
      </c>
      <c r="U110" t="s" s="0">
        <v>81</v>
      </c>
      <c r="V110" t="s" s="0">
        <v>2834</v>
      </c>
      <c r="W110" t="s" s="0">
        <v>89</v>
      </c>
      <c r="X110" t="s" s="0">
        <v>81</v>
      </c>
      <c r="Y110" t="s" s="0">
        <v>81</v>
      </c>
      <c r="Z110" t="s" s="0">
        <v>90</v>
      </c>
      <c r="AA110" t="s" s="0">
        <v>91</v>
      </c>
      <c r="AB110" t="s" s="0">
        <v>81</v>
      </c>
      <c r="AC110" t="s" s="0">
        <v>81</v>
      </c>
      <c r="AD110" t="s" s="0">
        <v>81</v>
      </c>
      <c r="AE110" t="s" s="0">
        <v>81</v>
      </c>
      <c r="AF110" t="s" s="0">
        <v>81</v>
      </c>
      <c r="AG110" t="s" s="0">
        <v>2835</v>
      </c>
      <c r="AH110" t="s" s="0">
        <v>2836</v>
      </c>
      <c r="AI110" t="s" s="0">
        <v>2837</v>
      </c>
      <c r="AJ110" t="s" s="0">
        <v>2838</v>
      </c>
      <c r="AK110" t="s" s="0">
        <v>81</v>
      </c>
      <c r="AL110" t="s" s="0">
        <v>96</v>
      </c>
      <c r="AM110" t="s" s="0">
        <v>175</v>
      </c>
      <c r="AN110" t="s" s="0">
        <v>175</v>
      </c>
      <c r="AO110" t="s" s="0">
        <v>97</v>
      </c>
      <c r="AP110" t="s" s="0">
        <v>133</v>
      </c>
      <c r="AQ110" t="s" s="0">
        <v>98</v>
      </c>
      <c r="AR110" t="s" s="0">
        <v>99</v>
      </c>
      <c r="AS110" t="s" s="0">
        <v>100</v>
      </c>
      <c r="AT110" t="s" s="0">
        <v>101</v>
      </c>
      <c r="AU110" t="s" s="0">
        <v>81</v>
      </c>
      <c r="AV110" t="s" s="0">
        <v>81</v>
      </c>
      <c r="AW110" t="s" s="0">
        <v>89</v>
      </c>
      <c r="AX110" t="s" s="0">
        <v>102</v>
      </c>
      <c r="AY110" t="s" s="0">
        <v>185</v>
      </c>
      <c r="AZ110" t="s" s="0">
        <v>185</v>
      </c>
      <c r="BA110" t="s" s="0">
        <v>134</v>
      </c>
      <c r="BB110" t="s" s="0">
        <v>81</v>
      </c>
      <c r="BC110" t="s" s="0">
        <v>81</v>
      </c>
      <c r="BD110" t="s" s="0">
        <v>81</v>
      </c>
      <c r="BE110" t="s" s="0">
        <v>81</v>
      </c>
      <c r="BF110" t="s" s="0">
        <v>81</v>
      </c>
      <c r="BG110" t="s" s="0">
        <v>2839</v>
      </c>
      <c r="BH110" t="s" s="0">
        <v>2840</v>
      </c>
      <c r="BI110" t="s" s="0">
        <v>81</v>
      </c>
      <c r="BJ110" t="s" s="0">
        <v>2841</v>
      </c>
      <c r="BK110" t="s" s="216">
        <f>HYPERLINK("http://dx.doi.org/10.1109/ACCESS.2024.3513893","http://dx.doi.org/10.1109/ACCESS.2024.3513893")</f>
        <v>2842</v>
      </c>
      <c r="BL110" t="s" s="0">
        <v>81</v>
      </c>
      <c r="BM110" t="s" s="0">
        <v>81</v>
      </c>
      <c r="BN110" t="s" s="0">
        <v>291</v>
      </c>
      <c r="BO110" t="s" s="0">
        <v>110</v>
      </c>
      <c r="BP110" t="s" s="0">
        <v>111</v>
      </c>
      <c r="BQ110" t="s" s="0">
        <v>2843</v>
      </c>
      <c r="BR110" t="s" s="0">
        <v>81</v>
      </c>
      <c r="BS110" t="s" s="0">
        <v>2844</v>
      </c>
      <c r="BT110" t="s" s="217">
        <f>HYPERLINK("https://www.webofscience.com/wos/woscc/full-record/WOS:001383061300048","View Record in Web of Science")</f>
        <v>114</v>
      </c>
      <c r="BU110" t="s" s="0">
        <v>301</v>
      </c>
      <c r="BV110" t="s" s="0">
        <v>81</v>
      </c>
      <c r="BW110" t="s" s="0">
        <v>81</v>
      </c>
      <c r="BX110" t="s" s="0">
        <v>116</v>
      </c>
    </row>
    <row r="111">
      <c r="A111" t="s" s="0">
        <v>77</v>
      </c>
      <c r="B111" t="s" s="0">
        <v>77</v>
      </c>
      <c r="C111" t="s" s="0">
        <v>77</v>
      </c>
      <c r="D111" t="s" s="0">
        <v>77</v>
      </c>
      <c r="E111" t="s" s="0">
        <v>2845</v>
      </c>
      <c r="F111" t="s" s="0">
        <v>2846</v>
      </c>
      <c r="G111" t="s" s="0">
        <v>2847</v>
      </c>
      <c r="H111" t="s" s="0">
        <v>81</v>
      </c>
      <c r="I111" t="s" s="0">
        <v>82</v>
      </c>
      <c r="J111" t="s" s="0">
        <v>2848</v>
      </c>
      <c r="K111" t="s" s="0">
        <v>2849</v>
      </c>
      <c r="L111" t="s" s="0">
        <v>2850</v>
      </c>
      <c r="M111" t="s" s="0">
        <v>419</v>
      </c>
      <c r="N111" t="s" s="0">
        <v>2851</v>
      </c>
      <c r="O111" t="s" s="0">
        <v>2852</v>
      </c>
      <c r="P111" t="s" s="0">
        <v>2853</v>
      </c>
      <c r="Q111" t="s" s="0">
        <v>87</v>
      </c>
      <c r="R111" t="s" s="0">
        <v>81</v>
      </c>
      <c r="S111" t="s" s="0">
        <v>81</v>
      </c>
      <c r="T111" t="s" s="0">
        <v>81</v>
      </c>
      <c r="U111" t="s" s="0">
        <v>81</v>
      </c>
      <c r="V111" t="s" s="0">
        <v>2854</v>
      </c>
      <c r="W111" t="s" s="0">
        <v>1226</v>
      </c>
      <c r="X111" t="s" s="0">
        <v>81</v>
      </c>
      <c r="Y111" t="s" s="0">
        <v>81</v>
      </c>
      <c r="Z111" t="s" s="0">
        <v>90</v>
      </c>
      <c r="AA111" t="s" s="0">
        <v>91</v>
      </c>
      <c r="AB111" t="s" s="0">
        <v>81</v>
      </c>
      <c r="AC111" t="s" s="0">
        <v>81</v>
      </c>
      <c r="AD111" t="s" s="0">
        <v>81</v>
      </c>
      <c r="AE111" t="s" s="0">
        <v>81</v>
      </c>
      <c r="AF111" t="s" s="0">
        <v>81</v>
      </c>
      <c r="AG111" t="s" s="0">
        <v>2855</v>
      </c>
      <c r="AH111" t="s" s="0">
        <v>81</v>
      </c>
      <c r="AI111" t="s" s="0">
        <v>2856</v>
      </c>
      <c r="AJ111" t="s" s="0">
        <v>81</v>
      </c>
      <c r="AK111" t="s" s="0">
        <v>81</v>
      </c>
      <c r="AL111" t="s" s="0">
        <v>696</v>
      </c>
      <c r="AM111" t="s" s="0">
        <v>77</v>
      </c>
      <c r="AN111" t="s" s="0">
        <v>77</v>
      </c>
      <c r="AO111" t="s" s="0">
        <v>77</v>
      </c>
      <c r="AP111" t="s" s="0">
        <v>77</v>
      </c>
      <c r="AQ111" t="s" s="0">
        <v>284</v>
      </c>
      <c r="AR111" t="s" s="0">
        <v>285</v>
      </c>
      <c r="AS111" t="s" s="0">
        <v>286</v>
      </c>
      <c r="AT111" t="s" s="0">
        <v>81</v>
      </c>
      <c r="AU111" t="s" s="0">
        <v>1230</v>
      </c>
      <c r="AV111" t="s" s="0">
        <v>81</v>
      </c>
      <c r="AW111" t="s" s="0">
        <v>1226</v>
      </c>
      <c r="AX111" t="s" s="0">
        <v>1231</v>
      </c>
      <c r="AY111" t="s" s="0">
        <v>2857</v>
      </c>
      <c r="AZ111" t="s" s="0">
        <v>103</v>
      </c>
      <c r="BA111" t="s" s="0">
        <v>486</v>
      </c>
      <c r="BB111" t="s" s="0">
        <v>133</v>
      </c>
      <c r="BC111" t="s" s="0">
        <v>81</v>
      </c>
      <c r="BD111" t="s" s="0">
        <v>81</v>
      </c>
      <c r="BE111" t="s" s="0">
        <v>81</v>
      </c>
      <c r="BF111" t="s" s="0">
        <v>81</v>
      </c>
      <c r="BG111" t="s" s="0">
        <v>81</v>
      </c>
      <c r="BH111" t="s" s="0">
        <v>81</v>
      </c>
      <c r="BI111" t="s" s="0">
        <v>2858</v>
      </c>
      <c r="BJ111" t="s" s="0">
        <v>2859</v>
      </c>
      <c r="BK111" t="s" s="218">
        <f>HYPERLINK("http://dx.doi.org/10.3390/bioengineering13050506","http://dx.doi.org/10.3390/bioengineering13050506")</f>
        <v>2860</v>
      </c>
      <c r="BL111" t="s" s="0">
        <v>81</v>
      </c>
      <c r="BM111" t="s" s="0">
        <v>948</v>
      </c>
      <c r="BN111" t="s" s="0">
        <v>671</v>
      </c>
      <c r="BO111" t="s" s="0">
        <v>1236</v>
      </c>
      <c r="BP111" t="s" s="0">
        <v>1237</v>
      </c>
      <c r="BQ111" t="s" s="0">
        <v>2861</v>
      </c>
      <c r="BR111" t="s" s="0">
        <v>2862</v>
      </c>
      <c r="BS111" t="s" s="0">
        <v>2863</v>
      </c>
      <c r="BT111" t="s" s="219">
        <f>HYPERLINK("https://www.webofscience.com/wos/woscc/full-record/WOS:001774852900001","View Record in Web of Science")</f>
        <v>114</v>
      </c>
      <c r="BU111" t="s" s="0">
        <v>301</v>
      </c>
      <c r="BV111" t="s" s="0">
        <v>81</v>
      </c>
      <c r="BW111" t="s" s="0">
        <v>81</v>
      </c>
      <c r="BX111" t="s" s="0">
        <v>116</v>
      </c>
    </row>
    <row r="112">
      <c r="A112" t="s" s="0">
        <v>77</v>
      </c>
      <c r="B112" t="s" s="0">
        <v>77</v>
      </c>
      <c r="C112" t="s" s="0">
        <v>135</v>
      </c>
      <c r="D112" t="s" s="0">
        <v>77</v>
      </c>
      <c r="E112" t="s" s="0">
        <v>2864</v>
      </c>
      <c r="F112" t="s" s="0">
        <v>2865</v>
      </c>
      <c r="G112" t="s" s="0">
        <v>2866</v>
      </c>
      <c r="H112" t="s" s="0">
        <v>81</v>
      </c>
      <c r="I112" t="s" s="0">
        <v>82</v>
      </c>
      <c r="J112" t="s" s="0">
        <v>2867</v>
      </c>
      <c r="K112" t="s" s="0">
        <v>2868</v>
      </c>
      <c r="L112" t="s" s="0">
        <v>81</v>
      </c>
      <c r="M112" t="s" s="0">
        <v>81</v>
      </c>
      <c r="N112" t="s" s="0">
        <v>81</v>
      </c>
      <c r="O112" t="s" s="0">
        <v>2869</v>
      </c>
      <c r="P112" t="s" s="0">
        <v>2870</v>
      </c>
      <c r="Q112" t="s" s="0">
        <v>87</v>
      </c>
      <c r="R112" t="s" s="0">
        <v>81</v>
      </c>
      <c r="S112" t="s" s="0">
        <v>81</v>
      </c>
      <c r="T112" t="s" s="0">
        <v>81</v>
      </c>
      <c r="U112" t="s" s="0">
        <v>81</v>
      </c>
      <c r="V112" t="s" s="0">
        <v>2871</v>
      </c>
      <c r="W112" t="s" s="0">
        <v>128</v>
      </c>
      <c r="X112" t="s" s="0">
        <v>81</v>
      </c>
      <c r="Y112" t="s" s="0">
        <v>81</v>
      </c>
      <c r="Z112" t="s" s="0">
        <v>90</v>
      </c>
      <c r="AA112" t="s" s="0">
        <v>91</v>
      </c>
      <c r="AB112" t="s" s="0">
        <v>81</v>
      </c>
      <c r="AC112" t="s" s="0">
        <v>81</v>
      </c>
      <c r="AD112" t="s" s="0">
        <v>81</v>
      </c>
      <c r="AE112" t="s" s="0">
        <v>81</v>
      </c>
      <c r="AF112" t="s" s="0">
        <v>81</v>
      </c>
      <c r="AG112" t="s" s="0">
        <v>2872</v>
      </c>
      <c r="AH112" t="s" s="0">
        <v>2873</v>
      </c>
      <c r="AI112" t="s" s="0">
        <v>2874</v>
      </c>
      <c r="AJ112" t="s" s="0">
        <v>2875</v>
      </c>
      <c r="AK112" t="s" s="0">
        <v>81</v>
      </c>
      <c r="AL112" t="s" s="0">
        <v>2876</v>
      </c>
      <c r="AM112" t="s" s="0">
        <v>2877</v>
      </c>
      <c r="AN112" t="s" s="0">
        <v>2878</v>
      </c>
      <c r="AO112" t="s" s="0">
        <v>543</v>
      </c>
      <c r="AP112" t="s" s="0">
        <v>2738</v>
      </c>
      <c r="AQ112" t="s" s="0">
        <v>136</v>
      </c>
      <c r="AR112" t="s" s="0">
        <v>137</v>
      </c>
      <c r="AS112" t="s" s="0">
        <v>138</v>
      </c>
      <c r="AT112" t="s" s="0">
        <v>139</v>
      </c>
      <c r="AU112" t="s" s="0">
        <v>140</v>
      </c>
      <c r="AV112" t="s" s="0">
        <v>81</v>
      </c>
      <c r="AW112" t="s" s="0">
        <v>141</v>
      </c>
      <c r="AX112" t="s" s="0">
        <v>142</v>
      </c>
      <c r="AY112" t="s" s="0">
        <v>2879</v>
      </c>
      <c r="AZ112" t="s" s="0">
        <v>185</v>
      </c>
      <c r="BA112" t="s" s="0">
        <v>2880</v>
      </c>
      <c r="BB112" t="s" s="0">
        <v>81</v>
      </c>
      <c r="BC112" t="s" s="0">
        <v>81</v>
      </c>
      <c r="BD112" t="s" s="0">
        <v>81</v>
      </c>
      <c r="BE112" t="s" s="0">
        <v>81</v>
      </c>
      <c r="BF112" t="s" s="0">
        <v>81</v>
      </c>
      <c r="BG112" t="s" s="0">
        <v>81</v>
      </c>
      <c r="BH112" t="s" s="0">
        <v>81</v>
      </c>
      <c r="BI112" t="s" s="0">
        <v>2881</v>
      </c>
      <c r="BJ112" t="s" s="0">
        <v>2882</v>
      </c>
      <c r="BK112" t="s" s="220">
        <f>HYPERLINK("http://dx.doi.org/10.1016/j.inffus.2024.102412","http://dx.doi.org/10.1016/j.inffus.2024.102412")</f>
        <v>2883</v>
      </c>
      <c r="BL112" t="s" s="0">
        <v>81</v>
      </c>
      <c r="BM112" t="s" s="0">
        <v>514</v>
      </c>
      <c r="BN112" t="s" s="0">
        <v>252</v>
      </c>
      <c r="BO112" t="s" s="0">
        <v>151</v>
      </c>
      <c r="BP112" t="s" s="0">
        <v>152</v>
      </c>
      <c r="BQ112" t="s" s="0">
        <v>2884</v>
      </c>
      <c r="BR112" t="s" s="0">
        <v>81</v>
      </c>
      <c r="BS112" t="s" s="0">
        <v>2885</v>
      </c>
      <c r="BT112" t="s" s="221">
        <f>HYPERLINK("https://www.webofscience.com/wos/woscc/full-record/WOS:001227735900001","View Record in Web of Science")</f>
        <v>114</v>
      </c>
      <c r="BU112" t="s" s="0">
        <v>233</v>
      </c>
      <c r="BV112" t="s" s="0">
        <v>2886</v>
      </c>
      <c r="BW112" t="s" s="0">
        <v>2887</v>
      </c>
      <c r="BX112" t="s" s="0">
        <v>116</v>
      </c>
    </row>
    <row r="113">
      <c r="A113" t="s" s="0">
        <v>77</v>
      </c>
      <c r="B113" t="s" s="0">
        <v>77</v>
      </c>
      <c r="C113" t="s" s="0">
        <v>175</v>
      </c>
      <c r="D113" t="s" s="0">
        <v>77</v>
      </c>
      <c r="E113" t="s" s="0">
        <v>2888</v>
      </c>
      <c r="F113" t="s" s="0">
        <v>2889</v>
      </c>
      <c r="G113" t="s" s="0">
        <v>2890</v>
      </c>
      <c r="H113" t="s" s="0">
        <v>81</v>
      </c>
      <c r="I113" t="s" s="0">
        <v>82</v>
      </c>
      <c r="J113" t="s" s="0">
        <v>2891</v>
      </c>
      <c r="K113" t="s" s="0">
        <v>2892</v>
      </c>
      <c r="L113" t="s" s="0">
        <v>2893</v>
      </c>
      <c r="M113" t="s" s="0">
        <v>2894</v>
      </c>
      <c r="N113" t="s" s="0">
        <v>2895</v>
      </c>
      <c r="O113" t="s" s="0">
        <v>2896</v>
      </c>
      <c r="P113" t="s" s="0">
        <v>2897</v>
      </c>
      <c r="Q113" t="s" s="0">
        <v>87</v>
      </c>
      <c r="R113" t="s" s="0">
        <v>81</v>
      </c>
      <c r="S113" t="s" s="0">
        <v>2898</v>
      </c>
      <c r="T113" t="s" s="0">
        <v>81</v>
      </c>
      <c r="U113" t="s" s="0">
        <v>81</v>
      </c>
      <c r="V113" t="s" s="0">
        <v>2899</v>
      </c>
      <c r="W113" t="s" s="0">
        <v>2900</v>
      </c>
      <c r="X113" t="s" s="0">
        <v>81</v>
      </c>
      <c r="Y113" t="s" s="0">
        <v>81</v>
      </c>
      <c r="Z113" t="s" s="0">
        <v>90</v>
      </c>
      <c r="AA113" t="s" s="0">
        <v>91</v>
      </c>
      <c r="AB113" t="s" s="0">
        <v>81</v>
      </c>
      <c r="AC113" t="s" s="0">
        <v>81</v>
      </c>
      <c r="AD113" t="s" s="0">
        <v>81</v>
      </c>
      <c r="AE113" t="s" s="0">
        <v>81</v>
      </c>
      <c r="AF113" t="s" s="0">
        <v>81</v>
      </c>
      <c r="AG113" t="s" s="0">
        <v>81</v>
      </c>
      <c r="AH113" t="s" s="0">
        <v>2901</v>
      </c>
      <c r="AI113" t="s" s="0">
        <v>2902</v>
      </c>
      <c r="AJ113" t="s" s="0">
        <v>2903</v>
      </c>
      <c r="AK113" t="s" s="0">
        <v>81</v>
      </c>
      <c r="AL113" t="s" s="0">
        <v>664</v>
      </c>
      <c r="AM113" t="s" s="0">
        <v>925</v>
      </c>
      <c r="AN113" t="s" s="0">
        <v>295</v>
      </c>
      <c r="AO113" t="s" s="0">
        <v>133</v>
      </c>
      <c r="AP113" t="s" s="0">
        <v>295</v>
      </c>
      <c r="AQ113" t="s" s="0">
        <v>915</v>
      </c>
      <c r="AR113" t="s" s="0">
        <v>916</v>
      </c>
      <c r="AS113" t="s" s="0">
        <v>917</v>
      </c>
      <c r="AT113" t="s" s="0">
        <v>81</v>
      </c>
      <c r="AU113" t="s" s="0">
        <v>2904</v>
      </c>
      <c r="AV113" t="s" s="0">
        <v>81</v>
      </c>
      <c r="AW113" t="s" s="0">
        <v>2905</v>
      </c>
      <c r="AX113" t="s" s="0">
        <v>2906</v>
      </c>
      <c r="AY113" t="s" s="0">
        <v>2907</v>
      </c>
      <c r="AZ113" t="s" s="0">
        <v>290</v>
      </c>
      <c r="BA113" t="s" s="0">
        <v>925</v>
      </c>
      <c r="BB113" t="s" s="0">
        <v>97</v>
      </c>
      <c r="BC113" t="s" s="0">
        <v>81</v>
      </c>
      <c r="BD113" t="s" s="0">
        <v>81</v>
      </c>
      <c r="BE113" t="s" s="0">
        <v>81</v>
      </c>
      <c r="BF113" t="s" s="0">
        <v>81</v>
      </c>
      <c r="BG113" t="s" s="0">
        <v>81</v>
      </c>
      <c r="BH113" t="s" s="0">
        <v>81</v>
      </c>
      <c r="BI113" t="s" s="0">
        <v>2908</v>
      </c>
      <c r="BJ113" t="s" s="0">
        <v>2909</v>
      </c>
      <c r="BK113" t="s" s="222">
        <f>HYPERLINK("http://dx.doi.org/10.1038/s41467-025-59532-5","http://dx.doi.org/10.1038/s41467-025-59532-5")</f>
        <v>2910</v>
      </c>
      <c r="BL113" t="s" s="0">
        <v>81</v>
      </c>
      <c r="BM113" t="s" s="0">
        <v>81</v>
      </c>
      <c r="BN113" t="s" s="0">
        <v>211</v>
      </c>
      <c r="BO113" t="s" s="0">
        <v>926</v>
      </c>
      <c r="BP113" t="s" s="0">
        <v>927</v>
      </c>
      <c r="BQ113" t="s" s="0">
        <v>2911</v>
      </c>
      <c r="BR113" t="s" s="0">
        <v>2912</v>
      </c>
      <c r="BS113" t="s" s="0">
        <v>2913</v>
      </c>
      <c r="BT113" t="s" s="223">
        <f>HYPERLINK("https://www.webofscience.com/wos/woscc/full-record/WOS:001493131600017","View Record in Web of Science")</f>
        <v>114</v>
      </c>
      <c r="BU113" t="s" s="0">
        <v>270</v>
      </c>
      <c r="BV113" t="s" s="0">
        <v>81</v>
      </c>
      <c r="BW113" t="s" s="0">
        <v>81</v>
      </c>
      <c r="BX113" t="s" s="0">
        <v>116</v>
      </c>
    </row>
    <row r="114">
      <c r="A114" t="s" s="0">
        <v>77</v>
      </c>
      <c r="B114" t="s" s="0">
        <v>77</v>
      </c>
      <c r="C114" t="s" s="0">
        <v>77</v>
      </c>
      <c r="D114" t="s" s="0">
        <v>77</v>
      </c>
      <c r="E114" t="s" s="0">
        <v>2914</v>
      </c>
      <c r="F114" t="s" s="0">
        <v>2915</v>
      </c>
      <c r="G114" t="s" s="0">
        <v>2916</v>
      </c>
      <c r="H114" t="s" s="0">
        <v>81</v>
      </c>
      <c r="I114" t="s" s="0">
        <v>528</v>
      </c>
      <c r="J114" t="s" s="0">
        <v>2917</v>
      </c>
      <c r="K114" t="s" s="0">
        <v>2918</v>
      </c>
      <c r="L114" t="s" s="0">
        <v>81</v>
      </c>
      <c r="M114" t="s" s="0">
        <v>81</v>
      </c>
      <c r="N114" t="s" s="0">
        <v>81</v>
      </c>
      <c r="O114" t="s" s="0">
        <v>2919</v>
      </c>
      <c r="P114" t="s" s="0">
        <v>2920</v>
      </c>
      <c r="Q114" t="s" s="0">
        <v>87</v>
      </c>
      <c r="R114" t="s" s="0">
        <v>81</v>
      </c>
      <c r="S114" t="s" s="0">
        <v>81</v>
      </c>
      <c r="T114" t="s" s="0">
        <v>81</v>
      </c>
      <c r="U114" t="s" s="0">
        <v>81</v>
      </c>
      <c r="V114" t="s" s="0">
        <v>2921</v>
      </c>
      <c r="W114" t="s" s="0">
        <v>2922</v>
      </c>
      <c r="X114" t="s" s="0">
        <v>81</v>
      </c>
      <c r="Y114" t="s" s="0">
        <v>81</v>
      </c>
      <c r="Z114" t="s" s="0">
        <v>90</v>
      </c>
      <c r="AA114" t="s" s="0">
        <v>91</v>
      </c>
      <c r="AB114" t="s" s="0">
        <v>81</v>
      </c>
      <c r="AC114" t="s" s="0">
        <v>81</v>
      </c>
      <c r="AD114" t="s" s="0">
        <v>81</v>
      </c>
      <c r="AE114" t="s" s="0">
        <v>81</v>
      </c>
      <c r="AF114" t="s" s="0">
        <v>81</v>
      </c>
      <c r="AG114" t="s" s="0">
        <v>2923</v>
      </c>
      <c r="AH114" t="s" s="0">
        <v>2924</v>
      </c>
      <c r="AI114" t="s" s="0">
        <v>2925</v>
      </c>
      <c r="AJ114" t="s" s="0">
        <v>2926</v>
      </c>
      <c r="AK114" t="s" s="0">
        <v>81</v>
      </c>
      <c r="AL114" t="s" s="0">
        <v>174</v>
      </c>
      <c r="AM114" t="s" s="0">
        <v>77</v>
      </c>
      <c r="AN114" t="s" s="0">
        <v>97</v>
      </c>
      <c r="AO114" t="s" s="0">
        <v>156</v>
      </c>
      <c r="AP114" t="s" s="0">
        <v>175</v>
      </c>
      <c r="AQ114" t="s" s="0">
        <v>2927</v>
      </c>
      <c r="AR114" t="s" s="0">
        <v>546</v>
      </c>
      <c r="AS114" t="s" s="0">
        <v>2928</v>
      </c>
      <c r="AT114" t="s" s="0">
        <v>2929</v>
      </c>
      <c r="AU114" t="s" s="0">
        <v>2930</v>
      </c>
      <c r="AV114" t="s" s="0">
        <v>81</v>
      </c>
      <c r="AW114" t="s" s="0">
        <v>2922</v>
      </c>
      <c r="AX114" t="s" s="0">
        <v>2931</v>
      </c>
      <c r="AY114" t="s" s="0">
        <v>1940</v>
      </c>
      <c r="AZ114" t="s" s="0">
        <v>103</v>
      </c>
      <c r="BA114" t="s" s="0">
        <v>2932</v>
      </c>
      <c r="BB114" t="s" s="0">
        <v>81</v>
      </c>
      <c r="BC114" t="s" s="0">
        <v>81</v>
      </c>
      <c r="BD114" t="s" s="0">
        <v>81</v>
      </c>
      <c r="BE114" t="s" s="0">
        <v>81</v>
      </c>
      <c r="BF114" t="s" s="0">
        <v>81</v>
      </c>
      <c r="BG114" t="s" s="0">
        <v>81</v>
      </c>
      <c r="BH114" t="s" s="0">
        <v>81</v>
      </c>
      <c r="BI114" t="s" s="0">
        <v>2933</v>
      </c>
      <c r="BJ114" t="s" s="0">
        <v>2934</v>
      </c>
      <c r="BK114" t="s" s="224">
        <f>HYPERLINK("http://dx.doi.org/10.1016/j.puhe.2025.106050","http://dx.doi.org/10.1016/j.puhe.2025.106050")</f>
        <v>2935</v>
      </c>
      <c r="BL114" t="s" s="0">
        <v>81</v>
      </c>
      <c r="BM114" t="s" s="0">
        <v>1029</v>
      </c>
      <c r="BN114" t="s" s="0">
        <v>381</v>
      </c>
      <c r="BO114" t="s" s="0">
        <v>850</v>
      </c>
      <c r="BP114" t="s" s="0">
        <v>850</v>
      </c>
      <c r="BQ114" t="s" s="0">
        <v>2936</v>
      </c>
      <c r="BR114" t="s" s="0">
        <v>2937</v>
      </c>
      <c r="BS114" t="s" s="0">
        <v>2938</v>
      </c>
      <c r="BT114" t="s" s="225">
        <f>HYPERLINK("https://www.webofscience.com/wos/woscc/full-record/WOS:001631680600002","View Record in Web of Science")</f>
        <v>114</v>
      </c>
      <c r="BU114" t="s" s="0">
        <v>81</v>
      </c>
      <c r="BV114" t="s" s="0">
        <v>81</v>
      </c>
      <c r="BW114" t="s" s="0">
        <v>81</v>
      </c>
      <c r="BX114" t="s" s="0">
        <v>116</v>
      </c>
    </row>
    <row r="115">
      <c r="A115" t="s" s="0">
        <v>77</v>
      </c>
      <c r="B115" t="s" s="0">
        <v>77</v>
      </c>
      <c r="C115" t="s" s="0">
        <v>97</v>
      </c>
      <c r="D115" t="s" s="0">
        <v>77</v>
      </c>
      <c r="E115" t="s" s="0">
        <v>2939</v>
      </c>
      <c r="F115" t="s" s="0">
        <v>2940</v>
      </c>
      <c r="G115" t="s" s="0">
        <v>2941</v>
      </c>
      <c r="H115" t="s" s="0">
        <v>81</v>
      </c>
      <c r="I115" t="s" s="0">
        <v>82</v>
      </c>
      <c r="J115" t="s" s="0">
        <v>2942</v>
      </c>
      <c r="K115" t="s" s="0">
        <v>2943</v>
      </c>
      <c r="L115" t="s" s="0">
        <v>2944</v>
      </c>
      <c r="M115" t="s" s="0">
        <v>2945</v>
      </c>
      <c r="N115" t="s" s="0">
        <v>2946</v>
      </c>
      <c r="O115" t="s" s="0">
        <v>2947</v>
      </c>
      <c r="P115" t="s" s="0">
        <v>2948</v>
      </c>
      <c r="Q115" t="s" s="0">
        <v>87</v>
      </c>
      <c r="R115" t="s" s="0">
        <v>81</v>
      </c>
      <c r="S115" t="s" s="0">
        <v>81</v>
      </c>
      <c r="T115" t="s" s="0">
        <v>81</v>
      </c>
      <c r="U115" t="s" s="0">
        <v>81</v>
      </c>
      <c r="V115" t="s" s="0">
        <v>2949</v>
      </c>
      <c r="W115" t="s" s="0">
        <v>2950</v>
      </c>
      <c r="X115" t="s" s="0">
        <v>81</v>
      </c>
      <c r="Y115" t="s" s="0">
        <v>81</v>
      </c>
      <c r="Z115" t="s" s="0">
        <v>90</v>
      </c>
      <c r="AA115" t="s" s="0">
        <v>91</v>
      </c>
      <c r="AB115" t="s" s="0">
        <v>81</v>
      </c>
      <c r="AC115" t="s" s="0">
        <v>81</v>
      </c>
      <c r="AD115" t="s" s="0">
        <v>81</v>
      </c>
      <c r="AE115" t="s" s="0">
        <v>81</v>
      </c>
      <c r="AF115" t="s" s="0">
        <v>81</v>
      </c>
      <c r="AG115" t="s" s="0">
        <v>2951</v>
      </c>
      <c r="AH115" t="s" s="0">
        <v>2952</v>
      </c>
      <c r="AI115" t="s" s="0">
        <v>2953</v>
      </c>
      <c r="AJ115" t="s" s="0">
        <v>2954</v>
      </c>
      <c r="AK115" t="s" s="0">
        <v>81</v>
      </c>
      <c r="AL115" t="s" s="0">
        <v>2955</v>
      </c>
      <c r="AM115" t="s" s="0">
        <v>196</v>
      </c>
      <c r="AN115" t="s" s="0">
        <v>196</v>
      </c>
      <c r="AO115" t="s" s="0">
        <v>97</v>
      </c>
      <c r="AP115" t="s" s="0">
        <v>97</v>
      </c>
      <c r="AQ115" t="s" s="0">
        <v>136</v>
      </c>
      <c r="AR115" t="s" s="0">
        <v>137</v>
      </c>
      <c r="AS115" t="s" s="0">
        <v>138</v>
      </c>
      <c r="AT115" t="s" s="0">
        <v>2956</v>
      </c>
      <c r="AU115" t="s" s="0">
        <v>2957</v>
      </c>
      <c r="AV115" t="s" s="0">
        <v>81</v>
      </c>
      <c r="AW115" t="s" s="0">
        <v>2958</v>
      </c>
      <c r="AX115" t="s" s="0">
        <v>2959</v>
      </c>
      <c r="AY115" t="s" s="0">
        <v>2108</v>
      </c>
      <c r="AZ115" t="s" s="0">
        <v>103</v>
      </c>
      <c r="BA115" t="s" s="0">
        <v>132</v>
      </c>
      <c r="BB115" t="s" s="0">
        <v>81</v>
      </c>
      <c r="BC115" t="s" s="0">
        <v>81</v>
      </c>
      <c r="BD115" t="s" s="0">
        <v>81</v>
      </c>
      <c r="BE115" t="s" s="0">
        <v>81</v>
      </c>
      <c r="BF115" t="s" s="0">
        <v>81</v>
      </c>
      <c r="BG115" t="s" s="0">
        <v>81</v>
      </c>
      <c r="BH115" t="s" s="0">
        <v>81</v>
      </c>
      <c r="BI115" t="s" s="0">
        <v>2960</v>
      </c>
      <c r="BJ115" t="s" s="0">
        <v>2961</v>
      </c>
      <c r="BK115" t="s" s="226">
        <f>HYPERLINK("http://dx.doi.org/10.1016/j.asoc.2025.114386","http://dx.doi.org/10.1016/j.asoc.2025.114386")</f>
        <v>2962</v>
      </c>
      <c r="BL115" t="s" s="0">
        <v>81</v>
      </c>
      <c r="BM115" t="s" s="0">
        <v>289</v>
      </c>
      <c r="BN115" t="s" s="0">
        <v>925</v>
      </c>
      <c r="BO115" t="s" s="0">
        <v>2009</v>
      </c>
      <c r="BP115" t="s" s="0">
        <v>152</v>
      </c>
      <c r="BQ115" t="s" s="0">
        <v>2963</v>
      </c>
      <c r="BR115" t="s" s="0">
        <v>81</v>
      </c>
      <c r="BS115" t="s" s="0">
        <v>2964</v>
      </c>
      <c r="BT115" t="s" s="227">
        <f>HYPERLINK("https://www.webofscience.com/wos/woscc/full-record/WOS:001639084200001","View Record in Web of Science")</f>
        <v>114</v>
      </c>
      <c r="BU115" t="s" s="0">
        <v>1055</v>
      </c>
      <c r="BV115" t="s" s="0">
        <v>81</v>
      </c>
      <c r="BW115" t="s" s="0">
        <v>81</v>
      </c>
      <c r="BX115" t="s" s="0">
        <v>116</v>
      </c>
    </row>
    <row r="116">
      <c r="A116" t="s" s="0">
        <v>77</v>
      </c>
      <c r="B116" t="s" s="0">
        <v>77</v>
      </c>
      <c r="C116" t="s" s="0">
        <v>97</v>
      </c>
      <c r="D116" t="s" s="0">
        <v>77</v>
      </c>
      <c r="E116" t="s" s="0">
        <v>2965</v>
      </c>
      <c r="F116" t="s" s="0">
        <v>2966</v>
      </c>
      <c r="G116" t="s" s="0">
        <v>2967</v>
      </c>
      <c r="H116" t="s" s="0">
        <v>81</v>
      </c>
      <c r="I116" t="s" s="0">
        <v>82</v>
      </c>
      <c r="J116" t="s" s="0">
        <v>1847</v>
      </c>
      <c r="K116" t="s" s="0">
        <v>1848</v>
      </c>
      <c r="L116" t="s" s="0">
        <v>1849</v>
      </c>
      <c r="M116" t="s" s="0">
        <v>1850</v>
      </c>
      <c r="N116" t="s" s="0">
        <v>1851</v>
      </c>
      <c r="O116" t="s" s="0">
        <v>2968</v>
      </c>
      <c r="P116" t="s" s="0">
        <v>2969</v>
      </c>
      <c r="Q116" t="s" s="0">
        <v>87</v>
      </c>
      <c r="R116" t="s" s="0">
        <v>81</v>
      </c>
      <c r="S116" t="s" s="0">
        <v>81</v>
      </c>
      <c r="T116" t="s" s="0">
        <v>81</v>
      </c>
      <c r="U116" t="s" s="0">
        <v>81</v>
      </c>
      <c r="V116" t="s" s="0">
        <v>2970</v>
      </c>
      <c r="W116" t="s" s="0">
        <v>2070</v>
      </c>
      <c r="X116" t="s" s="0">
        <v>81</v>
      </c>
      <c r="Y116" t="s" s="0">
        <v>81</v>
      </c>
      <c r="Z116" t="s" s="0">
        <v>90</v>
      </c>
      <c r="AA116" t="s" s="0">
        <v>91</v>
      </c>
      <c r="AB116" t="s" s="0">
        <v>81</v>
      </c>
      <c r="AC116" t="s" s="0">
        <v>81</v>
      </c>
      <c r="AD116" t="s" s="0">
        <v>81</v>
      </c>
      <c r="AE116" t="s" s="0">
        <v>81</v>
      </c>
      <c r="AF116" t="s" s="0">
        <v>81</v>
      </c>
      <c r="AG116" t="s" s="0">
        <v>2971</v>
      </c>
      <c r="AH116" t="s" s="0">
        <v>81</v>
      </c>
      <c r="AI116" t="s" s="0">
        <v>2972</v>
      </c>
      <c r="AJ116" t="s" s="0">
        <v>2973</v>
      </c>
      <c r="AK116" t="s" s="0">
        <v>81</v>
      </c>
      <c r="AL116" t="s" s="0">
        <v>150</v>
      </c>
      <c r="AM116" t="s" s="0">
        <v>133</v>
      </c>
      <c r="AN116" t="s" s="0">
        <v>234</v>
      </c>
      <c r="AO116" t="s" s="0">
        <v>77</v>
      </c>
      <c r="AP116" t="s" s="0">
        <v>175</v>
      </c>
      <c r="AQ116" t="s" s="0">
        <v>177</v>
      </c>
      <c r="AR116" t="s" s="0">
        <v>178</v>
      </c>
      <c r="AS116" t="s" s="0">
        <v>179</v>
      </c>
      <c r="AT116" t="s" s="0">
        <v>2073</v>
      </c>
      <c r="AU116" t="s" s="0">
        <v>2074</v>
      </c>
      <c r="AV116" t="s" s="0">
        <v>81</v>
      </c>
      <c r="AW116" t="s" s="0">
        <v>2075</v>
      </c>
      <c r="AX116" t="s" s="0">
        <v>2076</v>
      </c>
      <c r="AY116" t="s" s="0">
        <v>2108</v>
      </c>
      <c r="AZ116" t="s" s="0">
        <v>103</v>
      </c>
      <c r="BA116" t="s" s="0">
        <v>321</v>
      </c>
      <c r="BB116" t="s" s="0">
        <v>81</v>
      </c>
      <c r="BC116" t="s" s="0">
        <v>81</v>
      </c>
      <c r="BD116" t="s" s="0">
        <v>2974</v>
      </c>
      <c r="BE116" t="s" s="0">
        <v>81</v>
      </c>
      <c r="BF116" t="s" s="0">
        <v>81</v>
      </c>
      <c r="BG116" t="s" s="0">
        <v>81</v>
      </c>
      <c r="BH116" t="s" s="0">
        <v>81</v>
      </c>
      <c r="BI116" t="s" s="0">
        <v>2975</v>
      </c>
      <c r="BJ116" t="s" s="0">
        <v>2976</v>
      </c>
      <c r="BK116" t="s" s="228">
        <f>HYPERLINK("http://dx.doi.org/10.1016/j.bspc.2025.108361","http://dx.doi.org/10.1016/j.bspc.2025.108361")</f>
        <v>2977</v>
      </c>
      <c r="BL116" t="s" s="0">
        <v>81</v>
      </c>
      <c r="BM116" t="s" s="0">
        <v>1869</v>
      </c>
      <c r="BN116" t="s" s="0">
        <v>925</v>
      </c>
      <c r="BO116" t="s" s="0">
        <v>2082</v>
      </c>
      <c r="BP116" t="s" s="0">
        <v>1003</v>
      </c>
      <c r="BQ116" t="s" s="0">
        <v>2978</v>
      </c>
      <c r="BR116" t="s" s="0">
        <v>81</v>
      </c>
      <c r="BS116" t="s" s="0">
        <v>2979</v>
      </c>
      <c r="BT116" t="s" s="229">
        <f>HYPERLINK("https://www.webofscience.com/wos/woscc/full-record/WOS:001554241000001","View Record in Web of Science")</f>
        <v>114</v>
      </c>
      <c r="BU116" t="s" s="0">
        <v>81</v>
      </c>
      <c r="BV116" t="s" s="0">
        <v>81</v>
      </c>
      <c r="BW116" t="s" s="0">
        <v>81</v>
      </c>
      <c r="BX116" t="s" s="0">
        <v>116</v>
      </c>
    </row>
    <row r="117">
      <c r="A117" t="s" s="0">
        <v>77</v>
      </c>
      <c r="B117" t="s" s="0">
        <v>77</v>
      </c>
      <c r="C117" t="s" s="0">
        <v>77</v>
      </c>
      <c r="D117" t="s" s="0">
        <v>77</v>
      </c>
      <c r="E117" t="s" s="0">
        <v>2980</v>
      </c>
      <c r="F117" t="s" s="0">
        <v>2981</v>
      </c>
      <c r="G117" t="s" s="0">
        <v>2982</v>
      </c>
      <c r="H117" t="s" s="0">
        <v>81</v>
      </c>
      <c r="I117" t="s" s="0">
        <v>238</v>
      </c>
      <c r="J117" t="s" s="0">
        <v>2983</v>
      </c>
      <c r="K117" t="s" s="0">
        <v>2984</v>
      </c>
      <c r="L117" t="s" s="0">
        <v>81</v>
      </c>
      <c r="M117" t="s" s="0">
        <v>81</v>
      </c>
      <c r="N117" t="s" s="0">
        <v>81</v>
      </c>
      <c r="O117" t="s" s="0">
        <v>2985</v>
      </c>
      <c r="P117" t="s" s="0">
        <v>2986</v>
      </c>
      <c r="Q117" t="s" s="0">
        <v>87</v>
      </c>
      <c r="R117" t="s" s="0">
        <v>81</v>
      </c>
      <c r="S117" t="s" s="0">
        <v>81</v>
      </c>
      <c r="T117" t="s" s="0">
        <v>81</v>
      </c>
      <c r="U117" t="s" s="0">
        <v>81</v>
      </c>
      <c r="V117" t="s" s="0">
        <v>2987</v>
      </c>
      <c r="W117" t="s" s="0">
        <v>2988</v>
      </c>
      <c r="X117" t="s" s="0">
        <v>81</v>
      </c>
      <c r="Y117" t="s" s="0">
        <v>81</v>
      </c>
      <c r="Z117" t="s" s="0">
        <v>90</v>
      </c>
      <c r="AA117" t="s" s="0">
        <v>91</v>
      </c>
      <c r="AB117" t="s" s="0">
        <v>81</v>
      </c>
      <c r="AC117" t="s" s="0">
        <v>81</v>
      </c>
      <c r="AD117" t="s" s="0">
        <v>81</v>
      </c>
      <c r="AE117" t="s" s="0">
        <v>81</v>
      </c>
      <c r="AF117" t="s" s="0">
        <v>81</v>
      </c>
      <c r="AG117" t="s" s="0">
        <v>2989</v>
      </c>
      <c r="AH117" t="s" s="0">
        <v>81</v>
      </c>
      <c r="AI117" t="s" s="0">
        <v>2990</v>
      </c>
      <c r="AJ117" t="s" s="0">
        <v>2991</v>
      </c>
      <c r="AK117" t="s" s="0">
        <v>81</v>
      </c>
      <c r="AL117" t="s" s="0">
        <v>671</v>
      </c>
      <c r="AM117" t="s" s="0">
        <v>77</v>
      </c>
      <c r="AN117" t="s" s="0">
        <v>77</v>
      </c>
      <c r="AO117" t="s" s="0">
        <v>97</v>
      </c>
      <c r="AP117" t="s" s="0">
        <v>196</v>
      </c>
      <c r="AQ117" t="s" s="0">
        <v>136</v>
      </c>
      <c r="AR117" t="s" s="0">
        <v>137</v>
      </c>
      <c r="AS117" t="s" s="0">
        <v>138</v>
      </c>
      <c r="AT117" t="s" s="0">
        <v>81</v>
      </c>
      <c r="AU117" t="s" s="0">
        <v>2992</v>
      </c>
      <c r="AV117" t="s" s="0">
        <v>81</v>
      </c>
      <c r="AW117" t="s" s="0">
        <v>2988</v>
      </c>
      <c r="AX117" t="s" s="0">
        <v>2993</v>
      </c>
      <c r="AY117" t="s" s="0">
        <v>552</v>
      </c>
      <c r="AZ117" t="s" s="0">
        <v>290</v>
      </c>
      <c r="BA117" t="s" s="0">
        <v>104</v>
      </c>
      <c r="BB117" t="s" s="0">
        <v>81</v>
      </c>
      <c r="BC117" t="s" s="0">
        <v>81</v>
      </c>
      <c r="BD117" t="s" s="0">
        <v>81</v>
      </c>
      <c r="BE117" t="s" s="0">
        <v>81</v>
      </c>
      <c r="BF117" t="s" s="0">
        <v>81</v>
      </c>
      <c r="BG117" t="s" s="0">
        <v>81</v>
      </c>
      <c r="BH117" t="s" s="0">
        <v>81</v>
      </c>
      <c r="BI117" t="s" s="0">
        <v>2994</v>
      </c>
      <c r="BJ117" t="s" s="0">
        <v>2995</v>
      </c>
      <c r="BK117" t="s" s="230">
        <f>HYPERLINK("http://dx.doi.org/10.1016/j.mex.2025.103356","http://dx.doi.org/10.1016/j.mex.2025.103356")</f>
        <v>2996</v>
      </c>
      <c r="BL117" t="s" s="0">
        <v>81</v>
      </c>
      <c r="BM117" t="s" s="0">
        <v>615</v>
      </c>
      <c r="BN117" t="s" s="0">
        <v>291</v>
      </c>
      <c r="BO117" t="s" s="0">
        <v>926</v>
      </c>
      <c r="BP117" t="s" s="0">
        <v>927</v>
      </c>
      <c r="BQ117" t="s" s="0">
        <v>2997</v>
      </c>
      <c r="BR117" t="s" s="0">
        <v>2998</v>
      </c>
      <c r="BS117" t="s" s="0">
        <v>2999</v>
      </c>
      <c r="BT117" t="s" s="231">
        <f>HYPERLINK("https://www.webofscience.com/wos/woscc/full-record/WOS:001492018000001","View Record in Web of Science")</f>
        <v>114</v>
      </c>
      <c r="BU117" t="s" s="0">
        <v>301</v>
      </c>
      <c r="BV117" t="s" s="0">
        <v>81</v>
      </c>
      <c r="BW117" t="s" s="0">
        <v>81</v>
      </c>
      <c r="BX117" t="s" s="0">
        <v>116</v>
      </c>
    </row>
    <row r="118">
      <c r="A118" t="s" s="0">
        <v>77</v>
      </c>
      <c r="B118" t="s" s="0">
        <v>77</v>
      </c>
      <c r="C118" t="s" s="0">
        <v>156</v>
      </c>
      <c r="D118" t="s" s="0">
        <v>77</v>
      </c>
      <c r="E118" t="s" s="0">
        <v>3000</v>
      </c>
      <c r="F118" t="s" s="0">
        <v>3001</v>
      </c>
      <c r="G118" t="s" s="0">
        <v>3002</v>
      </c>
      <c r="H118" t="s" s="0">
        <v>81</v>
      </c>
      <c r="I118" t="s" s="0">
        <v>238</v>
      </c>
      <c r="J118" t="s" s="0">
        <v>3003</v>
      </c>
      <c r="K118" t="s" s="0">
        <v>3004</v>
      </c>
      <c r="L118" t="s" s="0">
        <v>3005</v>
      </c>
      <c r="M118" t="s" s="0">
        <v>3006</v>
      </c>
      <c r="N118" t="s" s="0">
        <v>3007</v>
      </c>
      <c r="O118" t="s" s="0">
        <v>3008</v>
      </c>
      <c r="P118" t="s" s="0">
        <v>3009</v>
      </c>
      <c r="Q118" t="s" s="0">
        <v>87</v>
      </c>
      <c r="R118" t="s" s="0">
        <v>81</v>
      </c>
      <c r="S118" t="s" s="0">
        <v>81</v>
      </c>
      <c r="T118" t="s" s="0">
        <v>81</v>
      </c>
      <c r="U118" t="s" s="0">
        <v>81</v>
      </c>
      <c r="V118" t="s" s="0">
        <v>3010</v>
      </c>
      <c r="W118" t="s" s="0">
        <v>3011</v>
      </c>
      <c r="X118" t="s" s="0">
        <v>81</v>
      </c>
      <c r="Y118" t="s" s="0">
        <v>81</v>
      </c>
      <c r="Z118" t="s" s="0">
        <v>90</v>
      </c>
      <c r="AA118" t="s" s="0">
        <v>1581</v>
      </c>
      <c r="AB118" t="s" s="0">
        <v>81</v>
      </c>
      <c r="AC118" t="s" s="0">
        <v>81</v>
      </c>
      <c r="AD118" t="s" s="0">
        <v>81</v>
      </c>
      <c r="AE118" t="s" s="0">
        <v>81</v>
      </c>
      <c r="AF118" t="s" s="0">
        <v>81</v>
      </c>
      <c r="AG118" t="s" s="0">
        <v>3012</v>
      </c>
      <c r="AH118" t="s" s="0">
        <v>3013</v>
      </c>
      <c r="AI118" t="s" s="0">
        <v>3014</v>
      </c>
      <c r="AJ118" t="s" s="0">
        <v>3015</v>
      </c>
      <c r="AK118" t="s" s="0">
        <v>81</v>
      </c>
      <c r="AL118" t="s" s="0">
        <v>398</v>
      </c>
      <c r="AM118" t="s" s="0">
        <v>261</v>
      </c>
      <c r="AN118" t="s" s="0">
        <v>261</v>
      </c>
      <c r="AO118" t="s" s="0">
        <v>156</v>
      </c>
      <c r="AP118" t="s" s="0">
        <v>134</v>
      </c>
      <c r="AQ118" t="s" s="0">
        <v>3016</v>
      </c>
      <c r="AR118" t="s" s="0">
        <v>546</v>
      </c>
      <c r="AS118" t="s" s="0">
        <v>3017</v>
      </c>
      <c r="AT118" t="s" s="0">
        <v>3018</v>
      </c>
      <c r="AU118" t="s" s="0">
        <v>3019</v>
      </c>
      <c r="AV118" t="s" s="0">
        <v>81</v>
      </c>
      <c r="AW118" t="s" s="0">
        <v>3020</v>
      </c>
      <c r="AX118" t="s" s="0">
        <v>3021</v>
      </c>
      <c r="AY118" t="s" s="0">
        <v>81</v>
      </c>
      <c r="AZ118" t="s" s="0">
        <v>290</v>
      </c>
      <c r="BA118" t="s" s="0">
        <v>81</v>
      </c>
      <c r="BB118" t="s" s="0">
        <v>81</v>
      </c>
      <c r="BC118" t="s" s="0">
        <v>81</v>
      </c>
      <c r="BD118" t="s" s="0">
        <v>81</v>
      </c>
      <c r="BE118" t="s" s="0">
        <v>81</v>
      </c>
      <c r="BF118" t="s" s="0">
        <v>81</v>
      </c>
      <c r="BG118" t="s" s="0">
        <v>81</v>
      </c>
      <c r="BH118" t="s" s="0">
        <v>81</v>
      </c>
      <c r="BI118" t="s" s="0">
        <v>81</v>
      </c>
      <c r="BJ118" t="s" s="0">
        <v>3022</v>
      </c>
      <c r="BK118" t="s" s="232">
        <f>HYPERLINK("http://dx.doi.org/10.1007/s13748-024-00357-6","http://dx.doi.org/10.1007/s13748-024-00357-6")</f>
        <v>3023</v>
      </c>
      <c r="BL118" t="s" s="0">
        <v>81</v>
      </c>
      <c r="BM118" t="s" s="0">
        <v>1029</v>
      </c>
      <c r="BN118" t="s" s="0">
        <v>135</v>
      </c>
      <c r="BO118" t="s" s="0">
        <v>409</v>
      </c>
      <c r="BP118" t="s" s="0">
        <v>152</v>
      </c>
      <c r="BQ118" t="s" s="0">
        <v>3024</v>
      </c>
      <c r="BR118" t="s" s="0">
        <v>81</v>
      </c>
      <c r="BS118" t="s" s="0">
        <v>3025</v>
      </c>
      <c r="BT118" t="s" s="233">
        <f>HYPERLINK("https://www.webofscience.com/wos/woscc/full-record/WOS:001388221000001","View Record in Web of Science")</f>
        <v>114</v>
      </c>
      <c r="BU118" t="s" s="0">
        <v>81</v>
      </c>
      <c r="BV118" t="s" s="0">
        <v>81</v>
      </c>
      <c r="BW118" t="s" s="0">
        <v>81</v>
      </c>
      <c r="BX118" t="s" s="0">
        <v>116</v>
      </c>
    </row>
    <row r="119">
      <c r="A119" t="s" s="0">
        <v>77</v>
      </c>
      <c r="B119" t="s" s="0">
        <v>77</v>
      </c>
      <c r="C119" t="s" s="0">
        <v>77</v>
      </c>
      <c r="D119" t="s" s="0">
        <v>77</v>
      </c>
      <c r="E119" t="s" s="0">
        <v>3026</v>
      </c>
      <c r="F119" t="s" s="0">
        <v>3027</v>
      </c>
      <c r="G119" t="s" s="0">
        <v>3028</v>
      </c>
      <c r="H119" t="s" s="0">
        <v>81</v>
      </c>
      <c r="I119" t="s" s="0">
        <v>238</v>
      </c>
      <c r="J119" t="s" s="0">
        <v>3029</v>
      </c>
      <c r="K119" t="s" s="0">
        <v>3030</v>
      </c>
      <c r="L119" t="s" s="0">
        <v>81</v>
      </c>
      <c r="M119" t="s" s="0">
        <v>81</v>
      </c>
      <c r="N119" t="s" s="0">
        <v>81</v>
      </c>
      <c r="O119" t="s" s="0">
        <v>3031</v>
      </c>
      <c r="P119" t="s" s="0">
        <v>3032</v>
      </c>
      <c r="Q119" t="s" s="0">
        <v>87</v>
      </c>
      <c r="R119" t="s" s="0">
        <v>81</v>
      </c>
      <c r="S119" t="s" s="0">
        <v>81</v>
      </c>
      <c r="T119" t="s" s="0">
        <v>81</v>
      </c>
      <c r="U119" t="s" s="0">
        <v>81</v>
      </c>
      <c r="V119" t="s" s="0">
        <v>3033</v>
      </c>
      <c r="W119" t="s" s="0">
        <v>3034</v>
      </c>
      <c r="X119" t="s" s="0">
        <v>81</v>
      </c>
      <c r="Y119" t="s" s="0">
        <v>81</v>
      </c>
      <c r="Z119" t="s" s="0">
        <v>90</v>
      </c>
      <c r="AA119" t="s" s="0">
        <v>91</v>
      </c>
      <c r="AB119" t="s" s="0">
        <v>81</v>
      </c>
      <c r="AC119" t="s" s="0">
        <v>81</v>
      </c>
      <c r="AD119" t="s" s="0">
        <v>81</v>
      </c>
      <c r="AE119" t="s" s="0">
        <v>81</v>
      </c>
      <c r="AF119" t="s" s="0">
        <v>81</v>
      </c>
      <c r="AG119" t="s" s="0">
        <v>3035</v>
      </c>
      <c r="AH119" t="s" s="0">
        <v>3036</v>
      </c>
      <c r="AI119" t="s" s="0">
        <v>3037</v>
      </c>
      <c r="AJ119" t="s" s="0">
        <v>81</v>
      </c>
      <c r="AK119" t="s" s="0">
        <v>81</v>
      </c>
      <c r="AL119" t="s" s="0">
        <v>405</v>
      </c>
      <c r="AM119" t="s" s="0">
        <v>97</v>
      </c>
      <c r="AN119" t="s" s="0">
        <v>156</v>
      </c>
      <c r="AO119" t="s" s="0">
        <v>97</v>
      </c>
      <c r="AP119" t="s" s="0">
        <v>97</v>
      </c>
      <c r="AQ119" t="s" s="0">
        <v>726</v>
      </c>
      <c r="AR119" t="s" s="0">
        <v>727</v>
      </c>
      <c r="AS119" t="s" s="0">
        <v>728</v>
      </c>
      <c r="AT119" t="s" s="0">
        <v>81</v>
      </c>
      <c r="AU119" t="s" s="0">
        <v>3038</v>
      </c>
      <c r="AV119" t="s" s="0">
        <v>81</v>
      </c>
      <c r="AW119" t="s" s="0">
        <v>3039</v>
      </c>
      <c r="AX119" t="s" s="0">
        <v>3040</v>
      </c>
      <c r="AY119" t="s" s="0">
        <v>1029</v>
      </c>
      <c r="AZ119" t="s" s="0">
        <v>290</v>
      </c>
      <c r="BA119" t="s" s="0">
        <v>134</v>
      </c>
      <c r="BB119" t="s" s="0">
        <v>97</v>
      </c>
      <c r="BC119" t="s" s="0">
        <v>81</v>
      </c>
      <c r="BD119" t="s" s="0">
        <v>81</v>
      </c>
      <c r="BE119" t="s" s="0">
        <v>81</v>
      </c>
      <c r="BF119" t="s" s="0">
        <v>81</v>
      </c>
      <c r="BG119" t="s" s="0">
        <v>81</v>
      </c>
      <c r="BH119" t="s" s="0">
        <v>81</v>
      </c>
      <c r="BI119" t="s" s="0">
        <v>3041</v>
      </c>
      <c r="BJ119" t="s" s="0">
        <v>3042</v>
      </c>
      <c r="BK119" t="s" s="234">
        <f>HYPERLINK("http://dx.doi.org/10.1049/htl2.70014","http://dx.doi.org/10.1049/htl2.70014")</f>
        <v>3043</v>
      </c>
      <c r="BL119" t="s" s="0">
        <v>81</v>
      </c>
      <c r="BM119" t="s" s="0">
        <v>81</v>
      </c>
      <c r="BN119" t="s" s="0">
        <v>485</v>
      </c>
      <c r="BO119" t="s" s="0">
        <v>2082</v>
      </c>
      <c r="BP119" t="s" s="0">
        <v>1003</v>
      </c>
      <c r="BQ119" t="s" s="0">
        <v>3044</v>
      </c>
      <c r="BR119" t="s" s="0">
        <v>3045</v>
      </c>
      <c r="BS119" t="s" s="0">
        <v>3046</v>
      </c>
      <c r="BT119" t="s" s="235">
        <f>HYPERLINK("https://www.webofscience.com/wos/woscc/full-record/WOS:001644586700022","View Record in Web of Science")</f>
        <v>114</v>
      </c>
      <c r="BU119" t="s" s="0">
        <v>301</v>
      </c>
      <c r="BV119" t="s" s="0">
        <v>81</v>
      </c>
      <c r="BW119" t="s" s="0">
        <v>81</v>
      </c>
      <c r="BX119" t="s" s="0">
        <v>116</v>
      </c>
    </row>
    <row r="120">
      <c r="A120" t="s" s="0">
        <v>77</v>
      </c>
      <c r="B120" t="s" s="0">
        <v>77</v>
      </c>
      <c r="C120" t="s" s="0">
        <v>77</v>
      </c>
      <c r="D120" t="s" s="0">
        <v>77</v>
      </c>
      <c r="E120" t="s" s="0">
        <v>3047</v>
      </c>
      <c r="F120" t="s" s="0">
        <v>3048</v>
      </c>
      <c r="G120" t="s" s="0">
        <v>3049</v>
      </c>
      <c r="H120" t="s" s="0">
        <v>81</v>
      </c>
      <c r="I120" t="s" s="0">
        <v>82</v>
      </c>
      <c r="J120" t="s" s="0">
        <v>3050</v>
      </c>
      <c r="K120" t="s" s="0">
        <v>3051</v>
      </c>
      <c r="L120" t="s" s="0">
        <v>3052</v>
      </c>
      <c r="M120" t="s" s="0">
        <v>3053</v>
      </c>
      <c r="N120" t="s" s="0">
        <v>3054</v>
      </c>
      <c r="O120" t="s" s="0">
        <v>3055</v>
      </c>
      <c r="P120" t="s" s="0">
        <v>3056</v>
      </c>
      <c r="Q120" t="s" s="0">
        <v>87</v>
      </c>
      <c r="R120" t="s" s="0">
        <v>81</v>
      </c>
      <c r="S120" t="s" s="0">
        <v>81</v>
      </c>
      <c r="T120" t="s" s="0">
        <v>81</v>
      </c>
      <c r="U120" t="s" s="0">
        <v>81</v>
      </c>
      <c r="V120" t="s" s="0">
        <v>3057</v>
      </c>
      <c r="W120" t="s" s="0">
        <v>3058</v>
      </c>
      <c r="X120" t="s" s="0">
        <v>81</v>
      </c>
      <c r="Y120" t="s" s="0">
        <v>81</v>
      </c>
      <c r="Z120" t="s" s="0">
        <v>90</v>
      </c>
      <c r="AA120" t="s" s="0">
        <v>91</v>
      </c>
      <c r="AB120" t="s" s="0">
        <v>81</v>
      </c>
      <c r="AC120" t="s" s="0">
        <v>81</v>
      </c>
      <c r="AD120" t="s" s="0">
        <v>81</v>
      </c>
      <c r="AE120" t="s" s="0">
        <v>81</v>
      </c>
      <c r="AF120" t="s" s="0">
        <v>81</v>
      </c>
      <c r="AG120" t="s" s="0">
        <v>3059</v>
      </c>
      <c r="AH120" t="s" s="0">
        <v>81</v>
      </c>
      <c r="AI120" t="s" s="0">
        <v>81</v>
      </c>
      <c r="AJ120" t="s" s="0">
        <v>3060</v>
      </c>
      <c r="AK120" t="s" s="0">
        <v>81</v>
      </c>
      <c r="AL120" t="s" s="0">
        <v>508</v>
      </c>
      <c r="AM120" t="s" s="0">
        <v>156</v>
      </c>
      <c r="AN120" t="s" s="0">
        <v>156</v>
      </c>
      <c r="AO120" t="s" s="0">
        <v>316</v>
      </c>
      <c r="AP120" t="s" s="0">
        <v>316</v>
      </c>
      <c r="AQ120" t="s" s="0">
        <v>3061</v>
      </c>
      <c r="AR120" t="s" s="0">
        <v>3062</v>
      </c>
      <c r="AS120" t="s" s="0">
        <v>3063</v>
      </c>
      <c r="AT120" t="s" s="0">
        <v>3064</v>
      </c>
      <c r="AU120" t="s" s="0">
        <v>3065</v>
      </c>
      <c r="AV120" t="s" s="0">
        <v>81</v>
      </c>
      <c r="AW120" t="s" s="0">
        <v>3066</v>
      </c>
      <c r="AX120" t="s" s="0">
        <v>3067</v>
      </c>
      <c r="AY120" t="s" s="0">
        <v>3068</v>
      </c>
      <c r="AZ120" t="s" s="0">
        <v>103</v>
      </c>
      <c r="BA120" t="s" s="0">
        <v>176</v>
      </c>
      <c r="BB120" t="s" s="0">
        <v>81</v>
      </c>
      <c r="BC120" t="s" s="0">
        <v>81</v>
      </c>
      <c r="BD120" t="s" s="0">
        <v>81</v>
      </c>
      <c r="BE120" t="s" s="0">
        <v>81</v>
      </c>
      <c r="BF120" t="s" s="0">
        <v>81</v>
      </c>
      <c r="BG120" t="s" s="0">
        <v>81</v>
      </c>
      <c r="BH120" t="s" s="0">
        <v>81</v>
      </c>
      <c r="BI120" t="s" s="0">
        <v>3069</v>
      </c>
      <c r="BJ120" t="s" s="0">
        <v>3070</v>
      </c>
      <c r="BK120" t="s" s="236">
        <f>HYPERLINK("http://dx.doi.org/10.2196/80028","http://dx.doi.org/10.2196/80028")</f>
        <v>3071</v>
      </c>
      <c r="BL120" t="s" s="0">
        <v>81</v>
      </c>
      <c r="BM120" t="s" s="0">
        <v>81</v>
      </c>
      <c r="BN120" t="s" s="0">
        <v>135</v>
      </c>
      <c r="BO120" t="s" s="0">
        <v>792</v>
      </c>
      <c r="BP120" t="s" s="0">
        <v>792</v>
      </c>
      <c r="BQ120" t="s" s="0">
        <v>3072</v>
      </c>
      <c r="BR120" t="s" s="0">
        <v>3073</v>
      </c>
      <c r="BS120" t="s" s="0">
        <v>3074</v>
      </c>
      <c r="BT120" t="s" s="237">
        <f>HYPERLINK("https://www.webofscience.com/wos/woscc/full-record/WOS:001712476200008","View Record in Web of Science")</f>
        <v>114</v>
      </c>
      <c r="BU120" t="s" s="0">
        <v>301</v>
      </c>
      <c r="BV120" t="s" s="0">
        <v>81</v>
      </c>
      <c r="BW120" t="s" s="0">
        <v>81</v>
      </c>
      <c r="BX120" t="s" s="0">
        <v>116</v>
      </c>
    </row>
    <row r="121">
      <c r="A121" t="s" s="0">
        <v>77</v>
      </c>
      <c r="B121" t="s" s="0">
        <v>77</v>
      </c>
      <c r="C121" t="s" s="0">
        <v>77</v>
      </c>
      <c r="D121" t="s" s="0">
        <v>77</v>
      </c>
      <c r="E121" t="s" s="0">
        <v>3075</v>
      </c>
      <c r="F121" t="s" s="0">
        <v>3076</v>
      </c>
      <c r="G121" t="s" s="0">
        <v>3077</v>
      </c>
      <c r="H121" t="s" s="0">
        <v>81</v>
      </c>
      <c r="I121" t="s" s="0">
        <v>82</v>
      </c>
      <c r="J121" t="s" s="0">
        <v>3078</v>
      </c>
      <c r="K121" t="s" s="0">
        <v>3079</v>
      </c>
      <c r="L121" t="s" s="0">
        <v>3080</v>
      </c>
      <c r="M121" t="s" s="0">
        <v>833</v>
      </c>
      <c r="N121" t="s" s="0">
        <v>3081</v>
      </c>
      <c r="O121" t="s" s="0">
        <v>3082</v>
      </c>
      <c r="P121" t="s" s="0">
        <v>3083</v>
      </c>
      <c r="Q121" t="s" s="0">
        <v>87</v>
      </c>
      <c r="R121" t="s" s="0">
        <v>81</v>
      </c>
      <c r="S121" t="s" s="0">
        <v>81</v>
      </c>
      <c r="T121" t="s" s="0">
        <v>81</v>
      </c>
      <c r="U121" t="s" s="0">
        <v>81</v>
      </c>
      <c r="V121" t="s" s="0">
        <v>3084</v>
      </c>
      <c r="W121" t="s" s="0">
        <v>910</v>
      </c>
      <c r="X121" t="s" s="0">
        <v>81</v>
      </c>
      <c r="Y121" t="s" s="0">
        <v>81</v>
      </c>
      <c r="Z121" t="s" s="0">
        <v>90</v>
      </c>
      <c r="AA121" t="s" s="0">
        <v>91</v>
      </c>
      <c r="AB121" t="s" s="0">
        <v>81</v>
      </c>
      <c r="AC121" t="s" s="0">
        <v>81</v>
      </c>
      <c r="AD121" t="s" s="0">
        <v>81</v>
      </c>
      <c r="AE121" t="s" s="0">
        <v>81</v>
      </c>
      <c r="AF121" t="s" s="0">
        <v>81</v>
      </c>
      <c r="AG121" t="s" s="0">
        <v>3085</v>
      </c>
      <c r="AH121" t="s" s="0">
        <v>81</v>
      </c>
      <c r="AI121" t="s" s="0">
        <v>3086</v>
      </c>
      <c r="AJ121" t="s" s="0">
        <v>3087</v>
      </c>
      <c r="AK121" t="s" s="0">
        <v>81</v>
      </c>
      <c r="AL121" t="s" s="0">
        <v>1184</v>
      </c>
      <c r="AM121" t="s" s="0">
        <v>156</v>
      </c>
      <c r="AN121" t="s" s="0">
        <v>156</v>
      </c>
      <c r="AO121" t="s" s="0">
        <v>175</v>
      </c>
      <c r="AP121" t="s" s="0">
        <v>175</v>
      </c>
      <c r="AQ121" t="s" s="0">
        <v>915</v>
      </c>
      <c r="AR121" t="s" s="0">
        <v>916</v>
      </c>
      <c r="AS121" t="s" s="0">
        <v>917</v>
      </c>
      <c r="AT121" t="s" s="0">
        <v>918</v>
      </c>
      <c r="AU121" t="s" s="0">
        <v>81</v>
      </c>
      <c r="AV121" t="s" s="0">
        <v>81</v>
      </c>
      <c r="AW121" t="s" s="0">
        <v>919</v>
      </c>
      <c r="AX121" t="s" s="0">
        <v>920</v>
      </c>
      <c r="AY121" t="s" s="0">
        <v>3088</v>
      </c>
      <c r="AZ121" t="s" s="0">
        <v>103</v>
      </c>
      <c r="BA121" t="s" s="0">
        <v>925</v>
      </c>
      <c r="BB121" t="s" s="0">
        <v>97</v>
      </c>
      <c r="BC121" t="s" s="0">
        <v>81</v>
      </c>
      <c r="BD121" t="s" s="0">
        <v>81</v>
      </c>
      <c r="BE121" t="s" s="0">
        <v>81</v>
      </c>
      <c r="BF121" t="s" s="0">
        <v>81</v>
      </c>
      <c r="BG121" t="s" s="0">
        <v>81</v>
      </c>
      <c r="BH121" t="s" s="0">
        <v>81</v>
      </c>
      <c r="BI121" t="s" s="0">
        <v>3089</v>
      </c>
      <c r="BJ121" t="s" s="0">
        <v>3090</v>
      </c>
      <c r="BK121" t="s" s="238">
        <f>HYPERLINK("http://dx.doi.org/10.1038/s41598-025-33178-1","http://dx.doi.org/10.1038/s41598-025-33178-1")</f>
        <v>3091</v>
      </c>
      <c r="BL121" t="s" s="0">
        <v>81</v>
      </c>
      <c r="BM121" t="s" s="0">
        <v>81</v>
      </c>
      <c r="BN121" t="s" s="0">
        <v>210</v>
      </c>
      <c r="BO121" t="s" s="0">
        <v>926</v>
      </c>
      <c r="BP121" t="s" s="0">
        <v>927</v>
      </c>
      <c r="BQ121" t="s" s="0">
        <v>3092</v>
      </c>
      <c r="BR121" t="s" s="0">
        <v>3093</v>
      </c>
      <c r="BS121" t="s" s="0">
        <v>3094</v>
      </c>
      <c r="BT121" t="s" s="239">
        <f>HYPERLINK("https://www.webofscience.com/wos/woscc/full-record/WOS:001674052400002","View Record in Web of Science")</f>
        <v>114</v>
      </c>
      <c r="BU121" t="s" s="0">
        <v>301</v>
      </c>
      <c r="BV121" t="s" s="0">
        <v>81</v>
      </c>
      <c r="BW121" t="s" s="0">
        <v>81</v>
      </c>
      <c r="BX121" t="s" s="0">
        <v>116</v>
      </c>
    </row>
    <row r="122">
      <c r="A122" t="s" s="0">
        <v>77</v>
      </c>
      <c r="B122" t="s" s="0">
        <v>77</v>
      </c>
      <c r="C122" t="s" s="0">
        <v>77</v>
      </c>
      <c r="D122" t="s" s="0">
        <v>77</v>
      </c>
      <c r="E122" t="s" s="0">
        <v>3095</v>
      </c>
      <c r="F122" t="s" s="0">
        <v>3096</v>
      </c>
      <c r="G122" t="s" s="0">
        <v>3097</v>
      </c>
      <c r="H122" t="s" s="0">
        <v>81</v>
      </c>
      <c r="I122" t="s" s="0">
        <v>82</v>
      </c>
      <c r="J122" t="s" s="0">
        <v>3098</v>
      </c>
      <c r="K122" t="s" s="0">
        <v>3099</v>
      </c>
      <c r="L122" t="s" s="0">
        <v>3100</v>
      </c>
      <c r="M122" t="s" s="0">
        <v>3101</v>
      </c>
      <c r="N122" t="s" s="0">
        <v>3102</v>
      </c>
      <c r="O122" t="s" s="0">
        <v>3103</v>
      </c>
      <c r="P122" t="s" s="0">
        <v>3104</v>
      </c>
      <c r="Q122" t="s" s="0">
        <v>87</v>
      </c>
      <c r="R122" t="s" s="0">
        <v>81</v>
      </c>
      <c r="S122" t="s" s="0">
        <v>81</v>
      </c>
      <c r="T122" t="s" s="0">
        <v>81</v>
      </c>
      <c r="U122" t="s" s="0">
        <v>81</v>
      </c>
      <c r="V122" t="s" s="0">
        <v>3105</v>
      </c>
      <c r="W122" t="s" s="0">
        <v>3106</v>
      </c>
      <c r="X122" t="s" s="0">
        <v>81</v>
      </c>
      <c r="Y122" t="s" s="0">
        <v>81</v>
      </c>
      <c r="Z122" t="s" s="0">
        <v>90</v>
      </c>
      <c r="AA122" t="s" s="0">
        <v>91</v>
      </c>
      <c r="AB122" t="s" s="0">
        <v>81</v>
      </c>
      <c r="AC122" t="s" s="0">
        <v>81</v>
      </c>
      <c r="AD122" t="s" s="0">
        <v>81</v>
      </c>
      <c r="AE122" t="s" s="0">
        <v>81</v>
      </c>
      <c r="AF122" t="s" s="0">
        <v>81</v>
      </c>
      <c r="AG122" t="s" s="0">
        <v>3107</v>
      </c>
      <c r="AH122" t="s" s="0">
        <v>3108</v>
      </c>
      <c r="AI122" t="s" s="0">
        <v>3109</v>
      </c>
      <c r="AJ122" t="s" s="0">
        <v>3110</v>
      </c>
      <c r="AK122" t="s" s="0">
        <v>81</v>
      </c>
      <c r="AL122" t="s" s="0">
        <v>543</v>
      </c>
      <c r="AM122" t="s" s="0">
        <v>381</v>
      </c>
      <c r="AN122" t="s" s="0">
        <v>381</v>
      </c>
      <c r="AO122" t="s" s="0">
        <v>196</v>
      </c>
      <c r="AP122" t="s" s="0">
        <v>210</v>
      </c>
      <c r="AQ122" t="s" s="0">
        <v>136</v>
      </c>
      <c r="AR122" t="s" s="0">
        <v>137</v>
      </c>
      <c r="AS122" t="s" s="0">
        <v>138</v>
      </c>
      <c r="AT122" t="s" s="0">
        <v>3111</v>
      </c>
      <c r="AU122" t="s" s="0">
        <v>3112</v>
      </c>
      <c r="AV122" t="s" s="0">
        <v>81</v>
      </c>
      <c r="AW122" t="s" s="0">
        <v>3106</v>
      </c>
      <c r="AX122" t="s" s="0">
        <v>3113</v>
      </c>
      <c r="AY122" t="s" s="0">
        <v>3114</v>
      </c>
      <c r="AZ122" t="s" s="0">
        <v>185</v>
      </c>
      <c r="BA122" t="s" s="0">
        <v>3115</v>
      </c>
      <c r="BB122" t="s" s="0">
        <v>81</v>
      </c>
      <c r="BC122" t="s" s="0">
        <v>81</v>
      </c>
      <c r="BD122" t="s" s="0">
        <v>81</v>
      </c>
      <c r="BE122" t="s" s="0">
        <v>81</v>
      </c>
      <c r="BF122" t="s" s="0">
        <v>81</v>
      </c>
      <c r="BG122" t="s" s="0">
        <v>81</v>
      </c>
      <c r="BH122" t="s" s="0">
        <v>81</v>
      </c>
      <c r="BI122" t="s" s="0">
        <v>3116</v>
      </c>
      <c r="BJ122" t="s" s="0">
        <v>3117</v>
      </c>
      <c r="BK122" t="s" s="240">
        <f>HYPERLINK("http://dx.doi.org/10.1016/j.neucom.2024.128048","http://dx.doi.org/10.1016/j.neucom.2024.128048")</f>
        <v>3118</v>
      </c>
      <c r="BL122" t="s" s="0">
        <v>81</v>
      </c>
      <c r="BM122" t="s" s="0">
        <v>184</v>
      </c>
      <c r="BN122" t="s" s="0">
        <v>234</v>
      </c>
      <c r="BO122" t="s" s="0">
        <v>409</v>
      </c>
      <c r="BP122" t="s" s="0">
        <v>152</v>
      </c>
      <c r="BQ122" t="s" s="0">
        <v>3119</v>
      </c>
      <c r="BR122" t="s" s="0">
        <v>81</v>
      </c>
      <c r="BS122" t="s" s="0">
        <v>3120</v>
      </c>
      <c r="BT122" t="s" s="241">
        <f>HYPERLINK("https://www.webofscience.com/wos/woscc/full-record/WOS:001262084200001","View Record in Web of Science")</f>
        <v>114</v>
      </c>
      <c r="BU122" t="s" s="0">
        <v>81</v>
      </c>
      <c r="BV122" t="s" s="0">
        <v>81</v>
      </c>
      <c r="BW122" t="s" s="0">
        <v>81</v>
      </c>
      <c r="BX122" t="s" s="0">
        <v>116</v>
      </c>
    </row>
    <row r="123">
      <c r="A123" t="s" s="0">
        <v>77</v>
      </c>
      <c r="B123" t="s" s="0">
        <v>77</v>
      </c>
      <c r="C123" t="s" s="0">
        <v>77</v>
      </c>
      <c r="D123" t="s" s="0">
        <v>77</v>
      </c>
      <c r="E123" t="s" s="0">
        <v>3121</v>
      </c>
      <c r="F123" t="s" s="0">
        <v>3122</v>
      </c>
      <c r="G123" t="s" s="0">
        <v>3123</v>
      </c>
      <c r="H123" t="s" s="0">
        <v>81</v>
      </c>
      <c r="I123" t="s" s="0">
        <v>82</v>
      </c>
      <c r="J123" t="s" s="0">
        <v>3124</v>
      </c>
      <c r="K123" t="s" s="0">
        <v>3125</v>
      </c>
      <c r="L123" t="s" s="0">
        <v>81</v>
      </c>
      <c r="M123" t="s" s="0">
        <v>81</v>
      </c>
      <c r="N123" t="s" s="0">
        <v>81</v>
      </c>
      <c r="O123" t="s" s="0">
        <v>3126</v>
      </c>
      <c r="P123" t="s" s="0">
        <v>3127</v>
      </c>
      <c r="Q123" t="s" s="0">
        <v>87</v>
      </c>
      <c r="R123" t="s" s="0">
        <v>81</v>
      </c>
      <c r="S123" t="s" s="0">
        <v>81</v>
      </c>
      <c r="T123" t="s" s="0">
        <v>81</v>
      </c>
      <c r="U123" t="s" s="0">
        <v>81</v>
      </c>
      <c r="V123" t="s" s="0">
        <v>3128</v>
      </c>
      <c r="W123" t="s" s="0">
        <v>3129</v>
      </c>
      <c r="X123" t="s" s="0">
        <v>81</v>
      </c>
      <c r="Y123" t="s" s="0">
        <v>81</v>
      </c>
      <c r="Z123" t="s" s="0">
        <v>90</v>
      </c>
      <c r="AA123" t="s" s="0">
        <v>91</v>
      </c>
      <c r="AB123" t="s" s="0">
        <v>81</v>
      </c>
      <c r="AC123" t="s" s="0">
        <v>81</v>
      </c>
      <c r="AD123" t="s" s="0">
        <v>81</v>
      </c>
      <c r="AE123" t="s" s="0">
        <v>81</v>
      </c>
      <c r="AF123" t="s" s="0">
        <v>81</v>
      </c>
      <c r="AG123" t="s" s="0">
        <v>3130</v>
      </c>
      <c r="AH123" t="s" s="0">
        <v>81</v>
      </c>
      <c r="AI123" t="s" s="0">
        <v>3131</v>
      </c>
      <c r="AJ123" t="s" s="0">
        <v>81</v>
      </c>
      <c r="AK123" t="s" s="0">
        <v>81</v>
      </c>
      <c r="AL123" t="s" s="0">
        <v>664</v>
      </c>
      <c r="AM123" t="s" s="0">
        <v>97</v>
      </c>
      <c r="AN123" t="s" s="0">
        <v>97</v>
      </c>
      <c r="AO123" t="s" s="0">
        <v>133</v>
      </c>
      <c r="AP123" t="s" s="0">
        <v>133</v>
      </c>
      <c r="AQ123" t="s" s="0">
        <v>212</v>
      </c>
      <c r="AR123" t="s" s="0">
        <v>429</v>
      </c>
      <c r="AS123" t="s" s="0">
        <v>784</v>
      </c>
      <c r="AT123" t="s" s="0">
        <v>3132</v>
      </c>
      <c r="AU123" t="s" s="0">
        <v>81</v>
      </c>
      <c r="AV123" t="s" s="0">
        <v>81</v>
      </c>
      <c r="AW123" t="s" s="0">
        <v>3133</v>
      </c>
      <c r="AX123" t="s" s="0">
        <v>3134</v>
      </c>
      <c r="AY123" t="s" s="0">
        <v>1070</v>
      </c>
      <c r="AZ123" t="s" s="0">
        <v>103</v>
      </c>
      <c r="BA123" t="s" s="0">
        <v>104</v>
      </c>
      <c r="BB123" t="s" s="0">
        <v>97</v>
      </c>
      <c r="BC123" t="s" s="0">
        <v>81</v>
      </c>
      <c r="BD123" t="s" s="0">
        <v>81</v>
      </c>
      <c r="BE123" t="s" s="0">
        <v>81</v>
      </c>
      <c r="BF123" t="s" s="0">
        <v>81</v>
      </c>
      <c r="BG123" t="s" s="0">
        <v>81</v>
      </c>
      <c r="BH123" t="s" s="0">
        <v>81</v>
      </c>
      <c r="BI123" t="s" s="0">
        <v>508</v>
      </c>
      <c r="BJ123" t="s" s="0">
        <v>3135</v>
      </c>
      <c r="BK123" t="s" s="242">
        <f>HYPERLINK("http://dx.doi.org/10.1007/s13755-026-00449-8","http://dx.doi.org/10.1007/s13755-026-00449-8")</f>
        <v>3136</v>
      </c>
      <c r="BL123" t="s" s="0">
        <v>81</v>
      </c>
      <c r="BM123" t="s" s="0">
        <v>81</v>
      </c>
      <c r="BN123" t="s" s="0">
        <v>104</v>
      </c>
      <c r="BO123" t="s" s="0">
        <v>1963</v>
      </c>
      <c r="BP123" t="s" s="0">
        <v>1963</v>
      </c>
      <c r="BQ123" t="s" s="0">
        <v>3137</v>
      </c>
      <c r="BR123" t="s" s="0">
        <v>3138</v>
      </c>
      <c r="BS123" t="s" s="0">
        <v>3139</v>
      </c>
      <c r="BT123" t="s" s="243">
        <f>HYPERLINK("https://www.webofscience.com/wos/woscc/full-record/WOS:001733205200001","View Record in Web of Science")</f>
        <v>114</v>
      </c>
      <c r="BU123" t="s" s="0">
        <v>3140</v>
      </c>
      <c r="BV123" t="s" s="0">
        <v>81</v>
      </c>
      <c r="BW123" t="s" s="0">
        <v>81</v>
      </c>
      <c r="BX123" t="s" s="0">
        <v>116</v>
      </c>
    </row>
    <row r="124">
      <c r="A124" t="s" s="0">
        <v>77</v>
      </c>
      <c r="B124" t="s" s="0">
        <v>77</v>
      </c>
      <c r="C124" t="s" s="0">
        <v>316</v>
      </c>
      <c r="D124" t="s" s="0">
        <v>77</v>
      </c>
      <c r="E124" t="s" s="0">
        <v>3141</v>
      </c>
      <c r="F124" t="s" s="0">
        <v>3142</v>
      </c>
      <c r="G124" t="s" s="0">
        <v>3143</v>
      </c>
      <c r="H124" t="s" s="0">
        <v>81</v>
      </c>
      <c r="I124" t="s" s="0">
        <v>82</v>
      </c>
      <c r="J124" t="s" s="0">
        <v>3144</v>
      </c>
      <c r="K124" t="s" s="0">
        <v>3145</v>
      </c>
      <c r="L124" t="s" s="0">
        <v>3146</v>
      </c>
      <c r="M124" t="s" s="0">
        <v>3147</v>
      </c>
      <c r="N124" t="s" s="0">
        <v>3148</v>
      </c>
      <c r="O124" t="s" s="0">
        <v>3149</v>
      </c>
      <c r="P124" t="s" s="0">
        <v>3150</v>
      </c>
      <c r="Q124" t="s" s="0">
        <v>87</v>
      </c>
      <c r="R124" t="s" s="0">
        <v>81</v>
      </c>
      <c r="S124" t="s" s="0">
        <v>81</v>
      </c>
      <c r="T124" t="s" s="0">
        <v>81</v>
      </c>
      <c r="U124" t="s" s="0">
        <v>81</v>
      </c>
      <c r="V124" t="s" s="0">
        <v>3151</v>
      </c>
      <c r="W124" t="s" s="0">
        <v>2900</v>
      </c>
      <c r="X124" t="s" s="0">
        <v>81</v>
      </c>
      <c r="Y124" t="s" s="0">
        <v>81</v>
      </c>
      <c r="Z124" t="s" s="0">
        <v>90</v>
      </c>
      <c r="AA124" t="s" s="0">
        <v>91</v>
      </c>
      <c r="AB124" t="s" s="0">
        <v>81</v>
      </c>
      <c r="AC124" t="s" s="0">
        <v>81</v>
      </c>
      <c r="AD124" t="s" s="0">
        <v>81</v>
      </c>
      <c r="AE124" t="s" s="0">
        <v>81</v>
      </c>
      <c r="AF124" t="s" s="0">
        <v>81</v>
      </c>
      <c r="AG124" t="s" s="0">
        <v>81</v>
      </c>
      <c r="AH124" t="s" s="0">
        <v>81</v>
      </c>
      <c r="AI124" t="s" s="0">
        <v>3152</v>
      </c>
      <c r="AJ124" t="s" s="0">
        <v>3153</v>
      </c>
      <c r="AK124" t="s" s="0">
        <v>81</v>
      </c>
      <c r="AL124" t="s" s="0">
        <v>543</v>
      </c>
      <c r="AM124" t="s" s="0">
        <v>228</v>
      </c>
      <c r="AN124" t="s" s="0">
        <v>344</v>
      </c>
      <c r="AO124" t="s" s="0">
        <v>77</v>
      </c>
      <c r="AP124" t="s" s="0">
        <v>196</v>
      </c>
      <c r="AQ124" t="s" s="0">
        <v>915</v>
      </c>
      <c r="AR124" t="s" s="0">
        <v>916</v>
      </c>
      <c r="AS124" t="s" s="0">
        <v>917</v>
      </c>
      <c r="AT124" t="s" s="0">
        <v>81</v>
      </c>
      <c r="AU124" t="s" s="0">
        <v>2904</v>
      </c>
      <c r="AV124" t="s" s="0">
        <v>81</v>
      </c>
      <c r="AW124" t="s" s="0">
        <v>2905</v>
      </c>
      <c r="AX124" t="s" s="0">
        <v>2906</v>
      </c>
      <c r="AY124" t="s" s="0">
        <v>3154</v>
      </c>
      <c r="AZ124" t="s" s="0">
        <v>260</v>
      </c>
      <c r="BA124" t="s" s="0">
        <v>104</v>
      </c>
      <c r="BB124" t="s" s="0">
        <v>97</v>
      </c>
      <c r="BC124" t="s" s="0">
        <v>81</v>
      </c>
      <c r="BD124" t="s" s="0">
        <v>81</v>
      </c>
      <c r="BE124" t="s" s="0">
        <v>81</v>
      </c>
      <c r="BF124" t="s" s="0">
        <v>81</v>
      </c>
      <c r="BG124" t="s" s="0">
        <v>81</v>
      </c>
      <c r="BH124" t="s" s="0">
        <v>81</v>
      </c>
      <c r="BI124" t="s" s="0">
        <v>3155</v>
      </c>
      <c r="BJ124" t="s" s="0">
        <v>3156</v>
      </c>
      <c r="BK124" t="s" s="244">
        <f>HYPERLINK("http://dx.doi.org/10.1038/s41467-023-42396-y","http://dx.doi.org/10.1038/s41467-023-42396-y")</f>
        <v>3157</v>
      </c>
      <c r="BL124" t="s" s="0">
        <v>81</v>
      </c>
      <c r="BM124" t="s" s="0">
        <v>81</v>
      </c>
      <c r="BN124" t="s" s="0">
        <v>211</v>
      </c>
      <c r="BO124" t="s" s="0">
        <v>926</v>
      </c>
      <c r="BP124" t="s" s="0">
        <v>927</v>
      </c>
      <c r="BQ124" t="s" s="0">
        <v>3158</v>
      </c>
      <c r="BR124" t="s" s="0">
        <v>3159</v>
      </c>
      <c r="BS124" t="s" s="0">
        <v>3160</v>
      </c>
      <c r="BT124" t="s" s="245">
        <f>HYPERLINK("https://www.webofscience.com/wos/woscc/full-record/WOS:001100196000023","View Record in Web of Science")</f>
        <v>114</v>
      </c>
      <c r="BU124" t="s" s="0">
        <v>301</v>
      </c>
      <c r="BV124" t="s" s="0">
        <v>81</v>
      </c>
      <c r="BW124" t="s" s="0">
        <v>81</v>
      </c>
      <c r="BX124" t="s" s="0">
        <v>116</v>
      </c>
    </row>
    <row r="125">
      <c r="A125" t="s" s="0">
        <v>77</v>
      </c>
      <c r="B125" t="s" s="0">
        <v>77</v>
      </c>
      <c r="C125" t="s" s="0">
        <v>77</v>
      </c>
      <c r="D125" t="s" s="0">
        <v>77</v>
      </c>
      <c r="E125" t="s" s="0">
        <v>3161</v>
      </c>
      <c r="F125" t="s" s="0">
        <v>3162</v>
      </c>
      <c r="G125" t="s" s="0">
        <v>3163</v>
      </c>
      <c r="H125" t="s" s="0">
        <v>81</v>
      </c>
      <c r="I125" t="s" s="0">
        <v>528</v>
      </c>
      <c r="J125" t="s" s="0">
        <v>3164</v>
      </c>
      <c r="K125" t="s" s="0">
        <v>3165</v>
      </c>
      <c r="L125" t="s" s="0">
        <v>3166</v>
      </c>
      <c r="M125" t="s" s="0">
        <v>3167</v>
      </c>
      <c r="N125" t="s" s="0">
        <v>3168</v>
      </c>
      <c r="O125" t="s" s="0">
        <v>3169</v>
      </c>
      <c r="P125" t="s" s="0">
        <v>3170</v>
      </c>
      <c r="Q125" t="s" s="0">
        <v>87</v>
      </c>
      <c r="R125" t="s" s="0">
        <v>81</v>
      </c>
      <c r="S125" t="s" s="0">
        <v>81</v>
      </c>
      <c r="T125" t="s" s="0">
        <v>81</v>
      </c>
      <c r="U125" t="s" s="0">
        <v>81</v>
      </c>
      <c r="V125" t="s" s="0">
        <v>3171</v>
      </c>
      <c r="W125" t="s" s="0">
        <v>3172</v>
      </c>
      <c r="X125" t="s" s="0">
        <v>81</v>
      </c>
      <c r="Y125" t="s" s="0">
        <v>81</v>
      </c>
      <c r="Z125" t="s" s="0">
        <v>90</v>
      </c>
      <c r="AA125" t="s" s="0">
        <v>91</v>
      </c>
      <c r="AB125" t="s" s="0">
        <v>81</v>
      </c>
      <c r="AC125" t="s" s="0">
        <v>81</v>
      </c>
      <c r="AD125" t="s" s="0">
        <v>81</v>
      </c>
      <c r="AE125" t="s" s="0">
        <v>81</v>
      </c>
      <c r="AF125" t="s" s="0">
        <v>81</v>
      </c>
      <c r="AG125" t="s" s="0">
        <v>3173</v>
      </c>
      <c r="AH125" t="s" s="0">
        <v>81</v>
      </c>
      <c r="AI125" t="s" s="0">
        <v>81</v>
      </c>
      <c r="AJ125" t="s" s="0">
        <v>81</v>
      </c>
      <c r="AK125" t="s" s="0">
        <v>81</v>
      </c>
      <c r="AL125" t="s" s="0">
        <v>1883</v>
      </c>
      <c r="AM125" t="s" s="0">
        <v>97</v>
      </c>
      <c r="AN125" t="s" s="0">
        <v>97</v>
      </c>
      <c r="AO125" t="s" s="0">
        <v>253</v>
      </c>
      <c r="AP125" t="s" s="0">
        <v>914</v>
      </c>
      <c r="AQ125" t="s" s="0">
        <v>3174</v>
      </c>
      <c r="AR125" t="s" s="0">
        <v>3175</v>
      </c>
      <c r="AS125" t="s" s="0">
        <v>3176</v>
      </c>
      <c r="AT125" t="s" s="0">
        <v>3177</v>
      </c>
      <c r="AU125" t="s" s="0">
        <v>3178</v>
      </c>
      <c r="AV125" t="s" s="0">
        <v>81</v>
      </c>
      <c r="AW125" t="s" s="0">
        <v>3179</v>
      </c>
      <c r="AX125" t="s" s="0">
        <v>3180</v>
      </c>
      <c r="AY125" t="s" s="0">
        <v>290</v>
      </c>
      <c r="AZ125" t="s" s="0">
        <v>290</v>
      </c>
      <c r="BA125" t="s" s="0">
        <v>543</v>
      </c>
      <c r="BB125" t="s" s="0">
        <v>97</v>
      </c>
      <c r="BC125" t="s" s="0">
        <v>81</v>
      </c>
      <c r="BD125" t="s" s="0">
        <v>81</v>
      </c>
      <c r="BE125" t="s" s="0">
        <v>81</v>
      </c>
      <c r="BF125" t="s" s="0">
        <v>81</v>
      </c>
      <c r="BG125" t="s" s="0">
        <v>81</v>
      </c>
      <c r="BH125" t="s" s="0">
        <v>81</v>
      </c>
      <c r="BI125" t="s" s="0">
        <v>3181</v>
      </c>
      <c r="BJ125" t="s" s="0">
        <v>3182</v>
      </c>
      <c r="BK125" t="s" s="246">
        <f>HYPERLINK("http://dx.doi.org/10.4018/JOEUC.388626","http://dx.doi.org/10.4018/JOEUC.388626")</f>
        <v>3183</v>
      </c>
      <c r="BL125" t="s" s="0">
        <v>81</v>
      </c>
      <c r="BM125" t="s" s="0">
        <v>81</v>
      </c>
      <c r="BN125" t="s" s="0">
        <v>291</v>
      </c>
      <c r="BO125" t="s" s="0">
        <v>3184</v>
      </c>
      <c r="BP125" t="s" s="0">
        <v>3185</v>
      </c>
      <c r="BQ125" t="s" s="0">
        <v>3186</v>
      </c>
      <c r="BR125" t="s" s="0">
        <v>81</v>
      </c>
      <c r="BS125" t="s" s="0">
        <v>3187</v>
      </c>
      <c r="BT125" t="s" s="247">
        <f>HYPERLINK("https://www.webofscience.com/wos/woscc/full-record/WOS:001585853900004","View Record in Web of Science")</f>
        <v>114</v>
      </c>
      <c r="BU125" t="s" s="0">
        <v>115</v>
      </c>
      <c r="BV125" t="s" s="0">
        <v>81</v>
      </c>
      <c r="BW125" t="s" s="0">
        <v>81</v>
      </c>
      <c r="BX125" t="s" s="0">
        <v>116</v>
      </c>
    </row>
    <row r="126">
      <c r="A126" t="s" s="0">
        <v>77</v>
      </c>
      <c r="B126" t="s" s="0">
        <v>77</v>
      </c>
      <c r="C126" t="s" s="0">
        <v>77</v>
      </c>
      <c r="D126" t="s" s="0">
        <v>77</v>
      </c>
      <c r="E126" t="s" s="0">
        <v>3188</v>
      </c>
      <c r="F126" t="s" s="0">
        <v>3189</v>
      </c>
      <c r="G126" t="s" s="0">
        <v>3190</v>
      </c>
      <c r="H126" t="s" s="0">
        <v>81</v>
      </c>
      <c r="I126" t="s" s="0">
        <v>589</v>
      </c>
      <c r="J126" t="s" s="0">
        <v>3191</v>
      </c>
      <c r="K126" t="s" s="0">
        <v>3192</v>
      </c>
      <c r="L126" t="s" s="0">
        <v>81</v>
      </c>
      <c r="M126" t="s" s="0">
        <v>81</v>
      </c>
      <c r="N126" t="s" s="0">
        <v>3193</v>
      </c>
      <c r="O126" t="s" s="0">
        <v>3194</v>
      </c>
      <c r="P126" t="s" s="0">
        <v>3195</v>
      </c>
      <c r="Q126" t="s" s="0">
        <v>87</v>
      </c>
      <c r="R126" t="s" s="0">
        <v>81</v>
      </c>
      <c r="S126" t="s" s="0">
        <v>81</v>
      </c>
      <c r="T126" t="s" s="0">
        <v>81</v>
      </c>
      <c r="U126" t="s" s="0">
        <v>81</v>
      </c>
      <c r="V126" t="s" s="0">
        <v>3196</v>
      </c>
      <c r="W126" t="s" s="0">
        <v>3197</v>
      </c>
      <c r="X126" t="s" s="0">
        <v>81</v>
      </c>
      <c r="Y126" t="s" s="0">
        <v>81</v>
      </c>
      <c r="Z126" t="s" s="0">
        <v>90</v>
      </c>
      <c r="AA126" t="s" s="0">
        <v>91</v>
      </c>
      <c r="AB126" t="s" s="0">
        <v>81</v>
      </c>
      <c r="AC126" t="s" s="0">
        <v>81</v>
      </c>
      <c r="AD126" t="s" s="0">
        <v>81</v>
      </c>
      <c r="AE126" t="s" s="0">
        <v>81</v>
      </c>
      <c r="AF126" t="s" s="0">
        <v>81</v>
      </c>
      <c r="AG126" t="s" s="0">
        <v>3198</v>
      </c>
      <c r="AH126" t="s" s="0">
        <v>81</v>
      </c>
      <c r="AI126" t="s" s="0">
        <v>3199</v>
      </c>
      <c r="AJ126" t="s" s="0">
        <v>81</v>
      </c>
      <c r="AK126" t="s" s="0">
        <v>81</v>
      </c>
      <c r="AL126" t="s" s="0">
        <v>252</v>
      </c>
      <c r="AM126" t="s" s="0">
        <v>77</v>
      </c>
      <c r="AN126" t="s" s="0">
        <v>77</v>
      </c>
      <c r="AO126" t="s" s="0">
        <v>196</v>
      </c>
      <c r="AP126" t="s" s="0">
        <v>196</v>
      </c>
      <c r="AQ126" t="s" s="0">
        <v>284</v>
      </c>
      <c r="AR126" t="s" s="0">
        <v>285</v>
      </c>
      <c r="AS126" t="s" s="0">
        <v>286</v>
      </c>
      <c r="AT126" t="s" s="0">
        <v>81</v>
      </c>
      <c r="AU126" t="s" s="0">
        <v>3200</v>
      </c>
      <c r="AV126" t="s" s="0">
        <v>81</v>
      </c>
      <c r="AW126" t="s" s="0">
        <v>3201</v>
      </c>
      <c r="AX126" t="s" s="0">
        <v>3202</v>
      </c>
      <c r="AY126" t="s" s="0">
        <v>3203</v>
      </c>
      <c r="AZ126" t="s" s="0">
        <v>103</v>
      </c>
      <c r="BA126" t="s" s="0">
        <v>104</v>
      </c>
      <c r="BB126" t="s" s="0">
        <v>316</v>
      </c>
      <c r="BC126" t="s" s="0">
        <v>81</v>
      </c>
      <c r="BD126" t="s" s="0">
        <v>81</v>
      </c>
      <c r="BE126" t="s" s="0">
        <v>81</v>
      </c>
      <c r="BF126" t="s" s="0">
        <v>81</v>
      </c>
      <c r="BG126" t="s" s="0">
        <v>81</v>
      </c>
      <c r="BH126" t="s" s="0">
        <v>81</v>
      </c>
      <c r="BI126" t="s" s="0">
        <v>3204</v>
      </c>
      <c r="BJ126" t="s" s="0">
        <v>3205</v>
      </c>
      <c r="BK126" t="s" s="248">
        <f>HYPERLINK("http://dx.doi.org/10.3390/systems14060709","http://dx.doi.org/10.3390/systems14060709")</f>
        <v>3206</v>
      </c>
      <c r="BL126" t="s" s="0">
        <v>81</v>
      </c>
      <c r="BM126" t="s" s="0">
        <v>849</v>
      </c>
      <c r="BN126" t="s" s="0">
        <v>228</v>
      </c>
      <c r="BO126" t="s" s="0">
        <v>3207</v>
      </c>
      <c r="BP126" t="s" s="0">
        <v>3208</v>
      </c>
      <c r="BQ126" t="s" s="0">
        <v>3209</v>
      </c>
      <c r="BR126" t="s" s="0">
        <v>81</v>
      </c>
      <c r="BS126" t="s" s="0">
        <v>3210</v>
      </c>
      <c r="BT126" t="s" s="249">
        <f>HYPERLINK("https://www.webofscience.com/wos/woscc/full-record/WOS:001803551900001","View Record in Web of Science")</f>
        <v>114</v>
      </c>
      <c r="BU126" t="s" s="0">
        <v>115</v>
      </c>
      <c r="BV126" t="s" s="0">
        <v>81</v>
      </c>
      <c r="BW126" t="s" s="0">
        <v>81</v>
      </c>
      <c r="BX126" t="s" s="0">
        <v>116</v>
      </c>
    </row>
    <row r="127">
      <c r="A127" t="s" s="0">
        <v>77</v>
      </c>
      <c r="B127" t="s" s="0">
        <v>77</v>
      </c>
      <c r="C127" t="s" s="0">
        <v>97</v>
      </c>
      <c r="D127" t="s" s="0">
        <v>77</v>
      </c>
      <c r="E127" t="s" s="0">
        <v>3211</v>
      </c>
      <c r="F127" t="s" s="0">
        <v>3212</v>
      </c>
      <c r="G127" t="s" s="0">
        <v>3213</v>
      </c>
      <c r="H127" t="s" s="0">
        <v>81</v>
      </c>
      <c r="I127" t="s" s="0">
        <v>82</v>
      </c>
      <c r="J127" t="s" s="0">
        <v>3214</v>
      </c>
      <c r="K127" t="s" s="0">
        <v>3215</v>
      </c>
      <c r="L127" t="s" s="0">
        <v>81</v>
      </c>
      <c r="M127" t="s" s="0">
        <v>81</v>
      </c>
      <c r="N127" t="s" s="0">
        <v>3216</v>
      </c>
      <c r="O127" t="s" s="0">
        <v>3217</v>
      </c>
      <c r="P127" t="s" s="0">
        <v>3218</v>
      </c>
      <c r="Q127" t="s" s="0">
        <v>87</v>
      </c>
      <c r="R127" t="s" s="0">
        <v>81</v>
      </c>
      <c r="S127" t="s" s="0">
        <v>81</v>
      </c>
      <c r="T127" t="s" s="0">
        <v>81</v>
      </c>
      <c r="U127" t="s" s="0">
        <v>81</v>
      </c>
      <c r="V127" t="s" s="0">
        <v>3219</v>
      </c>
      <c r="W127" t="s" s="0">
        <v>3220</v>
      </c>
      <c r="X127" t="s" s="0">
        <v>81</v>
      </c>
      <c r="Y127" t="s" s="0">
        <v>81</v>
      </c>
      <c r="Z127" t="s" s="0">
        <v>90</v>
      </c>
      <c r="AA127" t="s" s="0">
        <v>91</v>
      </c>
      <c r="AB127" t="s" s="0">
        <v>81</v>
      </c>
      <c r="AC127" t="s" s="0">
        <v>81</v>
      </c>
      <c r="AD127" t="s" s="0">
        <v>81</v>
      </c>
      <c r="AE127" t="s" s="0">
        <v>81</v>
      </c>
      <c r="AF127" t="s" s="0">
        <v>81</v>
      </c>
      <c r="AG127" t="s" s="0">
        <v>3221</v>
      </c>
      <c r="AH127" t="s" s="0">
        <v>3222</v>
      </c>
      <c r="AI127" t="s" s="0">
        <v>3223</v>
      </c>
      <c r="AJ127" t="s" s="0">
        <v>3224</v>
      </c>
      <c r="AK127" t="s" s="0">
        <v>81</v>
      </c>
      <c r="AL127" t="s" s="0">
        <v>697</v>
      </c>
      <c r="AM127" t="s" s="0">
        <v>381</v>
      </c>
      <c r="AN127" t="s" s="0">
        <v>381</v>
      </c>
      <c r="AO127" t="s" s="0">
        <v>77</v>
      </c>
      <c r="AP127" t="s" s="0">
        <v>211</v>
      </c>
      <c r="AQ127" t="s" s="0">
        <v>1608</v>
      </c>
      <c r="AR127" t="s" s="0">
        <v>1609</v>
      </c>
      <c r="AS127" t="s" s="0">
        <v>1610</v>
      </c>
      <c r="AT127" t="s" s="0">
        <v>3225</v>
      </c>
      <c r="AU127" t="s" s="0">
        <v>3226</v>
      </c>
      <c r="AV127" t="s" s="0">
        <v>81</v>
      </c>
      <c r="AW127" t="s" s="0">
        <v>3227</v>
      </c>
      <c r="AX127" t="s" s="0">
        <v>3228</v>
      </c>
      <c r="AY127" t="s" s="0">
        <v>2081</v>
      </c>
      <c r="AZ127" t="s" s="0">
        <v>260</v>
      </c>
      <c r="BA127" t="s" s="0">
        <v>3229</v>
      </c>
      <c r="BB127" t="s" s="0">
        <v>81</v>
      </c>
      <c r="BC127" t="s" s="0">
        <v>81</v>
      </c>
      <c r="BD127" t="s" s="0">
        <v>81</v>
      </c>
      <c r="BE127" t="s" s="0">
        <v>81</v>
      </c>
      <c r="BF127" t="s" s="0">
        <v>81</v>
      </c>
      <c r="BG127" t="s" s="0">
        <v>81</v>
      </c>
      <c r="BH127" t="s" s="0">
        <v>81</v>
      </c>
      <c r="BI127" t="s" s="0">
        <v>3230</v>
      </c>
      <c r="BJ127" t="s" s="0">
        <v>3231</v>
      </c>
      <c r="BK127" t="s" s="250">
        <f>HYPERLINK("http://dx.doi.org/10.1016/j.cmpb.2023.107492","http://dx.doi.org/10.1016/j.cmpb.2023.107492")</f>
        <v>3232</v>
      </c>
      <c r="BL127" t="s" s="0">
        <v>81</v>
      </c>
      <c r="BM127" t="s" s="0">
        <v>3233</v>
      </c>
      <c r="BN127" t="s" s="0">
        <v>211</v>
      </c>
      <c r="BO127" t="s" s="0">
        <v>3234</v>
      </c>
      <c r="BP127" t="s" s="0">
        <v>3235</v>
      </c>
      <c r="BQ127" t="s" s="0">
        <v>3236</v>
      </c>
      <c r="BR127" t="s" s="0">
        <v>3237</v>
      </c>
      <c r="BS127" t="s" s="0">
        <v>3238</v>
      </c>
      <c r="BT127" t="s" s="251">
        <f>HYPERLINK("https://www.webofscience.com/wos/woscc/full-record/WOS:000961293500001","View Record in Web of Science")</f>
        <v>114</v>
      </c>
      <c r="BU127" t="s" s="0">
        <v>233</v>
      </c>
      <c r="BV127" t="s" s="0">
        <v>81</v>
      </c>
      <c r="BW127" t="s" s="0">
        <v>81</v>
      </c>
      <c r="BX127" t="s" s="0">
        <v>116</v>
      </c>
    </row>
    <row r="128">
      <c r="A128" t="s" s="0">
        <v>77</v>
      </c>
      <c r="B128" t="s" s="0">
        <v>77</v>
      </c>
      <c r="C128" t="s" s="0">
        <v>77</v>
      </c>
      <c r="D128" t="s" s="0">
        <v>77</v>
      </c>
      <c r="E128" t="s" s="0">
        <v>3239</v>
      </c>
      <c r="F128" t="s" s="0">
        <v>3240</v>
      </c>
      <c r="G128" t="s" s="0">
        <v>3241</v>
      </c>
      <c r="H128" t="s" s="0">
        <v>81</v>
      </c>
      <c r="I128" t="s" s="0">
        <v>528</v>
      </c>
      <c r="J128" t="s" s="0">
        <v>3242</v>
      </c>
      <c r="K128" t="s" s="0">
        <v>3243</v>
      </c>
      <c r="L128" t="s" s="0">
        <v>3244</v>
      </c>
      <c r="M128" t="s" s="0">
        <v>3245</v>
      </c>
      <c r="N128" t="s" s="0">
        <v>3246</v>
      </c>
      <c r="O128" t="s" s="0">
        <v>3247</v>
      </c>
      <c r="P128" t="s" s="0">
        <v>3248</v>
      </c>
      <c r="Q128" t="s" s="0">
        <v>87</v>
      </c>
      <c r="R128" t="s" s="0">
        <v>81</v>
      </c>
      <c r="S128" t="s" s="0">
        <v>81</v>
      </c>
      <c r="T128" t="s" s="0">
        <v>81</v>
      </c>
      <c r="U128" t="s" s="0">
        <v>81</v>
      </c>
      <c r="V128" t="s" s="0">
        <v>3249</v>
      </c>
      <c r="W128" t="s" s="0">
        <v>838</v>
      </c>
      <c r="X128" t="s" s="0">
        <v>81</v>
      </c>
      <c r="Y128" t="s" s="0">
        <v>81</v>
      </c>
      <c r="Z128" t="s" s="0">
        <v>90</v>
      </c>
      <c r="AA128" t="s" s="0">
        <v>91</v>
      </c>
      <c r="AB128" t="s" s="0">
        <v>81</v>
      </c>
      <c r="AC128" t="s" s="0">
        <v>81</v>
      </c>
      <c r="AD128" t="s" s="0">
        <v>81</v>
      </c>
      <c r="AE128" t="s" s="0">
        <v>81</v>
      </c>
      <c r="AF128" t="s" s="0">
        <v>81</v>
      </c>
      <c r="AG128" t="s" s="0">
        <v>3250</v>
      </c>
      <c r="AH128" t="s" s="0">
        <v>81</v>
      </c>
      <c r="AI128" t="s" s="0">
        <v>3251</v>
      </c>
      <c r="AJ128" t="s" s="0">
        <v>81</v>
      </c>
      <c r="AK128" t="s" s="0">
        <v>81</v>
      </c>
      <c r="AL128" t="s" s="0">
        <v>914</v>
      </c>
      <c r="AM128" t="s" s="0">
        <v>156</v>
      </c>
      <c r="AN128" t="s" s="0">
        <v>156</v>
      </c>
      <c r="AO128" t="s" s="0">
        <v>156</v>
      </c>
      <c r="AP128" t="s" s="0">
        <v>156</v>
      </c>
      <c r="AQ128" t="s" s="0">
        <v>368</v>
      </c>
      <c r="AR128" t="s" s="0">
        <v>369</v>
      </c>
      <c r="AS128" t="s" s="0">
        <v>370</v>
      </c>
      <c r="AT128" t="s" s="0">
        <v>81</v>
      </c>
      <c r="AU128" t="s" s="0">
        <v>842</v>
      </c>
      <c r="AV128" t="s" s="0">
        <v>81</v>
      </c>
      <c r="AW128" t="s" s="0">
        <v>843</v>
      </c>
      <c r="AX128" t="s" s="0">
        <v>844</v>
      </c>
      <c r="AY128" t="s" s="0">
        <v>3252</v>
      </c>
      <c r="AZ128" t="s" s="0">
        <v>103</v>
      </c>
      <c r="BA128" t="s" s="0">
        <v>104</v>
      </c>
      <c r="BB128" t="s" s="0">
        <v>81</v>
      </c>
      <c r="BC128" t="s" s="0">
        <v>81</v>
      </c>
      <c r="BD128" t="s" s="0">
        <v>81</v>
      </c>
      <c r="BE128" t="s" s="0">
        <v>81</v>
      </c>
      <c r="BF128" t="s" s="0">
        <v>81</v>
      </c>
      <c r="BG128" t="s" s="0">
        <v>81</v>
      </c>
      <c r="BH128" t="s" s="0">
        <v>81</v>
      </c>
      <c r="BI128" t="s" s="0">
        <v>3253</v>
      </c>
      <c r="BJ128" t="s" s="0">
        <v>3254</v>
      </c>
      <c r="BK128" t="s" s="252">
        <f>HYPERLINK("http://dx.doi.org/10.3389/fpubh.2026.1762346","http://dx.doi.org/10.3389/fpubh.2026.1762346")</f>
        <v>3255</v>
      </c>
      <c r="BL128" t="s" s="0">
        <v>81</v>
      </c>
      <c r="BM128" t="s" s="0">
        <v>81</v>
      </c>
      <c r="BN128" t="s" s="0">
        <v>295</v>
      </c>
      <c r="BO128" t="s" s="0">
        <v>850</v>
      </c>
      <c r="BP128" t="s" s="0">
        <v>850</v>
      </c>
      <c r="BQ128" t="s" s="0">
        <v>3256</v>
      </c>
      <c r="BR128" t="s" s="0">
        <v>3257</v>
      </c>
      <c r="BS128" t="s" s="0">
        <v>3258</v>
      </c>
      <c r="BT128" t="s" s="253">
        <f>HYPERLINK("https://www.webofscience.com/wos/woscc/full-record/WOS:001729591500001","View Record in Web of Science")</f>
        <v>114</v>
      </c>
      <c r="BU128" t="s" s="0">
        <v>301</v>
      </c>
      <c r="BV128" t="s" s="0">
        <v>81</v>
      </c>
      <c r="BW128" t="s" s="0">
        <v>81</v>
      </c>
      <c r="BX128" t="s" s="0">
        <v>116</v>
      </c>
    </row>
    <row r="129">
      <c r="A129" t="s" s="0">
        <v>77</v>
      </c>
      <c r="B129" t="s" s="0">
        <v>77</v>
      </c>
      <c r="C129" t="s" s="0">
        <v>77</v>
      </c>
      <c r="D129" t="s" s="0">
        <v>77</v>
      </c>
      <c r="E129" t="s" s="0">
        <v>3259</v>
      </c>
      <c r="F129" t="s" s="0">
        <v>3260</v>
      </c>
      <c r="G129" t="s" s="0">
        <v>3261</v>
      </c>
      <c r="H129" t="s" s="0">
        <v>81</v>
      </c>
      <c r="I129" t="s" s="0">
        <v>82</v>
      </c>
      <c r="J129" t="s" s="0">
        <v>3262</v>
      </c>
      <c r="K129" t="s" s="0">
        <v>3263</v>
      </c>
      <c r="L129" t="s" s="0">
        <v>81</v>
      </c>
      <c r="M129" t="s" s="0">
        <v>81</v>
      </c>
      <c r="N129" t="s" s="0">
        <v>81</v>
      </c>
      <c r="O129" t="s" s="0">
        <v>3264</v>
      </c>
      <c r="P129" t="s" s="0">
        <v>3265</v>
      </c>
      <c r="Q129" t="s" s="0">
        <v>87</v>
      </c>
      <c r="R129" t="s" s="0">
        <v>81</v>
      </c>
      <c r="S129" t="s" s="0">
        <v>81</v>
      </c>
      <c r="T129" t="s" s="0">
        <v>81</v>
      </c>
      <c r="U129" t="s" s="0">
        <v>81</v>
      </c>
      <c r="V129" t="s" s="0">
        <v>3266</v>
      </c>
      <c r="W129" t="s" s="0">
        <v>3267</v>
      </c>
      <c r="X129" t="s" s="0">
        <v>81</v>
      </c>
      <c r="Y129" t="s" s="0">
        <v>81</v>
      </c>
      <c r="Z129" t="s" s="0">
        <v>90</v>
      </c>
      <c r="AA129" t="s" s="0">
        <v>91</v>
      </c>
      <c r="AB129" t="s" s="0">
        <v>81</v>
      </c>
      <c r="AC129" t="s" s="0">
        <v>81</v>
      </c>
      <c r="AD129" t="s" s="0">
        <v>81</v>
      </c>
      <c r="AE129" t="s" s="0">
        <v>81</v>
      </c>
      <c r="AF129" t="s" s="0">
        <v>81</v>
      </c>
      <c r="AG129" t="s" s="0">
        <v>3268</v>
      </c>
      <c r="AH129" t="s" s="0">
        <v>1909</v>
      </c>
      <c r="AI129" t="s" s="0">
        <v>81</v>
      </c>
      <c r="AJ129" t="s" s="0">
        <v>81</v>
      </c>
      <c r="AK129" t="s" s="0">
        <v>81</v>
      </c>
      <c r="AL129" t="s" s="0">
        <v>890</v>
      </c>
      <c r="AM129" t="s" s="0">
        <v>77</v>
      </c>
      <c r="AN129" t="s" s="0">
        <v>77</v>
      </c>
      <c r="AO129" t="s" s="0">
        <v>77</v>
      </c>
      <c r="AP129" t="s" s="0">
        <v>77</v>
      </c>
      <c r="AQ129" t="s" s="0">
        <v>3269</v>
      </c>
      <c r="AR129" t="s" s="0">
        <v>3270</v>
      </c>
      <c r="AS129" t="s" s="0">
        <v>3271</v>
      </c>
      <c r="AT129" t="s" s="0">
        <v>3272</v>
      </c>
      <c r="AU129" t="s" s="0">
        <v>3273</v>
      </c>
      <c r="AV129" t="s" s="0">
        <v>81</v>
      </c>
      <c r="AW129" t="s" s="0">
        <v>3274</v>
      </c>
      <c r="AX129" t="s" s="0">
        <v>3275</v>
      </c>
      <c r="AY129" t="s" s="0">
        <v>143</v>
      </c>
      <c r="AZ129" t="s" s="0">
        <v>103</v>
      </c>
      <c r="BA129" t="s" s="0">
        <v>253</v>
      </c>
      <c r="BB129" t="s" s="0">
        <v>81</v>
      </c>
      <c r="BC129" t="s" s="0">
        <v>81</v>
      </c>
      <c r="BD129" t="s" s="0">
        <v>81</v>
      </c>
      <c r="BE129" t="s" s="0">
        <v>81</v>
      </c>
      <c r="BF129" t="s" s="0">
        <v>81</v>
      </c>
      <c r="BG129" t="s" s="0">
        <v>81</v>
      </c>
      <c r="BH129" t="s" s="0">
        <v>81</v>
      </c>
      <c r="BI129" t="s" s="0">
        <v>3276</v>
      </c>
      <c r="BJ129" t="s" s="0">
        <v>3277</v>
      </c>
      <c r="BK129" t="s" s="254">
        <f>HYPERLINK("http://dx.doi.org/10.1016/j.eij.2026.100926","http://dx.doi.org/10.1016/j.eij.2026.100926")</f>
        <v>3278</v>
      </c>
      <c r="BL129" t="s" s="0">
        <v>81</v>
      </c>
      <c r="BM129" t="s" s="0">
        <v>81</v>
      </c>
      <c r="BN129" t="s" s="0">
        <v>104</v>
      </c>
      <c r="BO129" t="s" s="0">
        <v>3279</v>
      </c>
      <c r="BP129" t="s" s="0">
        <v>152</v>
      </c>
      <c r="BQ129" t="s" s="0">
        <v>3280</v>
      </c>
      <c r="BR129" t="s" s="0">
        <v>81</v>
      </c>
      <c r="BS129" t="s" s="0">
        <v>3281</v>
      </c>
      <c r="BT129" t="s" s="255">
        <f>HYPERLINK("https://www.webofscience.com/wos/woscc/full-record/WOS:001710272400001","View Record in Web of Science")</f>
        <v>114</v>
      </c>
      <c r="BU129" t="s" s="0">
        <v>115</v>
      </c>
      <c r="BV129" t="s" s="0">
        <v>81</v>
      </c>
      <c r="BW129" t="s" s="0">
        <v>81</v>
      </c>
      <c r="BX129" t="s" s="0">
        <v>116</v>
      </c>
    </row>
    <row r="130">
      <c r="A130" t="s" s="0">
        <v>77</v>
      </c>
      <c r="B130" t="s" s="0">
        <v>77</v>
      </c>
      <c r="C130" t="s" s="0">
        <v>175</v>
      </c>
      <c r="D130" t="s" s="0">
        <v>77</v>
      </c>
      <c r="E130" t="s" s="0">
        <v>3282</v>
      </c>
      <c r="F130" t="s" s="0">
        <v>3283</v>
      </c>
      <c r="G130" t="s" s="0">
        <v>3284</v>
      </c>
      <c r="H130" t="s" s="0">
        <v>81</v>
      </c>
      <c r="I130" t="s" s="0">
        <v>82</v>
      </c>
      <c r="J130" t="s" s="0">
        <v>3285</v>
      </c>
      <c r="K130" t="s" s="0">
        <v>3286</v>
      </c>
      <c r="L130" t="s" s="0">
        <v>81</v>
      </c>
      <c r="M130" t="s" s="0">
        <v>81</v>
      </c>
      <c r="N130" t="s" s="0">
        <v>81</v>
      </c>
      <c r="O130" t="s" s="0">
        <v>3287</v>
      </c>
      <c r="P130" t="s" s="0">
        <v>3288</v>
      </c>
      <c r="Q130" t="s" s="0">
        <v>87</v>
      </c>
      <c r="R130" t="s" s="0">
        <v>81</v>
      </c>
      <c r="S130" t="s" s="0">
        <v>81</v>
      </c>
      <c r="T130" t="s" s="0">
        <v>81</v>
      </c>
      <c r="U130" t="s" s="0">
        <v>81</v>
      </c>
      <c r="V130" t="s" s="0">
        <v>3289</v>
      </c>
      <c r="W130" t="s" s="0">
        <v>89</v>
      </c>
      <c r="X130" t="s" s="0">
        <v>81</v>
      </c>
      <c r="Y130" t="s" s="0">
        <v>81</v>
      </c>
      <c r="Z130" t="s" s="0">
        <v>90</v>
      </c>
      <c r="AA130" t="s" s="0">
        <v>91</v>
      </c>
      <c r="AB130" t="s" s="0">
        <v>81</v>
      </c>
      <c r="AC130" t="s" s="0">
        <v>81</v>
      </c>
      <c r="AD130" t="s" s="0">
        <v>81</v>
      </c>
      <c r="AE130" t="s" s="0">
        <v>81</v>
      </c>
      <c r="AF130" t="s" s="0">
        <v>81</v>
      </c>
      <c r="AG130" t="s" s="0">
        <v>3290</v>
      </c>
      <c r="AH130" t="s" s="0">
        <v>81</v>
      </c>
      <c r="AI130" t="s" s="0">
        <v>3291</v>
      </c>
      <c r="AJ130" t="s" s="0">
        <v>3292</v>
      </c>
      <c r="AK130" t="s" s="0">
        <v>81</v>
      </c>
      <c r="AL130" t="s" s="0">
        <v>253</v>
      </c>
      <c r="AM130" t="s" s="0">
        <v>134</v>
      </c>
      <c r="AN130" t="s" s="0">
        <v>104</v>
      </c>
      <c r="AO130" t="s" s="0">
        <v>156</v>
      </c>
      <c r="AP130" t="s" s="0">
        <v>381</v>
      </c>
      <c r="AQ130" t="s" s="0">
        <v>98</v>
      </c>
      <c r="AR130" t="s" s="0">
        <v>99</v>
      </c>
      <c r="AS130" t="s" s="0">
        <v>100</v>
      </c>
      <c r="AT130" t="s" s="0">
        <v>101</v>
      </c>
      <c r="AU130" t="s" s="0">
        <v>81</v>
      </c>
      <c r="AV130" t="s" s="0">
        <v>81</v>
      </c>
      <c r="AW130" t="s" s="0">
        <v>89</v>
      </c>
      <c r="AX130" t="s" s="0">
        <v>102</v>
      </c>
      <c r="AY130" t="s" s="0">
        <v>185</v>
      </c>
      <c r="AZ130" t="s" s="0">
        <v>185</v>
      </c>
      <c r="BA130" t="s" s="0">
        <v>134</v>
      </c>
      <c r="BB130" t="s" s="0">
        <v>81</v>
      </c>
      <c r="BC130" t="s" s="0">
        <v>81</v>
      </c>
      <c r="BD130" t="s" s="0">
        <v>81</v>
      </c>
      <c r="BE130" t="s" s="0">
        <v>81</v>
      </c>
      <c r="BF130" t="s" s="0">
        <v>81</v>
      </c>
      <c r="BG130" t="s" s="0">
        <v>3293</v>
      </c>
      <c r="BH130" t="s" s="0">
        <v>3294</v>
      </c>
      <c r="BI130" t="s" s="0">
        <v>81</v>
      </c>
      <c r="BJ130" t="s" s="0">
        <v>3295</v>
      </c>
      <c r="BK130" t="s" s="256">
        <f>HYPERLINK("http://dx.doi.org/10.1109/ACCESS.2024.3378516","http://dx.doi.org/10.1109/ACCESS.2024.3378516")</f>
        <v>3296</v>
      </c>
      <c r="BL130" t="s" s="0">
        <v>81</v>
      </c>
      <c r="BM130" t="s" s="0">
        <v>81</v>
      </c>
      <c r="BN130" t="s" s="0">
        <v>486</v>
      </c>
      <c r="BO130" t="s" s="0">
        <v>110</v>
      </c>
      <c r="BP130" t="s" s="0">
        <v>111</v>
      </c>
      <c r="BQ130" t="s" s="0">
        <v>3297</v>
      </c>
      <c r="BR130" t="s" s="0">
        <v>81</v>
      </c>
      <c r="BS130" t="s" s="0">
        <v>3298</v>
      </c>
      <c r="BT130" t="s" s="257">
        <f>HYPERLINK("https://www.webofscience.com/wos/woscc/full-record/WOS:001192230200001","View Record in Web of Science")</f>
        <v>114</v>
      </c>
      <c r="BU130" t="s" s="0">
        <v>301</v>
      </c>
      <c r="BV130" t="s" s="0">
        <v>81</v>
      </c>
      <c r="BW130" t="s" s="0">
        <v>81</v>
      </c>
      <c r="BX130" t="s" s="0">
        <v>116</v>
      </c>
    </row>
    <row r="131">
      <c r="A131" t="s" s="0">
        <v>97</v>
      </c>
      <c r="B131" t="s" s="0">
        <v>77</v>
      </c>
      <c r="C131" t="s" s="0">
        <v>77</v>
      </c>
      <c r="D131" t="s" s="0">
        <v>77</v>
      </c>
      <c r="E131" t="s" s="0">
        <v>3299</v>
      </c>
      <c r="F131" t="s" s="0">
        <v>3300</v>
      </c>
      <c r="G131" t="s" s="0">
        <v>3301</v>
      </c>
      <c r="H131" t="s" s="0">
        <v>81</v>
      </c>
      <c r="I131" t="s" s="0">
        <v>528</v>
      </c>
      <c r="J131" t="s" s="0">
        <v>3302</v>
      </c>
      <c r="K131" t="s" s="0">
        <v>3303</v>
      </c>
      <c r="L131" t="s" s="0">
        <v>3304</v>
      </c>
      <c r="M131" t="s" s="0">
        <v>3305</v>
      </c>
      <c r="N131" t="s" s="0">
        <v>3306</v>
      </c>
      <c r="O131" t="s" s="0">
        <v>3307</v>
      </c>
      <c r="P131" t="s" s="0">
        <v>3308</v>
      </c>
      <c r="Q131" t="s" s="0">
        <v>87</v>
      </c>
      <c r="R131" t="s" s="0">
        <v>81</v>
      </c>
      <c r="S131" t="s" s="0">
        <v>81</v>
      </c>
      <c r="T131" t="s" s="0">
        <v>81</v>
      </c>
      <c r="U131" t="s" s="0">
        <v>81</v>
      </c>
      <c r="V131" t="s" s="0">
        <v>3309</v>
      </c>
      <c r="W131" t="s" s="0">
        <v>3310</v>
      </c>
      <c r="X131" t="s" s="0">
        <v>81</v>
      </c>
      <c r="Y131" t="s" s="0">
        <v>81</v>
      </c>
      <c r="Z131" t="s" s="0">
        <v>90</v>
      </c>
      <c r="AA131" t="s" s="0">
        <v>91</v>
      </c>
      <c r="AB131" t="s" s="0">
        <v>81</v>
      </c>
      <c r="AC131" t="s" s="0">
        <v>81</v>
      </c>
      <c r="AD131" t="s" s="0">
        <v>81</v>
      </c>
      <c r="AE131" t="s" s="0">
        <v>81</v>
      </c>
      <c r="AF131" t="s" s="0">
        <v>81</v>
      </c>
      <c r="AG131" t="s" s="0">
        <v>3311</v>
      </c>
      <c r="AH131" t="s" s="0">
        <v>3312</v>
      </c>
      <c r="AI131" t="s" s="0">
        <v>3313</v>
      </c>
      <c r="AJ131" t="s" s="0">
        <v>3314</v>
      </c>
      <c r="AK131" t="s" s="0">
        <v>81</v>
      </c>
      <c r="AL131" t="s" s="0">
        <v>1686</v>
      </c>
      <c r="AM131" t="s" s="0">
        <v>234</v>
      </c>
      <c r="AN131" t="s" s="0">
        <v>134</v>
      </c>
      <c r="AO131" t="s" s="0">
        <v>191</v>
      </c>
      <c r="AP131" t="s" s="0">
        <v>399</v>
      </c>
      <c r="AQ131" t="s" s="0">
        <v>3061</v>
      </c>
      <c r="AR131" t="s" s="0">
        <v>3062</v>
      </c>
      <c r="AS131" t="s" s="0">
        <v>3063</v>
      </c>
      <c r="AT131" t="s" s="0">
        <v>3315</v>
      </c>
      <c r="AU131" t="s" s="0">
        <v>81</v>
      </c>
      <c r="AV131" t="s" s="0">
        <v>81</v>
      </c>
      <c r="AW131" t="s" s="0">
        <v>3316</v>
      </c>
      <c r="AX131" t="s" s="0">
        <v>3317</v>
      </c>
      <c r="AY131" t="s" s="0">
        <v>290</v>
      </c>
      <c r="AZ131" t="s" s="0">
        <v>290</v>
      </c>
      <c r="BA131" t="s" s="0">
        <v>191</v>
      </c>
      <c r="BB131" t="s" s="0">
        <v>81</v>
      </c>
      <c r="BC131" t="s" s="0">
        <v>81</v>
      </c>
      <c r="BD131" t="s" s="0">
        <v>81</v>
      </c>
      <c r="BE131" t="s" s="0">
        <v>81</v>
      </c>
      <c r="BF131" t="s" s="0">
        <v>81</v>
      </c>
      <c r="BG131" t="s" s="0">
        <v>81</v>
      </c>
      <c r="BH131" t="s" s="0">
        <v>81</v>
      </c>
      <c r="BI131" t="s" s="0">
        <v>3318</v>
      </c>
      <c r="BJ131" t="s" s="0">
        <v>3319</v>
      </c>
      <c r="BK131" t="s" s="258">
        <f>HYPERLINK("http://dx.doi.org/10.2196/63809","http://dx.doi.org/10.2196/63809")</f>
        <v>3320</v>
      </c>
      <c r="BL131" t="s" s="0">
        <v>81</v>
      </c>
      <c r="BM131" t="s" s="0">
        <v>81</v>
      </c>
      <c r="BN131" t="s" s="0">
        <v>367</v>
      </c>
      <c r="BO131" t="s" s="0">
        <v>850</v>
      </c>
      <c r="BP131" t="s" s="0">
        <v>850</v>
      </c>
      <c r="BQ131" t="s" s="0">
        <v>3321</v>
      </c>
      <c r="BR131" t="s" s="0">
        <v>3322</v>
      </c>
      <c r="BS131" t="s" s="0">
        <v>3323</v>
      </c>
      <c r="BT131" t="s" s="259">
        <f>HYPERLINK("https://www.webofscience.com/wos/woscc/full-record/WOS:001439594300001","View Record in Web of Science")</f>
        <v>114</v>
      </c>
      <c r="BU131" t="s" s="0">
        <v>301</v>
      </c>
      <c r="BV131" t="s" s="0">
        <v>81</v>
      </c>
      <c r="BW131" t="s" s="0">
        <v>81</v>
      </c>
      <c r="BX131" t="s" s="0">
        <v>116</v>
      </c>
    </row>
    <row r="132">
      <c r="A132" t="s" s="0">
        <v>97</v>
      </c>
      <c r="B132" t="s" s="0">
        <v>77</v>
      </c>
      <c r="C132" t="s" s="0">
        <v>77</v>
      </c>
      <c r="D132" t="s" s="0">
        <v>77</v>
      </c>
      <c r="E132" t="s" s="0">
        <v>3324</v>
      </c>
      <c r="F132" t="s" s="0">
        <v>3325</v>
      </c>
      <c r="G132" t="s" s="0">
        <v>3326</v>
      </c>
      <c r="H132" t="s" s="0">
        <v>81</v>
      </c>
      <c r="I132" t="s" s="0">
        <v>82</v>
      </c>
      <c r="J132" t="s" s="0">
        <v>3327</v>
      </c>
      <c r="K132" t="s" s="0">
        <v>3328</v>
      </c>
      <c r="L132" t="s" s="0">
        <v>3329</v>
      </c>
      <c r="M132" t="s" s="0">
        <v>3330</v>
      </c>
      <c r="N132" t="s" s="0">
        <v>3331</v>
      </c>
      <c r="O132" t="s" s="0">
        <v>3332</v>
      </c>
      <c r="P132" t="s" s="0">
        <v>3333</v>
      </c>
      <c r="Q132" t="s" s="0">
        <v>87</v>
      </c>
      <c r="R132" t="s" s="0">
        <v>81</v>
      </c>
      <c r="S132" t="s" s="0">
        <v>81</v>
      </c>
      <c r="T132" t="s" s="0">
        <v>81</v>
      </c>
      <c r="U132" t="s" s="0">
        <v>81</v>
      </c>
      <c r="V132" t="s" s="0">
        <v>3334</v>
      </c>
      <c r="W132" t="s" s="0">
        <v>3058</v>
      </c>
      <c r="X132" t="s" s="0">
        <v>81</v>
      </c>
      <c r="Y132" t="s" s="0">
        <v>81</v>
      </c>
      <c r="Z132" t="s" s="0">
        <v>90</v>
      </c>
      <c r="AA132" t="s" s="0">
        <v>91</v>
      </c>
      <c r="AB132" t="s" s="0">
        <v>81</v>
      </c>
      <c r="AC132" t="s" s="0">
        <v>81</v>
      </c>
      <c r="AD132" t="s" s="0">
        <v>81</v>
      </c>
      <c r="AE132" t="s" s="0">
        <v>81</v>
      </c>
      <c r="AF132" t="s" s="0">
        <v>81</v>
      </c>
      <c r="AG132" t="s" s="0">
        <v>3335</v>
      </c>
      <c r="AH132" t="s" s="0">
        <v>3336</v>
      </c>
      <c r="AI132" t="s" s="0">
        <v>3337</v>
      </c>
      <c r="AJ132" t="s" s="0">
        <v>3338</v>
      </c>
      <c r="AK132" t="s" s="0">
        <v>81</v>
      </c>
      <c r="AL132" t="s" s="0">
        <v>1374</v>
      </c>
      <c r="AM132" t="s" s="0">
        <v>175</v>
      </c>
      <c r="AN132" t="s" s="0">
        <v>316</v>
      </c>
      <c r="AO132" t="s" s="0">
        <v>196</v>
      </c>
      <c r="AP132" t="s" s="0">
        <v>367</v>
      </c>
      <c r="AQ132" t="s" s="0">
        <v>3061</v>
      </c>
      <c r="AR132" t="s" s="0">
        <v>3062</v>
      </c>
      <c r="AS132" t="s" s="0">
        <v>3063</v>
      </c>
      <c r="AT132" t="s" s="0">
        <v>3064</v>
      </c>
      <c r="AU132" t="s" s="0">
        <v>3065</v>
      </c>
      <c r="AV132" t="s" s="0">
        <v>81</v>
      </c>
      <c r="AW132" t="s" s="0">
        <v>3066</v>
      </c>
      <c r="AX132" t="s" s="0">
        <v>3067</v>
      </c>
      <c r="AY132" t="s" s="0">
        <v>3339</v>
      </c>
      <c r="AZ132" t="s" s="0">
        <v>290</v>
      </c>
      <c r="BA132" t="s" s="0">
        <v>671</v>
      </c>
      <c r="BB132" t="s" s="0">
        <v>81</v>
      </c>
      <c r="BC132" t="s" s="0">
        <v>81</v>
      </c>
      <c r="BD132" t="s" s="0">
        <v>81</v>
      </c>
      <c r="BE132" t="s" s="0">
        <v>81</v>
      </c>
      <c r="BF132" t="s" s="0">
        <v>81</v>
      </c>
      <c r="BG132" t="s" s="0">
        <v>81</v>
      </c>
      <c r="BH132" t="s" s="0">
        <v>81</v>
      </c>
      <c r="BI132" t="s" s="0">
        <v>3340</v>
      </c>
      <c r="BJ132" t="s" s="0">
        <v>3341</v>
      </c>
      <c r="BK132" t="s" s="260">
        <f>HYPERLINK("http://dx.doi.org/10.2196/68030","http://dx.doi.org/10.2196/68030")</f>
        <v>3342</v>
      </c>
      <c r="BL132" t="s" s="0">
        <v>81</v>
      </c>
      <c r="BM132" t="s" s="0">
        <v>81</v>
      </c>
      <c r="BN132" t="s" s="0">
        <v>222</v>
      </c>
      <c r="BO132" t="s" s="0">
        <v>792</v>
      </c>
      <c r="BP132" t="s" s="0">
        <v>792</v>
      </c>
      <c r="BQ132" t="s" s="0">
        <v>3343</v>
      </c>
      <c r="BR132" t="s" s="0">
        <v>3344</v>
      </c>
      <c r="BS132" t="s" s="0">
        <v>3345</v>
      </c>
      <c r="BT132" t="s" s="261">
        <f>HYPERLINK("https://www.webofscience.com/wos/woscc/full-record/WOS:001495307800008","View Record in Web of Science")</f>
        <v>114</v>
      </c>
      <c r="BU132" t="s" s="0">
        <v>301</v>
      </c>
      <c r="BV132" t="s" s="0">
        <v>81</v>
      </c>
      <c r="BW132" t="s" s="0">
        <v>81</v>
      </c>
      <c r="BX132" t="s" s="0">
        <v>116</v>
      </c>
    </row>
    <row r="133">
      <c r="A133" t="s" s="0">
        <v>77</v>
      </c>
      <c r="B133" t="s" s="0">
        <v>77</v>
      </c>
      <c r="C133" t="s" s="0">
        <v>77</v>
      </c>
      <c r="D133" t="s" s="0">
        <v>77</v>
      </c>
      <c r="E133" t="s" s="0">
        <v>3346</v>
      </c>
      <c r="F133" t="s" s="0">
        <v>3347</v>
      </c>
      <c r="G133" t="s" s="0">
        <v>3348</v>
      </c>
      <c r="H133" t="s" s="0">
        <v>81</v>
      </c>
      <c r="I133" t="s" s="0">
        <v>82</v>
      </c>
      <c r="J133" t="s" s="0">
        <v>3349</v>
      </c>
      <c r="K133" t="s" s="0">
        <v>3350</v>
      </c>
      <c r="L133" t="s" s="0">
        <v>3351</v>
      </c>
      <c r="M133" t="s" s="0">
        <v>3352</v>
      </c>
      <c r="N133" t="s" s="0">
        <v>3353</v>
      </c>
      <c r="O133" t="s" s="0">
        <v>3354</v>
      </c>
      <c r="P133" t="s" s="0">
        <v>3355</v>
      </c>
      <c r="Q133" t="s" s="0">
        <v>87</v>
      </c>
      <c r="R133" t="s" s="0">
        <v>81</v>
      </c>
      <c r="S133" t="s" s="0">
        <v>81</v>
      </c>
      <c r="T133" t="s" s="0">
        <v>81</v>
      </c>
      <c r="U133" t="s" s="0">
        <v>81</v>
      </c>
      <c r="V133" t="s" s="0">
        <v>3356</v>
      </c>
      <c r="W133" t="s" s="0">
        <v>3357</v>
      </c>
      <c r="X133" t="s" s="0">
        <v>81</v>
      </c>
      <c r="Y133" t="s" s="0">
        <v>81</v>
      </c>
      <c r="Z133" t="s" s="0">
        <v>90</v>
      </c>
      <c r="AA133" t="s" s="0">
        <v>91</v>
      </c>
      <c r="AB133" t="s" s="0">
        <v>81</v>
      </c>
      <c r="AC133" t="s" s="0">
        <v>81</v>
      </c>
      <c r="AD133" t="s" s="0">
        <v>81</v>
      </c>
      <c r="AE133" t="s" s="0">
        <v>81</v>
      </c>
      <c r="AF133" t="s" s="0">
        <v>81</v>
      </c>
      <c r="AG133" t="s" s="0">
        <v>3358</v>
      </c>
      <c r="AH133" t="s" s="0">
        <v>81</v>
      </c>
      <c r="AI133" t="s" s="0">
        <v>3359</v>
      </c>
      <c r="AJ133" t="s" s="0">
        <v>81</v>
      </c>
      <c r="AK133" t="s" s="0">
        <v>81</v>
      </c>
      <c r="AL133" t="s" s="0">
        <v>664</v>
      </c>
      <c r="AM133" t="s" s="0">
        <v>77</v>
      </c>
      <c r="AN133" t="s" s="0">
        <v>77</v>
      </c>
      <c r="AO133" t="s" s="0">
        <v>77</v>
      </c>
      <c r="AP133" t="s" s="0">
        <v>77</v>
      </c>
      <c r="AQ133" t="s" s="0">
        <v>136</v>
      </c>
      <c r="AR133" t="s" s="0">
        <v>137</v>
      </c>
      <c r="AS133" t="s" s="0">
        <v>138</v>
      </c>
      <c r="AT133" t="s" s="0">
        <v>3360</v>
      </c>
      <c r="AU133" t="s" s="0">
        <v>81</v>
      </c>
      <c r="AV133" t="s" s="0">
        <v>81</v>
      </c>
      <c r="AW133" t="s" s="0">
        <v>3361</v>
      </c>
      <c r="AX133" t="s" s="0">
        <v>3362</v>
      </c>
      <c r="AY133" t="s" s="0">
        <v>2301</v>
      </c>
      <c r="AZ133" t="s" s="0">
        <v>103</v>
      </c>
      <c r="BA133" t="s" s="0">
        <v>324</v>
      </c>
      <c r="BB133" t="s" s="0">
        <v>81</v>
      </c>
      <c r="BC133" t="s" s="0">
        <v>81</v>
      </c>
      <c r="BD133" t="s" s="0">
        <v>81</v>
      </c>
      <c r="BE133" t="s" s="0">
        <v>81</v>
      </c>
      <c r="BF133" t="s" s="0">
        <v>81</v>
      </c>
      <c r="BG133" t="s" s="0">
        <v>81</v>
      </c>
      <c r="BH133" t="s" s="0">
        <v>81</v>
      </c>
      <c r="BI133" t="s" s="0">
        <v>3363</v>
      </c>
      <c r="BJ133" t="s" s="0">
        <v>3364</v>
      </c>
      <c r="BK133" t="s" s="262">
        <f>HYPERLINK("http://dx.doi.org/10.1016/j.mtsust.2026.101410","http://dx.doi.org/10.1016/j.mtsust.2026.101410")</f>
        <v>3365</v>
      </c>
      <c r="BL133" t="s" s="0">
        <v>81</v>
      </c>
      <c r="BM133" t="s" s="0">
        <v>3366</v>
      </c>
      <c r="BN133" t="s" s="0">
        <v>109</v>
      </c>
      <c r="BO133" t="s" s="0">
        <v>3367</v>
      </c>
      <c r="BP133" t="s" s="0">
        <v>3368</v>
      </c>
      <c r="BQ133" t="s" s="0">
        <v>3369</v>
      </c>
      <c r="BR133" t="s" s="0">
        <v>81</v>
      </c>
      <c r="BS133" t="s" s="0">
        <v>3370</v>
      </c>
      <c r="BT133" t="s" s="263">
        <f>HYPERLINK("https://www.webofscience.com/wos/woscc/full-record/WOS:001818429100001","View Record in Web of Science")</f>
        <v>114</v>
      </c>
      <c r="BU133" t="s" s="0">
        <v>115</v>
      </c>
      <c r="BV133" t="s" s="0">
        <v>81</v>
      </c>
      <c r="BW133" t="s" s="0">
        <v>81</v>
      </c>
      <c r="BX133" t="s" s="0">
        <v>116</v>
      </c>
    </row>
    <row r="134">
      <c r="A134" t="s" s="0">
        <v>77</v>
      </c>
      <c r="B134" t="s" s="0">
        <v>77</v>
      </c>
      <c r="C134" t="s" s="0">
        <v>196</v>
      </c>
      <c r="D134" t="s" s="0">
        <v>77</v>
      </c>
      <c r="E134" t="s" s="0">
        <v>3371</v>
      </c>
      <c r="F134" t="s" s="0">
        <v>3372</v>
      </c>
      <c r="G134" t="s" s="0">
        <v>3373</v>
      </c>
      <c r="H134" t="s" s="0">
        <v>81</v>
      </c>
      <c r="I134" t="s" s="0">
        <v>82</v>
      </c>
      <c r="J134" t="s" s="0">
        <v>3374</v>
      </c>
      <c r="K134" t="s" s="0">
        <v>3375</v>
      </c>
      <c r="L134" t="s" s="0">
        <v>81</v>
      </c>
      <c r="M134" t="s" s="0">
        <v>81</v>
      </c>
      <c r="N134" t="s" s="0">
        <v>81</v>
      </c>
      <c r="O134" t="s" s="0">
        <v>3376</v>
      </c>
      <c r="P134" t="s" s="0">
        <v>3377</v>
      </c>
      <c r="Q134" t="s" s="0">
        <v>87</v>
      </c>
      <c r="R134" t="s" s="0">
        <v>81</v>
      </c>
      <c r="S134" t="s" s="0">
        <v>81</v>
      </c>
      <c r="T134" t="s" s="0">
        <v>81</v>
      </c>
      <c r="U134" t="s" s="0">
        <v>81</v>
      </c>
      <c r="V134" t="s" s="0">
        <v>3378</v>
      </c>
      <c r="W134" t="s" s="0">
        <v>910</v>
      </c>
      <c r="X134" t="s" s="0">
        <v>81</v>
      </c>
      <c r="Y134" t="s" s="0">
        <v>81</v>
      </c>
      <c r="Z134" t="s" s="0">
        <v>90</v>
      </c>
      <c r="AA134" t="s" s="0">
        <v>91</v>
      </c>
      <c r="AB134" t="s" s="0">
        <v>81</v>
      </c>
      <c r="AC134" t="s" s="0">
        <v>81</v>
      </c>
      <c r="AD134" t="s" s="0">
        <v>81</v>
      </c>
      <c r="AE134" t="s" s="0">
        <v>81</v>
      </c>
      <c r="AF134" t="s" s="0">
        <v>81</v>
      </c>
      <c r="AG134" t="s" s="0">
        <v>3379</v>
      </c>
      <c r="AH134" t="s" s="0">
        <v>3380</v>
      </c>
      <c r="AI134" t="s" s="0">
        <v>3381</v>
      </c>
      <c r="AJ134" t="s" s="0">
        <v>3382</v>
      </c>
      <c r="AK134" t="s" s="0">
        <v>81</v>
      </c>
      <c r="AL134" t="s" s="0">
        <v>324</v>
      </c>
      <c r="AM134" t="s" s="0">
        <v>261</v>
      </c>
      <c r="AN134" t="s" s="0">
        <v>211</v>
      </c>
      <c r="AO134" t="s" s="0">
        <v>196</v>
      </c>
      <c r="AP134" t="s" s="0">
        <v>133</v>
      </c>
      <c r="AQ134" t="s" s="0">
        <v>915</v>
      </c>
      <c r="AR134" t="s" s="0">
        <v>916</v>
      </c>
      <c r="AS134" t="s" s="0">
        <v>917</v>
      </c>
      <c r="AT134" t="s" s="0">
        <v>918</v>
      </c>
      <c r="AU134" t="s" s="0">
        <v>81</v>
      </c>
      <c r="AV134" t="s" s="0">
        <v>81</v>
      </c>
      <c r="AW134" t="s" s="0">
        <v>919</v>
      </c>
      <c r="AX134" t="s" s="0">
        <v>920</v>
      </c>
      <c r="AY134" t="s" s="0">
        <v>3383</v>
      </c>
      <c r="AZ134" t="s" s="0">
        <v>290</v>
      </c>
      <c r="BA134" t="s" s="0">
        <v>291</v>
      </c>
      <c r="BB134" t="s" s="0">
        <v>97</v>
      </c>
      <c r="BC134" t="s" s="0">
        <v>81</v>
      </c>
      <c r="BD134" t="s" s="0">
        <v>81</v>
      </c>
      <c r="BE134" t="s" s="0">
        <v>81</v>
      </c>
      <c r="BF134" t="s" s="0">
        <v>81</v>
      </c>
      <c r="BG134" t="s" s="0">
        <v>81</v>
      </c>
      <c r="BH134" t="s" s="0">
        <v>81</v>
      </c>
      <c r="BI134" t="s" s="0">
        <v>3384</v>
      </c>
      <c r="BJ134" t="s" s="0">
        <v>3385</v>
      </c>
      <c r="BK134" t="s" s="264">
        <f>HYPERLINK("http://dx.doi.org/10.1038/s41598-025-19905-8","http://dx.doi.org/10.1038/s41598-025-19905-8")</f>
        <v>3386</v>
      </c>
      <c r="BL134" t="s" s="0">
        <v>81</v>
      </c>
      <c r="BM134" t="s" s="0">
        <v>81</v>
      </c>
      <c r="BN134" t="s" s="0">
        <v>671</v>
      </c>
      <c r="BO134" t="s" s="0">
        <v>926</v>
      </c>
      <c r="BP134" t="s" s="0">
        <v>927</v>
      </c>
      <c r="BQ134" t="s" s="0">
        <v>3387</v>
      </c>
      <c r="BR134" t="s" s="0">
        <v>3388</v>
      </c>
      <c r="BS134" t="s" s="0">
        <v>3389</v>
      </c>
      <c r="BT134" t="s" s="265">
        <f>HYPERLINK("https://www.webofscience.com/wos/woscc/full-record/WOS:001596279600032","View Record in Web of Science")</f>
        <v>114</v>
      </c>
      <c r="BU134" t="s" s="0">
        <v>301</v>
      </c>
      <c r="BV134" t="s" s="0">
        <v>81</v>
      </c>
      <c r="BW134" t="s" s="0">
        <v>81</v>
      </c>
      <c r="BX134" t="s" s="0">
        <v>116</v>
      </c>
    </row>
    <row r="135">
      <c r="A135" t="s" s="0">
        <v>77</v>
      </c>
      <c r="B135" t="s" s="0">
        <v>77</v>
      </c>
      <c r="C135" t="s" s="0">
        <v>77</v>
      </c>
      <c r="D135" t="s" s="0">
        <v>77</v>
      </c>
      <c r="E135" t="s" s="0">
        <v>3390</v>
      </c>
      <c r="F135" t="s" s="0">
        <v>3391</v>
      </c>
      <c r="G135" t="s" s="0">
        <v>3392</v>
      </c>
      <c r="H135" t="s" s="0">
        <v>81</v>
      </c>
      <c r="I135" t="s" s="0">
        <v>238</v>
      </c>
      <c r="J135" t="s" s="0">
        <v>3393</v>
      </c>
      <c r="K135" t="s" s="0">
        <v>3394</v>
      </c>
      <c r="L135" t="s" s="0">
        <v>81</v>
      </c>
      <c r="M135" t="s" s="0">
        <v>81</v>
      </c>
      <c r="N135" t="s" s="0">
        <v>81</v>
      </c>
      <c r="O135" t="s" s="0">
        <v>3395</v>
      </c>
      <c r="P135" t="s" s="0">
        <v>3396</v>
      </c>
      <c r="Q135" t="s" s="0">
        <v>87</v>
      </c>
      <c r="R135" t="s" s="0">
        <v>81</v>
      </c>
      <c r="S135" t="s" s="0">
        <v>81</v>
      </c>
      <c r="T135" t="s" s="0">
        <v>81</v>
      </c>
      <c r="U135" t="s" s="0">
        <v>81</v>
      </c>
      <c r="V135" t="s" s="0">
        <v>3397</v>
      </c>
      <c r="W135" t="s" s="0">
        <v>3398</v>
      </c>
      <c r="X135" t="s" s="0">
        <v>81</v>
      </c>
      <c r="Y135" t="s" s="0">
        <v>81</v>
      </c>
      <c r="Z135" t="s" s="0">
        <v>90</v>
      </c>
      <c r="AA135" t="s" s="0">
        <v>91</v>
      </c>
      <c r="AB135" t="s" s="0">
        <v>81</v>
      </c>
      <c r="AC135" t="s" s="0">
        <v>81</v>
      </c>
      <c r="AD135" t="s" s="0">
        <v>81</v>
      </c>
      <c r="AE135" t="s" s="0">
        <v>81</v>
      </c>
      <c r="AF135" t="s" s="0">
        <v>81</v>
      </c>
      <c r="AG135" t="s" s="0">
        <v>81</v>
      </c>
      <c r="AH135" t="s" s="0">
        <v>3399</v>
      </c>
      <c r="AI135" t="s" s="0">
        <v>3400</v>
      </c>
      <c r="AJ135" t="s" s="0">
        <v>3401</v>
      </c>
      <c r="AK135" t="s" s="0">
        <v>81</v>
      </c>
      <c r="AL135" t="s" s="0">
        <v>890</v>
      </c>
      <c r="AM135" t="s" s="0">
        <v>196</v>
      </c>
      <c r="AN135" t="s" s="0">
        <v>175</v>
      </c>
      <c r="AO135" t="s" s="0">
        <v>156</v>
      </c>
      <c r="AP135" t="s" s="0">
        <v>156</v>
      </c>
      <c r="AQ135" t="s" s="0">
        <v>136</v>
      </c>
      <c r="AR135" t="s" s="0">
        <v>137</v>
      </c>
      <c r="AS135" t="s" s="0">
        <v>138</v>
      </c>
      <c r="AT135" t="s" s="0">
        <v>81</v>
      </c>
      <c r="AU135" t="s" s="0">
        <v>3402</v>
      </c>
      <c r="AV135" t="s" s="0">
        <v>81</v>
      </c>
      <c r="AW135" t="s" s="0">
        <v>3403</v>
      </c>
      <c r="AX135" t="s" s="0">
        <v>3404</v>
      </c>
      <c r="AY135" t="s" s="0">
        <v>2353</v>
      </c>
      <c r="AZ135" t="s" s="0">
        <v>290</v>
      </c>
      <c r="BA135" t="s" s="0">
        <v>196</v>
      </c>
      <c r="BB135" t="s" s="0">
        <v>175</v>
      </c>
      <c r="BC135" t="s" s="0">
        <v>81</v>
      </c>
      <c r="BD135" t="s" s="0">
        <v>81</v>
      </c>
      <c r="BE135" t="s" s="0">
        <v>81</v>
      </c>
      <c r="BF135" t="s" s="0">
        <v>81</v>
      </c>
      <c r="BG135" t="s" s="0">
        <v>81</v>
      </c>
      <c r="BH135" t="s" s="0">
        <v>81</v>
      </c>
      <c r="BI135" t="s" s="0">
        <v>3405</v>
      </c>
      <c r="BJ135" t="s" s="0">
        <v>3406</v>
      </c>
      <c r="BK135" t="s" s="266">
        <f>HYPERLINK("http://dx.doi.org/10.1016/j.mcpdig.2025.100294","http://dx.doi.org/10.1016/j.mcpdig.2025.100294")</f>
        <v>3407</v>
      </c>
      <c r="BL135" t="s" s="0">
        <v>81</v>
      </c>
      <c r="BM135" t="s" s="0">
        <v>1743</v>
      </c>
      <c r="BN135" t="s" s="0">
        <v>486</v>
      </c>
      <c r="BO135" t="s" s="0">
        <v>792</v>
      </c>
      <c r="BP135" t="s" s="0">
        <v>792</v>
      </c>
      <c r="BQ135" t="s" s="0">
        <v>3408</v>
      </c>
      <c r="BR135" t="s" s="0">
        <v>3409</v>
      </c>
      <c r="BS135" t="s" s="0">
        <v>3410</v>
      </c>
      <c r="BT135" t="s" s="267">
        <f>HYPERLINK("https://www.webofscience.com/wos/woscc/full-record/WOS:001612123700001","View Record in Web of Science")</f>
        <v>114</v>
      </c>
      <c r="BU135" t="s" s="0">
        <v>301</v>
      </c>
      <c r="BV135" t="s" s="0">
        <v>81</v>
      </c>
      <c r="BW135" t="s" s="0">
        <v>81</v>
      </c>
      <c r="BX135" t="s" s="0">
        <v>116</v>
      </c>
    </row>
    <row r="136">
      <c r="A136" t="s" s="0">
        <v>77</v>
      </c>
      <c r="B136" t="s" s="0">
        <v>77</v>
      </c>
      <c r="C136" t="s" s="0">
        <v>97</v>
      </c>
      <c r="D136" t="s" s="0">
        <v>77</v>
      </c>
      <c r="E136" t="s" s="0">
        <v>3411</v>
      </c>
      <c r="F136" t="s" s="0">
        <v>3412</v>
      </c>
      <c r="G136" t="s" s="0">
        <v>3413</v>
      </c>
      <c r="H136" t="s" s="0">
        <v>81</v>
      </c>
      <c r="I136" t="s" s="0">
        <v>82</v>
      </c>
      <c r="J136" t="s" s="0">
        <v>3414</v>
      </c>
      <c r="K136" t="s" s="0">
        <v>3415</v>
      </c>
      <c r="L136" t="s" s="0">
        <v>3416</v>
      </c>
      <c r="M136" t="s" s="0">
        <v>3417</v>
      </c>
      <c r="N136" t="s" s="0">
        <v>3418</v>
      </c>
      <c r="O136" t="s" s="0">
        <v>3419</v>
      </c>
      <c r="P136" t="s" s="0">
        <v>3420</v>
      </c>
      <c r="Q136" t="s" s="0">
        <v>87</v>
      </c>
      <c r="R136" t="s" s="0">
        <v>81</v>
      </c>
      <c r="S136" t="s" s="0">
        <v>81</v>
      </c>
      <c r="T136" t="s" s="0">
        <v>81</v>
      </c>
      <c r="U136" t="s" s="0">
        <v>81</v>
      </c>
      <c r="V136" t="s" s="0">
        <v>3421</v>
      </c>
      <c r="W136" t="s" s="0">
        <v>2070</v>
      </c>
      <c r="X136" t="s" s="0">
        <v>81</v>
      </c>
      <c r="Y136" t="s" s="0">
        <v>81</v>
      </c>
      <c r="Z136" t="s" s="0">
        <v>90</v>
      </c>
      <c r="AA136" t="s" s="0">
        <v>91</v>
      </c>
      <c r="AB136" t="s" s="0">
        <v>81</v>
      </c>
      <c r="AC136" t="s" s="0">
        <v>81</v>
      </c>
      <c r="AD136" t="s" s="0">
        <v>81</v>
      </c>
      <c r="AE136" t="s" s="0">
        <v>81</v>
      </c>
      <c r="AF136" t="s" s="0">
        <v>81</v>
      </c>
      <c r="AG136" t="s" s="0">
        <v>3422</v>
      </c>
      <c r="AH136" t="s" s="0">
        <v>81</v>
      </c>
      <c r="AI136" t="s" s="0">
        <v>3423</v>
      </c>
      <c r="AJ136" t="s" s="0">
        <v>3424</v>
      </c>
      <c r="AK136" t="s" s="0">
        <v>81</v>
      </c>
      <c r="AL136" t="s" s="0">
        <v>2447</v>
      </c>
      <c r="AM136" t="s" s="0">
        <v>486</v>
      </c>
      <c r="AN136" t="s" s="0">
        <v>104</v>
      </c>
      <c r="AO136" t="s" s="0">
        <v>175</v>
      </c>
      <c r="AP136" t="s" s="0">
        <v>1883</v>
      </c>
      <c r="AQ136" t="s" s="0">
        <v>177</v>
      </c>
      <c r="AR136" t="s" s="0">
        <v>178</v>
      </c>
      <c r="AS136" t="s" s="0">
        <v>179</v>
      </c>
      <c r="AT136" t="s" s="0">
        <v>2073</v>
      </c>
      <c r="AU136" t="s" s="0">
        <v>2074</v>
      </c>
      <c r="AV136" t="s" s="0">
        <v>81</v>
      </c>
      <c r="AW136" t="s" s="0">
        <v>2075</v>
      </c>
      <c r="AX136" t="s" s="0">
        <v>2076</v>
      </c>
      <c r="AY136" t="s" s="0">
        <v>190</v>
      </c>
      <c r="AZ136" t="s" s="0">
        <v>185</v>
      </c>
      <c r="BA136" t="s" s="0">
        <v>3425</v>
      </c>
      <c r="BB136" t="s" s="0">
        <v>81</v>
      </c>
      <c r="BC136" t="s" s="0">
        <v>81</v>
      </c>
      <c r="BD136" t="s" s="0">
        <v>145</v>
      </c>
      <c r="BE136" t="s" s="0">
        <v>81</v>
      </c>
      <c r="BF136" t="s" s="0">
        <v>81</v>
      </c>
      <c r="BG136" t="s" s="0">
        <v>81</v>
      </c>
      <c r="BH136" t="s" s="0">
        <v>81</v>
      </c>
      <c r="BI136" t="s" s="0">
        <v>3426</v>
      </c>
      <c r="BJ136" t="s" s="0">
        <v>3427</v>
      </c>
      <c r="BK136" t="s" s="268">
        <f>HYPERLINK("http://dx.doi.org/10.1016/j.bspc.2023.105646","http://dx.doi.org/10.1016/j.bspc.2023.105646")</f>
        <v>3428</v>
      </c>
      <c r="BL136" t="s" s="0">
        <v>81</v>
      </c>
      <c r="BM136" t="s" s="0">
        <v>2577</v>
      </c>
      <c r="BN136" t="s" s="0">
        <v>191</v>
      </c>
      <c r="BO136" t="s" s="0">
        <v>2082</v>
      </c>
      <c r="BP136" t="s" s="0">
        <v>1003</v>
      </c>
      <c r="BQ136" t="s" s="0">
        <v>3429</v>
      </c>
      <c r="BR136" t="s" s="0">
        <v>81</v>
      </c>
      <c r="BS136" t="s" s="0">
        <v>3430</v>
      </c>
      <c r="BT136" t="s" s="269">
        <f>HYPERLINK("https://www.webofscience.com/wos/woscc/full-record/WOS:001092845100001","View Record in Web of Science")</f>
        <v>114</v>
      </c>
      <c r="BU136" t="s" s="0">
        <v>81</v>
      </c>
      <c r="BV136" t="s" s="0">
        <v>81</v>
      </c>
      <c r="BW136" t="s" s="0">
        <v>81</v>
      </c>
      <c r="BX136" t="s" s="0">
        <v>116</v>
      </c>
    </row>
    <row r="137">
      <c r="A137" t="s" s="0">
        <v>77</v>
      </c>
      <c r="B137" t="s" s="0">
        <v>77</v>
      </c>
      <c r="C137" t="s" s="0">
        <v>77</v>
      </c>
      <c r="D137" t="s" s="0">
        <v>77</v>
      </c>
      <c r="E137" t="s" s="0">
        <v>952</v>
      </c>
      <c r="F137" t="s" s="0">
        <v>3431</v>
      </c>
      <c r="G137" t="s" s="0">
        <v>954</v>
      </c>
      <c r="H137" t="s" s="0">
        <v>81</v>
      </c>
      <c r="I137" t="s" s="0">
        <v>82</v>
      </c>
      <c r="J137" t="s" s="0">
        <v>3432</v>
      </c>
      <c r="K137" t="s" s="0">
        <v>956</v>
      </c>
      <c r="L137" t="s" s="0">
        <v>81</v>
      </c>
      <c r="M137" t="s" s="0">
        <v>81</v>
      </c>
      <c r="N137" t="s" s="0">
        <v>81</v>
      </c>
      <c r="O137" t="s" s="0">
        <v>3433</v>
      </c>
      <c r="P137" t="s" s="0">
        <v>958</v>
      </c>
      <c r="Q137" t="s" s="0">
        <v>87</v>
      </c>
      <c r="R137" t="s" s="0">
        <v>81</v>
      </c>
      <c r="S137" t="s" s="0">
        <v>81</v>
      </c>
      <c r="T137" t="s" s="0">
        <v>81</v>
      </c>
      <c r="U137" t="s" s="0">
        <v>81</v>
      </c>
      <c r="V137" t="s" s="0">
        <v>3434</v>
      </c>
      <c r="W137" t="s" s="0">
        <v>3435</v>
      </c>
      <c r="X137" t="s" s="0">
        <v>81</v>
      </c>
      <c r="Y137" t="s" s="0">
        <v>81</v>
      </c>
      <c r="Z137" t="s" s="0">
        <v>90</v>
      </c>
      <c r="AA137" t="s" s="0">
        <v>91</v>
      </c>
      <c r="AB137" t="s" s="0">
        <v>81</v>
      </c>
      <c r="AC137" t="s" s="0">
        <v>81</v>
      </c>
      <c r="AD137" t="s" s="0">
        <v>81</v>
      </c>
      <c r="AE137" t="s" s="0">
        <v>81</v>
      </c>
      <c r="AF137" t="s" s="0">
        <v>81</v>
      </c>
      <c r="AG137" t="s" s="0">
        <v>3436</v>
      </c>
      <c r="AH137" t="s" s="0">
        <v>3437</v>
      </c>
      <c r="AI137" t="s" s="0">
        <v>3438</v>
      </c>
      <c r="AJ137" t="s" s="0">
        <v>81</v>
      </c>
      <c r="AK137" t="s" s="0">
        <v>81</v>
      </c>
      <c r="AL137" t="s" s="0">
        <v>890</v>
      </c>
      <c r="AM137" t="s" s="0">
        <v>77</v>
      </c>
      <c r="AN137" t="s" s="0">
        <v>77</v>
      </c>
      <c r="AO137" t="s" s="0">
        <v>97</v>
      </c>
      <c r="AP137" t="s" s="0">
        <v>97</v>
      </c>
      <c r="AQ137" t="s" s="0">
        <v>636</v>
      </c>
      <c r="AR137" t="s" s="0">
        <v>637</v>
      </c>
      <c r="AS137" t="s" s="0">
        <v>638</v>
      </c>
      <c r="AT137" t="s" s="0">
        <v>3439</v>
      </c>
      <c r="AU137" t="s" s="0">
        <v>3440</v>
      </c>
      <c r="AV137" t="s" s="0">
        <v>81</v>
      </c>
      <c r="AW137" t="s" s="0">
        <v>3441</v>
      </c>
      <c r="AX137" t="s" s="0">
        <v>3442</v>
      </c>
      <c r="AY137" t="s" s="0">
        <v>3443</v>
      </c>
      <c r="AZ137" t="s" s="0">
        <v>103</v>
      </c>
      <c r="BA137" t="s" s="0">
        <v>485</v>
      </c>
      <c r="BB137" t="s" s="0">
        <v>316</v>
      </c>
      <c r="BC137" t="s" s="0">
        <v>81</v>
      </c>
      <c r="BD137" t="s" s="0">
        <v>81</v>
      </c>
      <c r="BE137" t="s" s="0">
        <v>81</v>
      </c>
      <c r="BF137" t="s" s="0">
        <v>81</v>
      </c>
      <c r="BG137" t="s" s="0">
        <v>3444</v>
      </c>
      <c r="BH137" t="s" s="0">
        <v>3445</v>
      </c>
      <c r="BI137" t="s" s="0">
        <v>81</v>
      </c>
      <c r="BJ137" t="s" s="0">
        <v>3446</v>
      </c>
      <c r="BK137" t="s" s="270">
        <f>HYPERLINK("http://dx.doi.org/10.1080/17512433.2026.2682286","http://dx.doi.org/10.1080/17512433.2026.2682286")</f>
        <v>3447</v>
      </c>
      <c r="BL137" t="s" s="0">
        <v>81</v>
      </c>
      <c r="BM137" t="s" s="0">
        <v>849</v>
      </c>
      <c r="BN137" t="s" s="0">
        <v>104</v>
      </c>
      <c r="BO137" t="s" s="0">
        <v>973</v>
      </c>
      <c r="BP137" t="s" s="0">
        <v>973</v>
      </c>
      <c r="BQ137" t="s" s="0">
        <v>3448</v>
      </c>
      <c r="BR137" t="s" s="0">
        <v>3449</v>
      </c>
      <c r="BS137" t="s" s="0">
        <v>3450</v>
      </c>
      <c r="BT137" t="s" s="271">
        <f>HYPERLINK("https://www.webofscience.com/wos/woscc/full-record/WOS:001782837500001","View Record in Web of Science")</f>
        <v>114</v>
      </c>
      <c r="BU137" t="s" s="0">
        <v>81</v>
      </c>
      <c r="BV137" t="s" s="0">
        <v>81</v>
      </c>
      <c r="BW137" t="s" s="0">
        <v>81</v>
      </c>
      <c r="BX137" t="s" s="0">
        <v>116</v>
      </c>
    </row>
    <row r="138">
      <c r="A138" t="s" s="0">
        <v>77</v>
      </c>
      <c r="B138" t="s" s="0">
        <v>77</v>
      </c>
      <c r="C138" t="s" s="0">
        <v>77</v>
      </c>
      <c r="D138" t="s" s="0">
        <v>77</v>
      </c>
      <c r="E138" t="s" s="0">
        <v>3451</v>
      </c>
      <c r="F138" t="s" s="0">
        <v>3452</v>
      </c>
      <c r="G138" t="s" s="0">
        <v>3453</v>
      </c>
      <c r="H138" t="s" s="0">
        <v>81</v>
      </c>
      <c r="I138" t="s" s="0">
        <v>238</v>
      </c>
      <c r="J138" t="s" s="0">
        <v>3454</v>
      </c>
      <c r="K138" t="s" s="0">
        <v>3455</v>
      </c>
      <c r="L138" t="s" s="0">
        <v>3456</v>
      </c>
      <c r="M138" t="s" s="0">
        <v>3456</v>
      </c>
      <c r="N138" t="s" s="0">
        <v>3457</v>
      </c>
      <c r="O138" t="s" s="0">
        <v>3458</v>
      </c>
      <c r="P138" t="s" s="0">
        <v>3459</v>
      </c>
      <c r="Q138" t="s" s="0">
        <v>87</v>
      </c>
      <c r="R138" t="s" s="0">
        <v>81</v>
      </c>
      <c r="S138" t="s" s="0">
        <v>81</v>
      </c>
      <c r="T138" t="s" s="0">
        <v>81</v>
      </c>
      <c r="U138" t="s" s="0">
        <v>81</v>
      </c>
      <c r="V138" t="s" s="0">
        <v>3460</v>
      </c>
      <c r="W138" t="s" s="0">
        <v>1017</v>
      </c>
      <c r="X138" t="s" s="0">
        <v>81</v>
      </c>
      <c r="Y138" t="s" s="0">
        <v>81</v>
      </c>
      <c r="Z138" t="s" s="0">
        <v>90</v>
      </c>
      <c r="AA138" t="s" s="0">
        <v>91</v>
      </c>
      <c r="AB138" t="s" s="0">
        <v>81</v>
      </c>
      <c r="AC138" t="s" s="0">
        <v>81</v>
      </c>
      <c r="AD138" t="s" s="0">
        <v>81</v>
      </c>
      <c r="AE138" t="s" s="0">
        <v>81</v>
      </c>
      <c r="AF138" t="s" s="0">
        <v>81</v>
      </c>
      <c r="AG138" t="s" s="0">
        <v>3461</v>
      </c>
      <c r="AH138" t="s" s="0">
        <v>81</v>
      </c>
      <c r="AI138" t="s" s="0">
        <v>3462</v>
      </c>
      <c r="AJ138" t="s" s="0">
        <v>81</v>
      </c>
      <c r="AK138" t="s" s="0">
        <v>81</v>
      </c>
      <c r="AL138" t="s" s="0">
        <v>1049</v>
      </c>
      <c r="AM138" t="s" s="0">
        <v>77</v>
      </c>
      <c r="AN138" t="s" s="0">
        <v>77</v>
      </c>
      <c r="AO138" t="s" s="0">
        <v>156</v>
      </c>
      <c r="AP138" t="s" s="0">
        <v>156</v>
      </c>
      <c r="AQ138" t="s" s="0">
        <v>136</v>
      </c>
      <c r="AR138" t="s" s="0">
        <v>137</v>
      </c>
      <c r="AS138" t="s" s="0">
        <v>138</v>
      </c>
      <c r="AT138" t="s" s="0">
        <v>81</v>
      </c>
      <c r="AU138" t="s" s="0">
        <v>1022</v>
      </c>
      <c r="AV138" t="s" s="0">
        <v>81</v>
      </c>
      <c r="AW138" t="s" s="0">
        <v>1023</v>
      </c>
      <c r="AX138" t="s" s="0">
        <v>1024</v>
      </c>
      <c r="AY138" t="s" s="0">
        <v>143</v>
      </c>
      <c r="AZ138" t="s" s="0">
        <v>103</v>
      </c>
      <c r="BA138" t="s" s="0">
        <v>890</v>
      </c>
      <c r="BB138" t="s" s="0">
        <v>81</v>
      </c>
      <c r="BC138" t="s" s="0">
        <v>81</v>
      </c>
      <c r="BD138" t="s" s="0">
        <v>81</v>
      </c>
      <c r="BE138" t="s" s="0">
        <v>81</v>
      </c>
      <c r="BF138" t="s" s="0">
        <v>81</v>
      </c>
      <c r="BG138" t="s" s="0">
        <v>81</v>
      </c>
      <c r="BH138" t="s" s="0">
        <v>81</v>
      </c>
      <c r="BI138" t="s" s="0">
        <v>3463</v>
      </c>
      <c r="BJ138" t="s" s="0">
        <v>3464</v>
      </c>
      <c r="BK138" t="s" s="272">
        <f>HYPERLINK("http://dx.doi.org/10.1016/j.rineng.2026.109608","http://dx.doi.org/10.1016/j.rineng.2026.109608")</f>
        <v>3465</v>
      </c>
      <c r="BL138" t="s" s="0">
        <v>81</v>
      </c>
      <c r="BM138" t="s" s="0">
        <v>81</v>
      </c>
      <c r="BN138" t="s" s="0">
        <v>925</v>
      </c>
      <c r="BO138" t="s" s="0">
        <v>1002</v>
      </c>
      <c r="BP138" t="s" s="0">
        <v>1003</v>
      </c>
      <c r="BQ138" t="s" s="0">
        <v>3466</v>
      </c>
      <c r="BR138" t="s" s="0">
        <v>81</v>
      </c>
      <c r="BS138" t="s" s="0">
        <v>3467</v>
      </c>
      <c r="BT138" t="s" s="273">
        <f>HYPERLINK("https://www.webofscience.com/wos/woscc/full-record/WOS:001699329700002","View Record in Web of Science")</f>
        <v>114</v>
      </c>
      <c r="BU138" t="s" s="0">
        <v>115</v>
      </c>
      <c r="BV138" t="s" s="0">
        <v>81</v>
      </c>
      <c r="BW138" t="s" s="0">
        <v>81</v>
      </c>
      <c r="BX138" t="s" s="0">
        <v>116</v>
      </c>
    </row>
    <row r="139">
      <c r="A139" t="s" s="0">
        <v>97</v>
      </c>
      <c r="B139" t="s" s="0">
        <v>77</v>
      </c>
      <c r="C139" t="s" s="0">
        <v>133</v>
      </c>
      <c r="D139" t="s" s="0">
        <v>77</v>
      </c>
      <c r="E139" t="s" s="0">
        <v>3468</v>
      </c>
      <c r="F139" t="s" s="0">
        <v>3469</v>
      </c>
      <c r="G139" t="s" s="0">
        <v>3470</v>
      </c>
      <c r="H139" t="s" s="0">
        <v>81</v>
      </c>
      <c r="I139" t="s" s="0">
        <v>82</v>
      </c>
      <c r="J139" t="s" s="0">
        <v>3471</v>
      </c>
      <c r="K139" t="s" s="0">
        <v>3472</v>
      </c>
      <c r="L139" t="s" s="0">
        <v>3473</v>
      </c>
      <c r="M139" t="s" s="0">
        <v>3474</v>
      </c>
      <c r="N139" t="s" s="0">
        <v>3475</v>
      </c>
      <c r="O139" t="s" s="0">
        <v>3476</v>
      </c>
      <c r="P139" t="s" s="0">
        <v>3477</v>
      </c>
      <c r="Q139" t="s" s="0">
        <v>87</v>
      </c>
      <c r="R139" t="s" s="0">
        <v>81</v>
      </c>
      <c r="S139" t="s" s="0">
        <v>81</v>
      </c>
      <c r="T139" t="s" s="0">
        <v>81</v>
      </c>
      <c r="U139" t="s" s="0">
        <v>81</v>
      </c>
      <c r="V139" t="s" s="0">
        <v>3478</v>
      </c>
      <c r="W139" t="s" s="0">
        <v>910</v>
      </c>
      <c r="X139" t="s" s="0">
        <v>81</v>
      </c>
      <c r="Y139" t="s" s="0">
        <v>81</v>
      </c>
      <c r="Z139" t="s" s="0">
        <v>90</v>
      </c>
      <c r="AA139" t="s" s="0">
        <v>91</v>
      </c>
      <c r="AB139" t="s" s="0">
        <v>81</v>
      </c>
      <c r="AC139" t="s" s="0">
        <v>81</v>
      </c>
      <c r="AD139" t="s" s="0">
        <v>81</v>
      </c>
      <c r="AE139" t="s" s="0">
        <v>81</v>
      </c>
      <c r="AF139" t="s" s="0">
        <v>81</v>
      </c>
      <c r="AG139" t="s" s="0">
        <v>3479</v>
      </c>
      <c r="AH139" t="s" s="0">
        <v>3480</v>
      </c>
      <c r="AI139" t="s" s="0">
        <v>3481</v>
      </c>
      <c r="AJ139" t="s" s="0">
        <v>81</v>
      </c>
      <c r="AK139" t="s" s="0">
        <v>81</v>
      </c>
      <c r="AL139" t="s" s="0">
        <v>1207</v>
      </c>
      <c r="AM139" t="s" s="0">
        <v>544</v>
      </c>
      <c r="AN139" t="s" s="0">
        <v>782</v>
      </c>
      <c r="AO139" t="s" s="0">
        <v>1374</v>
      </c>
      <c r="AP139" t="s" s="0">
        <v>132</v>
      </c>
      <c r="AQ139" t="s" s="0">
        <v>915</v>
      </c>
      <c r="AR139" t="s" s="0">
        <v>916</v>
      </c>
      <c r="AS139" t="s" s="0">
        <v>917</v>
      </c>
      <c r="AT139" t="s" s="0">
        <v>918</v>
      </c>
      <c r="AU139" t="s" s="0">
        <v>81</v>
      </c>
      <c r="AV139" t="s" s="0">
        <v>81</v>
      </c>
      <c r="AW139" t="s" s="0">
        <v>919</v>
      </c>
      <c r="AX139" t="s" s="0">
        <v>920</v>
      </c>
      <c r="AY139" t="s" s="0">
        <v>921</v>
      </c>
      <c r="AZ139" t="s" s="0">
        <v>185</v>
      </c>
      <c r="BA139" t="s" s="0">
        <v>104</v>
      </c>
      <c r="BB139" t="s" s="0">
        <v>97</v>
      </c>
      <c r="BC139" t="s" s="0">
        <v>81</v>
      </c>
      <c r="BD139" t="s" s="0">
        <v>81</v>
      </c>
      <c r="BE139" t="s" s="0">
        <v>81</v>
      </c>
      <c r="BF139" t="s" s="0">
        <v>81</v>
      </c>
      <c r="BG139" t="s" s="0">
        <v>81</v>
      </c>
      <c r="BH139" t="s" s="0">
        <v>81</v>
      </c>
      <c r="BI139" t="s" s="0">
        <v>3482</v>
      </c>
      <c r="BJ139" t="s" s="0">
        <v>3483</v>
      </c>
      <c r="BK139" t="s" s="274">
        <f>HYPERLINK("http://dx.doi.org/10.1038/s41598-024-82501-9","http://dx.doi.org/10.1038/s41598-024-82501-9")</f>
        <v>3484</v>
      </c>
      <c r="BL139" t="s" s="0">
        <v>81</v>
      </c>
      <c r="BM139" t="s" s="0">
        <v>81</v>
      </c>
      <c r="BN139" t="s" s="0">
        <v>486</v>
      </c>
      <c r="BO139" t="s" s="0">
        <v>926</v>
      </c>
      <c r="BP139" t="s" s="0">
        <v>927</v>
      </c>
      <c r="BQ139" t="s" s="0">
        <v>3485</v>
      </c>
      <c r="BR139" t="s" s="0">
        <v>3486</v>
      </c>
      <c r="BS139" t="s" s="0">
        <v>3487</v>
      </c>
      <c r="BT139" t="s" s="275">
        <f>HYPERLINK("https://www.webofscience.com/wos/woscc/full-record/WOS:001386530100002","View Record in Web of Science")</f>
        <v>114</v>
      </c>
      <c r="BU139" t="s" s="0">
        <v>301</v>
      </c>
      <c r="BV139" t="s" s="0">
        <v>81</v>
      </c>
      <c r="BW139" t="s" s="0">
        <v>81</v>
      </c>
      <c r="BX139" t="s" s="0">
        <v>116</v>
      </c>
    </row>
    <row r="140">
      <c r="A140" t="s" s="0">
        <v>77</v>
      </c>
      <c r="B140" t="s" s="0">
        <v>77</v>
      </c>
      <c r="C140" t="s" s="0">
        <v>77</v>
      </c>
      <c r="D140" t="s" s="0">
        <v>77</v>
      </c>
      <c r="E140" t="s" s="0">
        <v>3488</v>
      </c>
      <c r="F140" t="s" s="0">
        <v>3489</v>
      </c>
      <c r="G140" t="s" s="0">
        <v>3490</v>
      </c>
      <c r="H140" t="s" s="0">
        <v>81</v>
      </c>
      <c r="I140" t="s" s="0">
        <v>82</v>
      </c>
      <c r="J140" t="s" s="0">
        <v>3491</v>
      </c>
      <c r="K140" t="s" s="0">
        <v>3492</v>
      </c>
      <c r="L140" t="s" s="0">
        <v>81</v>
      </c>
      <c r="M140" t="s" s="0">
        <v>81</v>
      </c>
      <c r="N140" t="s" s="0">
        <v>81</v>
      </c>
      <c r="O140" t="s" s="0">
        <v>3493</v>
      </c>
      <c r="P140" t="s" s="0">
        <v>3494</v>
      </c>
      <c r="Q140" t="s" s="0">
        <v>87</v>
      </c>
      <c r="R140" t="s" s="0">
        <v>81</v>
      </c>
      <c r="S140" t="s" s="0">
        <v>81</v>
      </c>
      <c r="T140" t="s" s="0">
        <v>81</v>
      </c>
      <c r="U140" t="s" s="0">
        <v>81</v>
      </c>
      <c r="V140" t="s" s="0">
        <v>3495</v>
      </c>
      <c r="W140" t="s" s="0">
        <v>1313</v>
      </c>
      <c r="X140" t="s" s="0">
        <v>81</v>
      </c>
      <c r="Y140" t="s" s="0">
        <v>81</v>
      </c>
      <c r="Z140" t="s" s="0">
        <v>90</v>
      </c>
      <c r="AA140" t="s" s="0">
        <v>91</v>
      </c>
      <c r="AB140" t="s" s="0">
        <v>81</v>
      </c>
      <c r="AC140" t="s" s="0">
        <v>81</v>
      </c>
      <c r="AD140" t="s" s="0">
        <v>81</v>
      </c>
      <c r="AE140" t="s" s="0">
        <v>81</v>
      </c>
      <c r="AF140" t="s" s="0">
        <v>81</v>
      </c>
      <c r="AG140" t="s" s="0">
        <v>81</v>
      </c>
      <c r="AH140" t="s" s="0">
        <v>81</v>
      </c>
      <c r="AI140" t="s" s="0">
        <v>3496</v>
      </c>
      <c r="AJ140" t="s" s="0">
        <v>3497</v>
      </c>
      <c r="AK140" t="s" s="0">
        <v>81</v>
      </c>
      <c r="AL140" t="s" s="0">
        <v>1684</v>
      </c>
      <c r="AM140" t="s" s="0">
        <v>97</v>
      </c>
      <c r="AN140" t="s" s="0">
        <v>156</v>
      </c>
      <c r="AO140" t="s" s="0">
        <v>133</v>
      </c>
      <c r="AP140" t="s" s="0">
        <v>234</v>
      </c>
      <c r="AQ140" t="s" s="0">
        <v>1317</v>
      </c>
      <c r="AR140" t="s" s="0">
        <v>1318</v>
      </c>
      <c r="AS140" t="s" s="0">
        <v>1319</v>
      </c>
      <c r="AT140" t="s" s="0">
        <v>81</v>
      </c>
      <c r="AU140" t="s" s="0">
        <v>1320</v>
      </c>
      <c r="AV140" t="s" s="0">
        <v>81</v>
      </c>
      <c r="AW140" t="s" s="0">
        <v>1313</v>
      </c>
      <c r="AX140" t="s" s="0">
        <v>1321</v>
      </c>
      <c r="AY140" t="s" s="0">
        <v>3498</v>
      </c>
      <c r="AZ140" t="s" s="0">
        <v>290</v>
      </c>
      <c r="BA140" t="s" s="0">
        <v>295</v>
      </c>
      <c r="BB140" t="s" s="0">
        <v>234</v>
      </c>
      <c r="BC140" t="s" s="0">
        <v>81</v>
      </c>
      <c r="BD140" t="s" s="0">
        <v>81</v>
      </c>
      <c r="BE140" t="s" s="0">
        <v>81</v>
      </c>
      <c r="BF140" t="s" s="0">
        <v>81</v>
      </c>
      <c r="BG140" t="s" s="0">
        <v>81</v>
      </c>
      <c r="BH140" t="s" s="0">
        <v>81</v>
      </c>
      <c r="BI140" t="s" s="0">
        <v>3499</v>
      </c>
      <c r="BJ140" t="s" s="0">
        <v>3500</v>
      </c>
      <c r="BK140" t="s" s="276">
        <f>HYPERLINK("http://dx.doi.org/10.1371/journal.pone.0324957","http://dx.doi.org/10.1371/journal.pone.0324957")</f>
        <v>3501</v>
      </c>
      <c r="BL140" t="s" s="0">
        <v>81</v>
      </c>
      <c r="BM140" t="s" s="0">
        <v>81</v>
      </c>
      <c r="BN140" t="s" s="0">
        <v>874</v>
      </c>
      <c r="BO140" t="s" s="0">
        <v>926</v>
      </c>
      <c r="BP140" t="s" s="0">
        <v>927</v>
      </c>
      <c r="BQ140" t="s" s="0">
        <v>3502</v>
      </c>
      <c r="BR140" t="s" s="0">
        <v>3503</v>
      </c>
      <c r="BS140" t="s" s="0">
        <v>3504</v>
      </c>
      <c r="BT140" t="s" s="277">
        <f>HYPERLINK("https://www.webofscience.com/wos/woscc/full-record/WOS:001554553900003","View Record in Web of Science")</f>
        <v>114</v>
      </c>
      <c r="BU140" t="s" s="0">
        <v>301</v>
      </c>
      <c r="BV140" t="s" s="0">
        <v>81</v>
      </c>
      <c r="BW140" t="s" s="0">
        <v>81</v>
      </c>
      <c r="BX140" t="s" s="0">
        <v>116</v>
      </c>
    </row>
    <row r="141">
      <c r="A141" t="s" s="0">
        <v>77</v>
      </c>
      <c r="B141" t="s" s="0">
        <v>77</v>
      </c>
      <c r="C141" t="s" s="0">
        <v>104</v>
      </c>
      <c r="D141" t="s" s="0">
        <v>77</v>
      </c>
      <c r="E141" t="s" s="0">
        <v>3505</v>
      </c>
      <c r="F141" t="s" s="0">
        <v>3506</v>
      </c>
      <c r="G141" t="s" s="0">
        <v>3507</v>
      </c>
      <c r="H141" t="s" s="0">
        <v>81</v>
      </c>
      <c r="I141" t="s" s="0">
        <v>82</v>
      </c>
      <c r="J141" t="s" s="0">
        <v>3508</v>
      </c>
      <c r="K141" t="s" s="0">
        <v>3509</v>
      </c>
      <c r="L141" t="s" s="0">
        <v>3510</v>
      </c>
      <c r="M141" t="s" s="0">
        <v>3510</v>
      </c>
      <c r="N141" t="s" s="0">
        <v>335</v>
      </c>
      <c r="O141" t="s" s="0">
        <v>3511</v>
      </c>
      <c r="P141" t="s" s="0">
        <v>3512</v>
      </c>
      <c r="Q141" t="s" s="0">
        <v>87</v>
      </c>
      <c r="R141" t="s" s="0">
        <v>81</v>
      </c>
      <c r="S141" t="s" s="0">
        <v>81</v>
      </c>
      <c r="T141" t="s" s="0">
        <v>81</v>
      </c>
      <c r="U141" t="s" s="0">
        <v>81</v>
      </c>
      <c r="V141" t="s" s="0">
        <v>3513</v>
      </c>
      <c r="W141" t="s" s="0">
        <v>89</v>
      </c>
      <c r="X141" t="s" s="0">
        <v>81</v>
      </c>
      <c r="Y141" t="s" s="0">
        <v>81</v>
      </c>
      <c r="Z141" t="s" s="0">
        <v>90</v>
      </c>
      <c r="AA141" t="s" s="0">
        <v>91</v>
      </c>
      <c r="AB141" t="s" s="0">
        <v>81</v>
      </c>
      <c r="AC141" t="s" s="0">
        <v>81</v>
      </c>
      <c r="AD141" t="s" s="0">
        <v>81</v>
      </c>
      <c r="AE141" t="s" s="0">
        <v>81</v>
      </c>
      <c r="AF141" t="s" s="0">
        <v>81</v>
      </c>
      <c r="AG141" t="s" s="0">
        <v>3514</v>
      </c>
      <c r="AH141" t="s" s="0">
        <v>3515</v>
      </c>
      <c r="AI141" t="s" s="0">
        <v>3516</v>
      </c>
      <c r="AJ141" t="s" s="0">
        <v>3517</v>
      </c>
      <c r="AK141" t="s" s="0">
        <v>81</v>
      </c>
      <c r="AL141" t="s" s="0">
        <v>1116</v>
      </c>
      <c r="AM141" t="s" s="0">
        <v>664</v>
      </c>
      <c r="AN141" t="s" s="0">
        <v>3518</v>
      </c>
      <c r="AO141" t="s" s="0">
        <v>97</v>
      </c>
      <c r="AP141" t="s" s="0">
        <v>222</v>
      </c>
      <c r="AQ141" t="s" s="0">
        <v>98</v>
      </c>
      <c r="AR141" t="s" s="0">
        <v>99</v>
      </c>
      <c r="AS141" t="s" s="0">
        <v>100</v>
      </c>
      <c r="AT141" t="s" s="0">
        <v>101</v>
      </c>
      <c r="AU141" t="s" s="0">
        <v>81</v>
      </c>
      <c r="AV141" t="s" s="0">
        <v>81</v>
      </c>
      <c r="AW141" t="s" s="0">
        <v>89</v>
      </c>
      <c r="AX141" t="s" s="0">
        <v>102</v>
      </c>
      <c r="AY141" t="s" s="0">
        <v>185</v>
      </c>
      <c r="AZ141" t="s" s="0">
        <v>185</v>
      </c>
      <c r="BA141" t="s" s="0">
        <v>134</v>
      </c>
      <c r="BB141" t="s" s="0">
        <v>81</v>
      </c>
      <c r="BC141" t="s" s="0">
        <v>81</v>
      </c>
      <c r="BD141" t="s" s="0">
        <v>81</v>
      </c>
      <c r="BE141" t="s" s="0">
        <v>81</v>
      </c>
      <c r="BF141" t="s" s="0">
        <v>81</v>
      </c>
      <c r="BG141" t="s" s="0">
        <v>3519</v>
      </c>
      <c r="BH141" t="s" s="0">
        <v>3520</v>
      </c>
      <c r="BI141" t="s" s="0">
        <v>81</v>
      </c>
      <c r="BJ141" t="s" s="0">
        <v>3521</v>
      </c>
      <c r="BK141" t="s" s="278">
        <f>HYPERLINK("http://dx.doi.org/10.1109/ACCESS.2024.3402818","http://dx.doi.org/10.1109/ACCESS.2024.3402818")</f>
        <v>3522</v>
      </c>
      <c r="BL141" t="s" s="0">
        <v>81</v>
      </c>
      <c r="BM141" t="s" s="0">
        <v>81</v>
      </c>
      <c r="BN141" t="s" s="0">
        <v>671</v>
      </c>
      <c r="BO141" t="s" s="0">
        <v>110</v>
      </c>
      <c r="BP141" t="s" s="0">
        <v>111</v>
      </c>
      <c r="BQ141" t="s" s="0">
        <v>3523</v>
      </c>
      <c r="BR141" t="s" s="0">
        <v>81</v>
      </c>
      <c r="BS141" t="s" s="0">
        <v>3524</v>
      </c>
      <c r="BT141" t="s" s="279">
        <f>HYPERLINK("https://www.webofscience.com/wos/woscc/full-record/WOS:001241545600001","View Record in Web of Science")</f>
        <v>114</v>
      </c>
      <c r="BU141" t="s" s="0">
        <v>301</v>
      </c>
      <c r="BV141" t="s" s="0">
        <v>81</v>
      </c>
      <c r="BW141" t="s" s="0">
        <v>81</v>
      </c>
      <c r="BX141" t="s" s="0">
        <v>116</v>
      </c>
    </row>
    <row r="142">
      <c r="A142" t="s" s="0">
        <v>77</v>
      </c>
      <c r="B142" t="s" s="0">
        <v>77</v>
      </c>
      <c r="C142" t="s" s="0">
        <v>77</v>
      </c>
      <c r="D142" t="s" s="0">
        <v>77</v>
      </c>
      <c r="E142" t="s" s="0">
        <v>3525</v>
      </c>
      <c r="F142" t="s" s="0">
        <v>3526</v>
      </c>
      <c r="G142" t="s" s="0">
        <v>3527</v>
      </c>
      <c r="H142" t="s" s="0">
        <v>81</v>
      </c>
      <c r="I142" t="s" s="0">
        <v>238</v>
      </c>
      <c r="J142" t="s" s="0">
        <v>3528</v>
      </c>
      <c r="K142" t="s" s="0">
        <v>3529</v>
      </c>
      <c r="L142" t="s" s="0">
        <v>3530</v>
      </c>
      <c r="M142" t="s" s="0">
        <v>3531</v>
      </c>
      <c r="N142" t="s" s="0">
        <v>3532</v>
      </c>
      <c r="O142" t="s" s="0">
        <v>3533</v>
      </c>
      <c r="P142" t="s" s="0">
        <v>3534</v>
      </c>
      <c r="Q142" t="s" s="0">
        <v>87</v>
      </c>
      <c r="R142" t="s" s="0">
        <v>81</v>
      </c>
      <c r="S142" t="s" s="0">
        <v>81</v>
      </c>
      <c r="T142" t="s" s="0">
        <v>81</v>
      </c>
      <c r="U142" t="s" s="0">
        <v>81</v>
      </c>
      <c r="V142" t="s" s="0">
        <v>3535</v>
      </c>
      <c r="W142" t="s" s="0">
        <v>3536</v>
      </c>
      <c r="X142" t="s" s="0">
        <v>81</v>
      </c>
      <c r="Y142" t="s" s="0">
        <v>81</v>
      </c>
      <c r="Z142" t="s" s="0">
        <v>90</v>
      </c>
      <c r="AA142" t="s" s="0">
        <v>91</v>
      </c>
      <c r="AB142" t="s" s="0">
        <v>81</v>
      </c>
      <c r="AC142" t="s" s="0">
        <v>81</v>
      </c>
      <c r="AD142" t="s" s="0">
        <v>81</v>
      </c>
      <c r="AE142" t="s" s="0">
        <v>81</v>
      </c>
      <c r="AF142" t="s" s="0">
        <v>81</v>
      </c>
      <c r="AG142" t="s" s="0">
        <v>3537</v>
      </c>
      <c r="AH142" t="s" s="0">
        <v>81</v>
      </c>
      <c r="AI142" t="s" s="0">
        <v>81</v>
      </c>
      <c r="AJ142" t="s" s="0">
        <v>81</v>
      </c>
      <c r="AK142" t="s" s="0">
        <v>81</v>
      </c>
      <c r="AL142" t="s" s="0">
        <v>734</v>
      </c>
      <c r="AM142" t="s" s="0">
        <v>77</v>
      </c>
      <c r="AN142" t="s" s="0">
        <v>77</v>
      </c>
      <c r="AO142" t="s" s="0">
        <v>77</v>
      </c>
      <c r="AP142" t="s" s="0">
        <v>77</v>
      </c>
      <c r="AQ142" t="s" s="0">
        <v>665</v>
      </c>
      <c r="AR142" t="s" s="0">
        <v>546</v>
      </c>
      <c r="AS142" t="s" s="0">
        <v>666</v>
      </c>
      <c r="AT142" t="s" s="0">
        <v>3538</v>
      </c>
      <c r="AU142" t="s" s="0">
        <v>3539</v>
      </c>
      <c r="AV142" t="s" s="0">
        <v>81</v>
      </c>
      <c r="AW142" t="s" s="0">
        <v>3540</v>
      </c>
      <c r="AX142" t="s" s="0">
        <v>3541</v>
      </c>
      <c r="AY142" t="s" s="0">
        <v>870</v>
      </c>
      <c r="AZ142" t="s" s="0">
        <v>103</v>
      </c>
      <c r="BA142" t="s" s="0">
        <v>485</v>
      </c>
      <c r="BB142" t="s" s="0">
        <v>97</v>
      </c>
      <c r="BC142" t="s" s="0">
        <v>81</v>
      </c>
      <c r="BD142" t="s" s="0">
        <v>81</v>
      </c>
      <c r="BE142" t="s" s="0">
        <v>81</v>
      </c>
      <c r="BF142" t="s" s="0">
        <v>81</v>
      </c>
      <c r="BG142" t="s" s="0">
        <v>81</v>
      </c>
      <c r="BH142" t="s" s="0">
        <v>81</v>
      </c>
      <c r="BI142" t="s" s="0">
        <v>3542</v>
      </c>
      <c r="BJ142" t="s" s="0">
        <v>3543</v>
      </c>
      <c r="BK142" t="s" s="280">
        <f>HYPERLINK("http://dx.doi.org/10.1186/s12245-026-01328-5","http://dx.doi.org/10.1186/s12245-026-01328-5")</f>
        <v>3544</v>
      </c>
      <c r="BL142" t="s" s="0">
        <v>81</v>
      </c>
      <c r="BM142" t="s" s="0">
        <v>81</v>
      </c>
      <c r="BN142" t="s" s="0">
        <v>925</v>
      </c>
      <c r="BO142" t="s" s="0">
        <v>3545</v>
      </c>
      <c r="BP142" t="s" s="0">
        <v>3545</v>
      </c>
      <c r="BQ142" t="s" s="0">
        <v>3546</v>
      </c>
      <c r="BR142" t="s" s="0">
        <v>81</v>
      </c>
      <c r="BS142" t="s" s="0">
        <v>3547</v>
      </c>
      <c r="BT142" t="s" s="281">
        <f>HYPERLINK("https://www.webofscience.com/wos/woscc/full-record/WOS:001841165800001","View Record in Web of Science")</f>
        <v>114</v>
      </c>
      <c r="BU142" t="s" s="0">
        <v>301</v>
      </c>
      <c r="BV142" t="s" s="0">
        <v>81</v>
      </c>
      <c r="BW142" t="s" s="0">
        <v>81</v>
      </c>
      <c r="BX142" t="s" s="0">
        <v>116</v>
      </c>
    </row>
    <row r="143">
      <c r="A143" t="s" s="0">
        <v>77</v>
      </c>
      <c r="B143" t="s" s="0">
        <v>77</v>
      </c>
      <c r="C143" t="s" s="0">
        <v>77</v>
      </c>
      <c r="D143" t="s" s="0">
        <v>77</v>
      </c>
      <c r="E143" t="s" s="0">
        <v>3548</v>
      </c>
      <c r="F143" t="s" s="0">
        <v>3549</v>
      </c>
      <c r="G143" t="s" s="0">
        <v>3550</v>
      </c>
      <c r="H143" t="s" s="0">
        <v>81</v>
      </c>
      <c r="I143" t="s" s="0">
        <v>238</v>
      </c>
      <c r="J143" t="s" s="0">
        <v>3551</v>
      </c>
      <c r="K143" t="s" s="0">
        <v>3552</v>
      </c>
      <c r="L143" t="s" s="0">
        <v>81</v>
      </c>
      <c r="M143" t="s" s="0">
        <v>81</v>
      </c>
      <c r="N143" t="s" s="0">
        <v>81</v>
      </c>
      <c r="O143" t="s" s="0">
        <v>3553</v>
      </c>
      <c r="P143" t="s" s="0">
        <v>3554</v>
      </c>
      <c r="Q143" t="s" s="0">
        <v>87</v>
      </c>
      <c r="R143" t="s" s="0">
        <v>81</v>
      </c>
      <c r="S143" t="s" s="0">
        <v>81</v>
      </c>
      <c r="T143" t="s" s="0">
        <v>81</v>
      </c>
      <c r="U143" t="s" s="0">
        <v>81</v>
      </c>
      <c r="V143" t="s" s="0">
        <v>3555</v>
      </c>
      <c r="W143" t="s" s="0">
        <v>3556</v>
      </c>
      <c r="X143" t="s" s="0">
        <v>81</v>
      </c>
      <c r="Y143" t="s" s="0">
        <v>81</v>
      </c>
      <c r="Z143" t="s" s="0">
        <v>90</v>
      </c>
      <c r="AA143" t="s" s="0">
        <v>91</v>
      </c>
      <c r="AB143" t="s" s="0">
        <v>81</v>
      </c>
      <c r="AC143" t="s" s="0">
        <v>81</v>
      </c>
      <c r="AD143" t="s" s="0">
        <v>81</v>
      </c>
      <c r="AE143" t="s" s="0">
        <v>81</v>
      </c>
      <c r="AF143" t="s" s="0">
        <v>81</v>
      </c>
      <c r="AG143" t="s" s="0">
        <v>3557</v>
      </c>
      <c r="AH143" t="s" s="0">
        <v>3558</v>
      </c>
      <c r="AI143" t="s" s="0">
        <v>81</v>
      </c>
      <c r="AJ143" t="s" s="0">
        <v>81</v>
      </c>
      <c r="AK143" t="s" s="0">
        <v>81</v>
      </c>
      <c r="AL143" t="s" s="0">
        <v>3559</v>
      </c>
      <c r="AM143" t="s" s="0">
        <v>156</v>
      </c>
      <c r="AN143" t="s" s="0">
        <v>156</v>
      </c>
      <c r="AO143" t="s" s="0">
        <v>234</v>
      </c>
      <c r="AP143" t="s" s="0">
        <v>234</v>
      </c>
      <c r="AQ143" t="s" s="0">
        <v>136</v>
      </c>
      <c r="AR143" t="s" s="0">
        <v>137</v>
      </c>
      <c r="AS143" t="s" s="0">
        <v>138</v>
      </c>
      <c r="AT143" t="s" s="0">
        <v>81</v>
      </c>
      <c r="AU143" t="s" s="0">
        <v>3560</v>
      </c>
      <c r="AV143" t="s" s="0">
        <v>81</v>
      </c>
      <c r="AW143" t="s" s="0">
        <v>3561</v>
      </c>
      <c r="AX143" t="s" s="0">
        <v>3562</v>
      </c>
      <c r="AY143" t="s" s="0">
        <v>849</v>
      </c>
      <c r="AZ143" t="s" s="0">
        <v>103</v>
      </c>
      <c r="BA143" t="s" s="0">
        <v>228</v>
      </c>
      <c r="BB143" t="s" s="0">
        <v>81</v>
      </c>
      <c r="BC143" t="s" s="0">
        <v>81</v>
      </c>
      <c r="BD143" t="s" s="0">
        <v>81</v>
      </c>
      <c r="BE143" t="s" s="0">
        <v>81</v>
      </c>
      <c r="BF143" t="s" s="0">
        <v>81</v>
      </c>
      <c r="BG143" t="s" s="0">
        <v>81</v>
      </c>
      <c r="BH143" t="s" s="0">
        <v>81</v>
      </c>
      <c r="BI143" t="s" s="0">
        <v>3563</v>
      </c>
      <c r="BJ143" t="s" s="0">
        <v>3564</v>
      </c>
      <c r="BK143" t="s" s="282">
        <f>HYPERLINK("http://dx.doi.org/10.1016/j.jrt.2026.100167","http://dx.doi.org/10.1016/j.jrt.2026.100167")</f>
        <v>3565</v>
      </c>
      <c r="BL143" t="s" s="0">
        <v>81</v>
      </c>
      <c r="BM143" t="s" s="0">
        <v>675</v>
      </c>
      <c r="BN143" t="s" s="0">
        <v>925</v>
      </c>
      <c r="BO143" t="s" s="0">
        <v>3566</v>
      </c>
      <c r="BP143" t="s" s="0">
        <v>3567</v>
      </c>
      <c r="BQ143" t="s" s="0">
        <v>3568</v>
      </c>
      <c r="BR143" t="s" s="0">
        <v>81</v>
      </c>
      <c r="BS143" t="s" s="0">
        <v>3569</v>
      </c>
      <c r="BT143" t="s" s="283">
        <f>HYPERLINK("https://www.webofscience.com/wos/woscc/full-record/WOS:001764746900001","View Record in Web of Science")</f>
        <v>114</v>
      </c>
      <c r="BU143" t="s" s="0">
        <v>301</v>
      </c>
      <c r="BV143" t="s" s="0">
        <v>81</v>
      </c>
      <c r="BW143" t="s" s="0">
        <v>81</v>
      </c>
      <c r="BX143" t="s" s="0">
        <v>116</v>
      </c>
    </row>
    <row r="144">
      <c r="A144" t="s" s="0">
        <v>77</v>
      </c>
      <c r="B144" t="s" s="0">
        <v>77</v>
      </c>
      <c r="C144" t="s" s="0">
        <v>77</v>
      </c>
      <c r="D144" t="s" s="0">
        <v>77</v>
      </c>
      <c r="E144" t="s" s="0">
        <v>3570</v>
      </c>
      <c r="F144" t="s" s="0">
        <v>3571</v>
      </c>
      <c r="G144" t="s" s="0">
        <v>3572</v>
      </c>
      <c r="H144" t="s" s="0">
        <v>81</v>
      </c>
      <c r="I144" t="s" s="0">
        <v>238</v>
      </c>
      <c r="J144" t="s" s="0">
        <v>3573</v>
      </c>
      <c r="K144" t="s" s="0">
        <v>3574</v>
      </c>
      <c r="L144" t="s" s="0">
        <v>3575</v>
      </c>
      <c r="M144" t="s" s="0">
        <v>3576</v>
      </c>
      <c r="N144" t="s" s="0">
        <v>3577</v>
      </c>
      <c r="O144" t="s" s="0">
        <v>3578</v>
      </c>
      <c r="P144" t="s" s="0">
        <v>3579</v>
      </c>
      <c r="Q144" t="s" s="0">
        <v>87</v>
      </c>
      <c r="R144" t="s" s="0">
        <v>81</v>
      </c>
      <c r="S144" t="s" s="0">
        <v>81</v>
      </c>
      <c r="T144" t="s" s="0">
        <v>81</v>
      </c>
      <c r="U144" t="s" s="0">
        <v>81</v>
      </c>
      <c r="V144" t="s" s="0">
        <v>3580</v>
      </c>
      <c r="W144" t="s" s="0">
        <v>3581</v>
      </c>
      <c r="X144" t="s" s="0">
        <v>81</v>
      </c>
      <c r="Y144" t="s" s="0">
        <v>81</v>
      </c>
      <c r="Z144" t="s" s="0">
        <v>90</v>
      </c>
      <c r="AA144" t="s" s="0">
        <v>91</v>
      </c>
      <c r="AB144" t="s" s="0">
        <v>81</v>
      </c>
      <c r="AC144" t="s" s="0">
        <v>81</v>
      </c>
      <c r="AD144" t="s" s="0">
        <v>81</v>
      </c>
      <c r="AE144" t="s" s="0">
        <v>81</v>
      </c>
      <c r="AF144" t="s" s="0">
        <v>81</v>
      </c>
      <c r="AG144" t="s" s="0">
        <v>3582</v>
      </c>
      <c r="AH144" t="s" s="0">
        <v>81</v>
      </c>
      <c r="AI144" t="s" s="0">
        <v>3583</v>
      </c>
      <c r="AJ144" t="s" s="0">
        <v>3584</v>
      </c>
      <c r="AK144" t="s" s="0">
        <v>81</v>
      </c>
      <c r="AL144" t="s" s="0">
        <v>697</v>
      </c>
      <c r="AM144" t="s" s="0">
        <v>156</v>
      </c>
      <c r="AN144" t="s" s="0">
        <v>156</v>
      </c>
      <c r="AO144" t="s" s="0">
        <v>97</v>
      </c>
      <c r="AP144" t="s" s="0">
        <v>97</v>
      </c>
      <c r="AQ144" t="s" s="0">
        <v>98</v>
      </c>
      <c r="AR144" t="s" s="0">
        <v>99</v>
      </c>
      <c r="AS144" t="s" s="0">
        <v>100</v>
      </c>
      <c r="AT144" t="s" s="0">
        <v>81</v>
      </c>
      <c r="AU144" t="s" s="0">
        <v>3585</v>
      </c>
      <c r="AV144" t="s" s="0">
        <v>81</v>
      </c>
      <c r="AW144" t="s" s="0">
        <v>3586</v>
      </c>
      <c r="AX144" t="s" s="0">
        <v>3587</v>
      </c>
      <c r="AY144" t="s" s="0">
        <v>290</v>
      </c>
      <c r="AZ144" t="s" s="0">
        <v>290</v>
      </c>
      <c r="BA144" t="s" s="0">
        <v>196</v>
      </c>
      <c r="BB144" t="s" s="0">
        <v>81</v>
      </c>
      <c r="BC144" t="s" s="0">
        <v>81</v>
      </c>
      <c r="BD144" t="s" s="0">
        <v>81</v>
      </c>
      <c r="BE144" t="s" s="0">
        <v>81</v>
      </c>
      <c r="BF144" t="s" s="0">
        <v>81</v>
      </c>
      <c r="BG144" t="s" s="0">
        <v>3588</v>
      </c>
      <c r="BH144" t="s" s="0">
        <v>3589</v>
      </c>
      <c r="BI144" t="s" s="0">
        <v>81</v>
      </c>
      <c r="BJ144" t="s" s="0">
        <v>3590</v>
      </c>
      <c r="BK144" t="s" s="284">
        <f>HYPERLINK("http://dx.doi.org/10.1109/TMLCN.2025.3596548","http://dx.doi.org/10.1109/TMLCN.2025.3596548")</f>
        <v>3591</v>
      </c>
      <c r="BL144" t="s" s="0">
        <v>81</v>
      </c>
      <c r="BM144" t="s" s="0">
        <v>81</v>
      </c>
      <c r="BN144" t="s" s="0">
        <v>874</v>
      </c>
      <c r="BO144" t="s" s="0">
        <v>3592</v>
      </c>
      <c r="BP144" t="s" s="0">
        <v>3593</v>
      </c>
      <c r="BQ144" t="s" s="0">
        <v>3594</v>
      </c>
      <c r="BR144" t="s" s="0">
        <v>81</v>
      </c>
      <c r="BS144" t="s" s="0">
        <v>3595</v>
      </c>
      <c r="BT144" t="s" s="285">
        <f>HYPERLINK("https://www.webofscience.com/wos/woscc/full-record/WOS:001551558600001","View Record in Web of Science")</f>
        <v>114</v>
      </c>
      <c r="BU144" t="s" s="0">
        <v>301</v>
      </c>
      <c r="BV144" t="s" s="0">
        <v>81</v>
      </c>
      <c r="BW144" t="s" s="0">
        <v>81</v>
      </c>
      <c r="BX144" t="s" s="0">
        <v>116</v>
      </c>
    </row>
    <row r="145">
      <c r="A145" t="s" s="0">
        <v>77</v>
      </c>
      <c r="B145" t="s" s="0">
        <v>77</v>
      </c>
      <c r="C145" t="s" s="0">
        <v>77</v>
      </c>
      <c r="D145" t="s" s="0">
        <v>77</v>
      </c>
      <c r="E145" t="s" s="0">
        <v>3596</v>
      </c>
      <c r="F145" t="s" s="0">
        <v>3597</v>
      </c>
      <c r="G145" t="s" s="0">
        <v>3598</v>
      </c>
      <c r="H145" t="s" s="0">
        <v>81</v>
      </c>
      <c r="I145" t="s" s="0">
        <v>82</v>
      </c>
      <c r="J145" t="s" s="0">
        <v>3599</v>
      </c>
      <c r="K145" t="s" s="0">
        <v>3600</v>
      </c>
      <c r="L145" t="s" s="0">
        <v>3601</v>
      </c>
      <c r="M145" t="s" s="0">
        <v>3602</v>
      </c>
      <c r="N145" t="s" s="0">
        <v>3603</v>
      </c>
      <c r="O145" t="s" s="0">
        <v>3604</v>
      </c>
      <c r="P145" t="s" s="0">
        <v>3605</v>
      </c>
      <c r="Q145" t="s" s="0">
        <v>87</v>
      </c>
      <c r="R145" t="s" s="0">
        <v>81</v>
      </c>
      <c r="S145" t="s" s="0">
        <v>81</v>
      </c>
      <c r="T145" t="s" s="0">
        <v>81</v>
      </c>
      <c r="U145" t="s" s="0">
        <v>81</v>
      </c>
      <c r="V145" t="s" s="0">
        <v>3606</v>
      </c>
      <c r="W145" t="s" s="0">
        <v>89</v>
      </c>
      <c r="X145" t="s" s="0">
        <v>81</v>
      </c>
      <c r="Y145" t="s" s="0">
        <v>81</v>
      </c>
      <c r="Z145" t="s" s="0">
        <v>90</v>
      </c>
      <c r="AA145" t="s" s="0">
        <v>91</v>
      </c>
      <c r="AB145" t="s" s="0">
        <v>81</v>
      </c>
      <c r="AC145" t="s" s="0">
        <v>81</v>
      </c>
      <c r="AD145" t="s" s="0">
        <v>81</v>
      </c>
      <c r="AE145" t="s" s="0">
        <v>81</v>
      </c>
      <c r="AF145" t="s" s="0">
        <v>81</v>
      </c>
      <c r="AG145" t="s" s="0">
        <v>3607</v>
      </c>
      <c r="AH145" t="s" s="0">
        <v>3608</v>
      </c>
      <c r="AI145" t="s" s="0">
        <v>3609</v>
      </c>
      <c r="AJ145" t="s" s="0">
        <v>3610</v>
      </c>
      <c r="AK145" t="s" s="0">
        <v>81</v>
      </c>
      <c r="AL145" t="s" s="0">
        <v>253</v>
      </c>
      <c r="AM145" t="s" s="0">
        <v>77</v>
      </c>
      <c r="AN145" t="s" s="0">
        <v>77</v>
      </c>
      <c r="AO145" t="s" s="0">
        <v>97</v>
      </c>
      <c r="AP145" t="s" s="0">
        <v>97</v>
      </c>
      <c r="AQ145" t="s" s="0">
        <v>98</v>
      </c>
      <c r="AR145" t="s" s="0">
        <v>99</v>
      </c>
      <c r="AS145" t="s" s="0">
        <v>100</v>
      </c>
      <c r="AT145" t="s" s="0">
        <v>101</v>
      </c>
      <c r="AU145" t="s" s="0">
        <v>81</v>
      </c>
      <c r="AV145" t="s" s="0">
        <v>81</v>
      </c>
      <c r="AW145" t="s" s="0">
        <v>89</v>
      </c>
      <c r="AX145" t="s" s="0">
        <v>102</v>
      </c>
      <c r="AY145" t="s" s="0">
        <v>290</v>
      </c>
      <c r="AZ145" t="s" s="0">
        <v>290</v>
      </c>
      <c r="BA145" t="s" s="0">
        <v>486</v>
      </c>
      <c r="BB145" t="s" s="0">
        <v>81</v>
      </c>
      <c r="BC145" t="s" s="0">
        <v>81</v>
      </c>
      <c r="BD145" t="s" s="0">
        <v>81</v>
      </c>
      <c r="BE145" t="s" s="0">
        <v>81</v>
      </c>
      <c r="BF145" t="s" s="0">
        <v>81</v>
      </c>
      <c r="BG145" t="s" s="0">
        <v>3611</v>
      </c>
      <c r="BH145" t="s" s="0">
        <v>3612</v>
      </c>
      <c r="BI145" t="s" s="0">
        <v>81</v>
      </c>
      <c r="BJ145" t="s" s="0">
        <v>3613</v>
      </c>
      <c r="BK145" t="s" s="286">
        <f>HYPERLINK("http://dx.doi.org/10.1109/ACCESS.2025.3612957","http://dx.doi.org/10.1109/ACCESS.2025.3612957")</f>
        <v>3614</v>
      </c>
      <c r="BL145" t="s" s="0">
        <v>81</v>
      </c>
      <c r="BM145" t="s" s="0">
        <v>81</v>
      </c>
      <c r="BN145" t="s" s="0">
        <v>134</v>
      </c>
      <c r="BO145" t="s" s="0">
        <v>110</v>
      </c>
      <c r="BP145" t="s" s="0">
        <v>111</v>
      </c>
      <c r="BQ145" t="s" s="0">
        <v>3615</v>
      </c>
      <c r="BR145" t="s" s="0">
        <v>81</v>
      </c>
      <c r="BS145" t="s" s="0">
        <v>3616</v>
      </c>
      <c r="BT145" t="s" s="287">
        <f>HYPERLINK("https://www.webofscience.com/wos/woscc/full-record/WOS:001589952200030","View Record in Web of Science")</f>
        <v>114</v>
      </c>
      <c r="BU145" t="s" s="0">
        <v>301</v>
      </c>
      <c r="BV145" t="s" s="0">
        <v>81</v>
      </c>
      <c r="BW145" t="s" s="0">
        <v>81</v>
      </c>
      <c r="BX145" t="s" s="0">
        <v>116</v>
      </c>
    </row>
    <row r="146">
      <c r="A146" t="s" s="0">
        <v>77</v>
      </c>
      <c r="B146" t="s" s="0">
        <v>77</v>
      </c>
      <c r="C146" t="s" s="0">
        <v>97</v>
      </c>
      <c r="D146" t="s" s="0">
        <v>77</v>
      </c>
      <c r="E146" t="s" s="0">
        <v>3617</v>
      </c>
      <c r="F146" t="s" s="0">
        <v>3618</v>
      </c>
      <c r="G146" t="s" s="0">
        <v>3619</v>
      </c>
      <c r="H146" t="s" s="0">
        <v>81</v>
      </c>
      <c r="I146" t="s" s="0">
        <v>82</v>
      </c>
      <c r="J146" t="s" s="0">
        <v>3620</v>
      </c>
      <c r="K146" t="s" s="0">
        <v>3621</v>
      </c>
      <c r="L146" t="s" s="0">
        <v>81</v>
      </c>
      <c r="M146" t="s" s="0">
        <v>81</v>
      </c>
      <c r="N146" t="s" s="0">
        <v>81</v>
      </c>
      <c r="O146" t="s" s="0">
        <v>3622</v>
      </c>
      <c r="P146" t="s" s="0">
        <v>3623</v>
      </c>
      <c r="Q146" t="s" s="0">
        <v>87</v>
      </c>
      <c r="R146" t="s" s="0">
        <v>81</v>
      </c>
      <c r="S146" t="s" s="0">
        <v>81</v>
      </c>
      <c r="T146" t="s" s="0">
        <v>81</v>
      </c>
      <c r="U146" t="s" s="0">
        <v>81</v>
      </c>
      <c r="V146" t="s" s="0">
        <v>3624</v>
      </c>
      <c r="W146" t="s" s="0">
        <v>3625</v>
      </c>
      <c r="X146" t="s" s="0">
        <v>81</v>
      </c>
      <c r="Y146" t="s" s="0">
        <v>81</v>
      </c>
      <c r="Z146" t="s" s="0">
        <v>90</v>
      </c>
      <c r="AA146" t="s" s="0">
        <v>91</v>
      </c>
      <c r="AB146" t="s" s="0">
        <v>81</v>
      </c>
      <c r="AC146" t="s" s="0">
        <v>81</v>
      </c>
      <c r="AD146" t="s" s="0">
        <v>81</v>
      </c>
      <c r="AE146" t="s" s="0">
        <v>81</v>
      </c>
      <c r="AF146" t="s" s="0">
        <v>81</v>
      </c>
      <c r="AG146" t="s" s="0">
        <v>3626</v>
      </c>
      <c r="AH146" t="s" s="0">
        <v>81</v>
      </c>
      <c r="AI146" t="s" s="0">
        <v>3627</v>
      </c>
      <c r="AJ146" t="s" s="0">
        <v>81</v>
      </c>
      <c r="AK146" t="s" s="0">
        <v>81</v>
      </c>
      <c r="AL146" t="s" s="0">
        <v>2955</v>
      </c>
      <c r="AM146" t="s" s="0">
        <v>104</v>
      </c>
      <c r="AN146" t="s" s="0">
        <v>367</v>
      </c>
      <c r="AO146" t="s" s="0">
        <v>196</v>
      </c>
      <c r="AP146" t="s" s="0">
        <v>316</v>
      </c>
      <c r="AQ146" t="s" s="0">
        <v>3628</v>
      </c>
      <c r="AR146" t="s" s="0">
        <v>3629</v>
      </c>
      <c r="AS146" t="s" s="0">
        <v>3630</v>
      </c>
      <c r="AT146" t="s" s="0">
        <v>3631</v>
      </c>
      <c r="AU146" t="s" s="0">
        <v>81</v>
      </c>
      <c r="AV146" t="s" s="0">
        <v>81</v>
      </c>
      <c r="AW146" t="s" s="0">
        <v>3632</v>
      </c>
      <c r="AX146" t="s" s="0">
        <v>3633</v>
      </c>
      <c r="AY146" t="s" s="0">
        <v>1743</v>
      </c>
      <c r="AZ146" t="s" s="0">
        <v>290</v>
      </c>
      <c r="BA146" t="s" s="0">
        <v>3634</v>
      </c>
      <c r="BB146" t="s" s="0">
        <v>191</v>
      </c>
      <c r="BC146" t="s" s="0">
        <v>81</v>
      </c>
      <c r="BD146" t="s" s="0">
        <v>81</v>
      </c>
      <c r="BE146" t="s" s="0">
        <v>81</v>
      </c>
      <c r="BF146" t="s" s="0">
        <v>81</v>
      </c>
      <c r="BG146" t="s" s="0">
        <v>3635</v>
      </c>
      <c r="BH146" t="s" s="0">
        <v>3636</v>
      </c>
      <c r="BI146" t="s" s="0">
        <v>81</v>
      </c>
      <c r="BJ146" t="s" s="0">
        <v>3637</v>
      </c>
      <c r="BK146" t="s" s="288">
        <f>HYPERLINK("http://dx.doi.org/10.1016/j.diii.2025.05.006","http://dx.doi.org/10.1016/j.diii.2025.05.006")</f>
        <v>3638</v>
      </c>
      <c r="BL146" t="s" s="0">
        <v>81</v>
      </c>
      <c r="BM146" t="s" s="0">
        <v>149</v>
      </c>
      <c r="BN146" t="s" s="0">
        <v>211</v>
      </c>
      <c r="BO146" t="s" s="0">
        <v>738</v>
      </c>
      <c r="BP146" t="s" s="0">
        <v>738</v>
      </c>
      <c r="BQ146" t="s" s="0">
        <v>3639</v>
      </c>
      <c r="BR146" t="s" s="0">
        <v>3640</v>
      </c>
      <c r="BS146" t="s" s="0">
        <v>3641</v>
      </c>
      <c r="BT146" t="s" s="289">
        <f>HYPERLINK("https://www.webofscience.com/wos/woscc/full-record/WOS:001608346000004","View Record in Web of Science")</f>
        <v>114</v>
      </c>
      <c r="BU146" t="s" s="0">
        <v>1055</v>
      </c>
      <c r="BV146" t="s" s="0">
        <v>81</v>
      </c>
      <c r="BW146" t="s" s="0">
        <v>81</v>
      </c>
      <c r="BX146" t="s" s="0">
        <v>116</v>
      </c>
    </row>
    <row r="147">
      <c r="A147" t="s" s="0">
        <v>77</v>
      </c>
      <c r="B147" t="s" s="0">
        <v>77</v>
      </c>
      <c r="C147" t="s" s="0">
        <v>77</v>
      </c>
      <c r="D147" t="s" s="0">
        <v>77</v>
      </c>
      <c r="E147" t="s" s="0">
        <v>3642</v>
      </c>
      <c r="F147" t="s" s="0">
        <v>3643</v>
      </c>
      <c r="G147" t="s" s="0">
        <v>3644</v>
      </c>
      <c r="H147" t="s" s="0">
        <v>81</v>
      </c>
      <c r="I147" t="s" s="0">
        <v>3645</v>
      </c>
      <c r="J147" t="s" s="0">
        <v>3646</v>
      </c>
      <c r="K147" t="s" s="0">
        <v>3647</v>
      </c>
      <c r="L147" t="s" s="0">
        <v>81</v>
      </c>
      <c r="M147" t="s" s="0">
        <v>81</v>
      </c>
      <c r="N147" t="s" s="0">
        <v>81</v>
      </c>
      <c r="O147" t="s" s="0">
        <v>3648</v>
      </c>
      <c r="P147" t="s" s="0">
        <v>3649</v>
      </c>
      <c r="Q147" t="s" s="0">
        <v>87</v>
      </c>
      <c r="R147" t="s" s="0">
        <v>81</v>
      </c>
      <c r="S147" t="s" s="0">
        <v>81</v>
      </c>
      <c r="T147" t="s" s="0">
        <v>81</v>
      </c>
      <c r="U147" t="s" s="0">
        <v>81</v>
      </c>
      <c r="V147" t="s" s="0">
        <v>3650</v>
      </c>
      <c r="W147" t="s" s="0">
        <v>3651</v>
      </c>
      <c r="X147" t="s" s="0">
        <v>81</v>
      </c>
      <c r="Y147" t="s" s="0">
        <v>81</v>
      </c>
      <c r="Z147" t="s" s="0">
        <v>90</v>
      </c>
      <c r="AA147" t="s" s="0">
        <v>91</v>
      </c>
      <c r="AB147" t="s" s="0">
        <v>81</v>
      </c>
      <c r="AC147" t="s" s="0">
        <v>81</v>
      </c>
      <c r="AD147" t="s" s="0">
        <v>81</v>
      </c>
      <c r="AE147" t="s" s="0">
        <v>81</v>
      </c>
      <c r="AF147" t="s" s="0">
        <v>81</v>
      </c>
      <c r="AG147" t="s" s="0">
        <v>3652</v>
      </c>
      <c r="AH147" t="s" s="0">
        <v>81</v>
      </c>
      <c r="AI147" t="s" s="0">
        <v>3653</v>
      </c>
      <c r="AJ147" t="s" s="0">
        <v>3654</v>
      </c>
      <c r="AK147" t="s" s="0">
        <v>81</v>
      </c>
      <c r="AL147" t="s" s="0">
        <v>344</v>
      </c>
      <c r="AM147" t="s" s="0">
        <v>381</v>
      </c>
      <c r="AN147" t="s" s="0">
        <v>211</v>
      </c>
      <c r="AO147" t="s" s="0">
        <v>291</v>
      </c>
      <c r="AP147" t="s" s="0">
        <v>324</v>
      </c>
      <c r="AQ147" t="s" s="0">
        <v>98</v>
      </c>
      <c r="AR147" t="s" s="0">
        <v>99</v>
      </c>
      <c r="AS147" t="s" s="0">
        <v>100</v>
      </c>
      <c r="AT147" t="s" s="0">
        <v>3655</v>
      </c>
      <c r="AU147" t="s" s="0">
        <v>3656</v>
      </c>
      <c r="AV147" t="s" s="0">
        <v>81</v>
      </c>
      <c r="AW147" t="s" s="0">
        <v>3657</v>
      </c>
      <c r="AX147" t="s" s="0">
        <v>3658</v>
      </c>
      <c r="AY147" t="s" s="0">
        <v>733</v>
      </c>
      <c r="AZ147" t="s" s="0">
        <v>290</v>
      </c>
      <c r="BA147" t="s" s="0">
        <v>890</v>
      </c>
      <c r="BB147" t="s" s="0">
        <v>234</v>
      </c>
      <c r="BC147" t="s" s="0">
        <v>81</v>
      </c>
      <c r="BD147" t="s" s="0">
        <v>81</v>
      </c>
      <c r="BE147" t="s" s="0">
        <v>81</v>
      </c>
      <c r="BF147" t="s" s="0">
        <v>81</v>
      </c>
      <c r="BG147" t="s" s="0">
        <v>3659</v>
      </c>
      <c r="BH147" t="s" s="0">
        <v>3660</v>
      </c>
      <c r="BI147" t="s" s="0">
        <v>81</v>
      </c>
      <c r="BJ147" t="s" s="0">
        <v>3661</v>
      </c>
      <c r="BK147" t="s" s="290">
        <f>HYPERLINK("http://dx.doi.org/10.1109/JBHI.2025.3531294","http://dx.doi.org/10.1109/JBHI.2025.3531294")</f>
        <v>3662</v>
      </c>
      <c r="BL147" t="s" s="0">
        <v>81</v>
      </c>
      <c r="BM147" t="s" s="0">
        <v>81</v>
      </c>
      <c r="BN147" t="s" s="0">
        <v>381</v>
      </c>
      <c r="BO147" t="s" s="0">
        <v>3663</v>
      </c>
      <c r="BP147" t="s" s="0">
        <v>3664</v>
      </c>
      <c r="BQ147" t="s" s="0">
        <v>3665</v>
      </c>
      <c r="BR147" t="s" s="0">
        <v>3666</v>
      </c>
      <c r="BS147" t="s" s="0">
        <v>3667</v>
      </c>
      <c r="BT147" t="s" s="291">
        <f>HYPERLINK("https://www.webofscience.com/wos/woscc/full-record/WOS:001522930100049","View Record in Web of Science")</f>
        <v>114</v>
      </c>
      <c r="BU147" t="s" s="0">
        <v>81</v>
      </c>
      <c r="BV147" t="s" s="0">
        <v>81</v>
      </c>
      <c r="BW147" t="s" s="0">
        <v>81</v>
      </c>
      <c r="BX147" t="s" s="0">
        <v>116</v>
      </c>
    </row>
    <row r="148">
      <c r="A148" t="s" s="0">
        <v>77</v>
      </c>
      <c r="B148" t="s" s="0">
        <v>77</v>
      </c>
      <c r="C148" t="s" s="0">
        <v>77</v>
      </c>
      <c r="D148" t="s" s="0">
        <v>77</v>
      </c>
      <c r="E148" t="s" s="0">
        <v>3668</v>
      </c>
      <c r="F148" t="s" s="0">
        <v>3669</v>
      </c>
      <c r="G148" t="s" s="0">
        <v>3670</v>
      </c>
      <c r="H148" t="s" s="0">
        <v>81</v>
      </c>
      <c r="I148" t="s" s="0">
        <v>238</v>
      </c>
      <c r="J148" t="s" s="0">
        <v>3671</v>
      </c>
      <c r="K148" t="s" s="0">
        <v>3672</v>
      </c>
      <c r="L148" t="s" s="0">
        <v>3673</v>
      </c>
      <c r="M148" t="s" s="0">
        <v>3674</v>
      </c>
      <c r="N148" t="s" s="0">
        <v>3675</v>
      </c>
      <c r="O148" t="s" s="0">
        <v>3676</v>
      </c>
      <c r="P148" t="s" s="0">
        <v>3677</v>
      </c>
      <c r="Q148" t="s" s="0">
        <v>87</v>
      </c>
      <c r="R148" t="s" s="0">
        <v>81</v>
      </c>
      <c r="S148" t="s" s="0">
        <v>81</v>
      </c>
      <c r="T148" t="s" s="0">
        <v>81</v>
      </c>
      <c r="U148" t="s" s="0">
        <v>81</v>
      </c>
      <c r="V148" t="s" s="0">
        <v>3678</v>
      </c>
      <c r="W148" t="s" s="0">
        <v>3679</v>
      </c>
      <c r="X148" t="s" s="0">
        <v>81</v>
      </c>
      <c r="Y148" t="s" s="0">
        <v>81</v>
      </c>
      <c r="Z148" t="s" s="0">
        <v>90</v>
      </c>
      <c r="AA148" t="s" s="0">
        <v>91</v>
      </c>
      <c r="AB148" t="s" s="0">
        <v>81</v>
      </c>
      <c r="AC148" t="s" s="0">
        <v>81</v>
      </c>
      <c r="AD148" t="s" s="0">
        <v>81</v>
      </c>
      <c r="AE148" t="s" s="0">
        <v>81</v>
      </c>
      <c r="AF148" t="s" s="0">
        <v>81</v>
      </c>
      <c r="AG148" t="s" s="0">
        <v>3680</v>
      </c>
      <c r="AH148" t="s" s="0">
        <v>81</v>
      </c>
      <c r="AI148" t="s" s="0">
        <v>3681</v>
      </c>
      <c r="AJ148" t="s" s="0">
        <v>3682</v>
      </c>
      <c r="AK148" t="s" s="0">
        <v>81</v>
      </c>
      <c r="AL148" t="s" s="0">
        <v>874</v>
      </c>
      <c r="AM148" t="s" s="0">
        <v>97</v>
      </c>
      <c r="AN148" t="s" s="0">
        <v>97</v>
      </c>
      <c r="AO148" t="s" s="0">
        <v>77</v>
      </c>
      <c r="AP148" t="s" s="0">
        <v>97</v>
      </c>
      <c r="AQ148" t="s" s="0">
        <v>3683</v>
      </c>
      <c r="AR148" t="s" s="0">
        <v>3684</v>
      </c>
      <c r="AS148" t="s" s="0">
        <v>3685</v>
      </c>
      <c r="AT148" t="s" s="0">
        <v>3686</v>
      </c>
      <c r="AU148" t="s" s="0">
        <v>3687</v>
      </c>
      <c r="AV148" t="s" s="0">
        <v>81</v>
      </c>
      <c r="AW148" t="s" s="0">
        <v>3688</v>
      </c>
      <c r="AX148" t="s" s="0">
        <v>3689</v>
      </c>
      <c r="AY148" t="s" s="0">
        <v>290</v>
      </c>
      <c r="AZ148" t="s" s="0">
        <v>290</v>
      </c>
      <c r="BA148" t="s" s="0">
        <v>316</v>
      </c>
      <c r="BB148" t="s" s="0">
        <v>133</v>
      </c>
      <c r="BC148" t="s" s="0">
        <v>81</v>
      </c>
      <c r="BD148" t="s" s="0">
        <v>81</v>
      </c>
      <c r="BE148" t="s" s="0">
        <v>81</v>
      </c>
      <c r="BF148" t="s" s="0">
        <v>81</v>
      </c>
      <c r="BG148" t="s" s="0">
        <v>81</v>
      </c>
      <c r="BH148" t="s" s="0">
        <v>81</v>
      </c>
      <c r="BI148" t="s" s="0">
        <v>81</v>
      </c>
      <c r="BJ148" t="s" s="0">
        <v>3690</v>
      </c>
      <c r="BK148" t="s" s="292">
        <f>HYPERLINK("http://dx.doi.org/10.37256/cm.6520258031","http://dx.doi.org/10.37256/cm.6520258031")</f>
        <v>3691</v>
      </c>
      <c r="BL148" t="s" s="0">
        <v>81</v>
      </c>
      <c r="BM148" t="s" s="0">
        <v>81</v>
      </c>
      <c r="BN148" t="s" s="0">
        <v>295</v>
      </c>
      <c r="BO148" t="s" s="0">
        <v>3692</v>
      </c>
      <c r="BP148" t="s" s="0">
        <v>3693</v>
      </c>
      <c r="BQ148" t="s" s="0">
        <v>3694</v>
      </c>
      <c r="BR148" t="s" s="0">
        <v>81</v>
      </c>
      <c r="BS148" t="s" s="0">
        <v>3695</v>
      </c>
      <c r="BT148" t="s" s="293">
        <f>HYPERLINK("https://www.webofscience.com/wos/woscc/full-record/WOS:001587331100005","View Record in Web of Science")</f>
        <v>114</v>
      </c>
      <c r="BU148" t="s" s="0">
        <v>115</v>
      </c>
      <c r="BV148" t="s" s="0">
        <v>81</v>
      </c>
      <c r="BW148" t="s" s="0">
        <v>81</v>
      </c>
      <c r="BX148" t="s" s="0">
        <v>116</v>
      </c>
    </row>
    <row r="149">
      <c r="A149" t="s" s="0">
        <v>77</v>
      </c>
      <c r="B149" t="s" s="0">
        <v>77</v>
      </c>
      <c r="C149" t="s" s="0">
        <v>77</v>
      </c>
      <c r="D149" t="s" s="0">
        <v>77</v>
      </c>
      <c r="E149" t="s" s="0">
        <v>3696</v>
      </c>
      <c r="F149" t="s" s="0">
        <v>3697</v>
      </c>
      <c r="G149" t="s" s="0">
        <v>3698</v>
      </c>
      <c r="H149" t="s" s="0">
        <v>81</v>
      </c>
      <c r="I149" t="s" s="0">
        <v>528</v>
      </c>
      <c r="J149" t="s" s="0">
        <v>3699</v>
      </c>
      <c r="K149" t="s" s="0">
        <v>3700</v>
      </c>
      <c r="L149" t="s" s="0">
        <v>3701</v>
      </c>
      <c r="M149" t="s" s="0">
        <v>3702</v>
      </c>
      <c r="N149" t="s" s="0">
        <v>3703</v>
      </c>
      <c r="O149" t="s" s="0">
        <v>3704</v>
      </c>
      <c r="P149" t="s" s="0">
        <v>3705</v>
      </c>
      <c r="Q149" t="s" s="0">
        <v>87</v>
      </c>
      <c r="R149" t="s" s="0">
        <v>81</v>
      </c>
      <c r="S149" t="s" s="0">
        <v>81</v>
      </c>
      <c r="T149" t="s" s="0">
        <v>81</v>
      </c>
      <c r="U149" t="s" s="0">
        <v>81</v>
      </c>
      <c r="V149" t="s" s="0">
        <v>3706</v>
      </c>
      <c r="W149" t="s" s="0">
        <v>3707</v>
      </c>
      <c r="X149" t="s" s="0">
        <v>81</v>
      </c>
      <c r="Y149" t="s" s="0">
        <v>81</v>
      </c>
      <c r="Z149" t="s" s="0">
        <v>90</v>
      </c>
      <c r="AA149" t="s" s="0">
        <v>91</v>
      </c>
      <c r="AB149" t="s" s="0">
        <v>81</v>
      </c>
      <c r="AC149" t="s" s="0">
        <v>81</v>
      </c>
      <c r="AD149" t="s" s="0">
        <v>81</v>
      </c>
      <c r="AE149" t="s" s="0">
        <v>81</v>
      </c>
      <c r="AF149" t="s" s="0">
        <v>81</v>
      </c>
      <c r="AG149" t="s" s="0">
        <v>81</v>
      </c>
      <c r="AH149" t="s" s="0">
        <v>3708</v>
      </c>
      <c r="AI149" t="s" s="0">
        <v>3709</v>
      </c>
      <c r="AJ149" t="s" s="0">
        <v>3710</v>
      </c>
      <c r="AK149" t="s" s="0">
        <v>81</v>
      </c>
      <c r="AL149" t="s" s="0">
        <v>1912</v>
      </c>
      <c r="AM149" t="s" s="0">
        <v>77</v>
      </c>
      <c r="AN149" t="s" s="0">
        <v>77</v>
      </c>
      <c r="AO149" t="s" s="0">
        <v>77</v>
      </c>
      <c r="AP149" t="s" s="0">
        <v>97</v>
      </c>
      <c r="AQ149" t="s" s="0">
        <v>3711</v>
      </c>
      <c r="AR149" t="s" s="0">
        <v>3712</v>
      </c>
      <c r="AS149" t="s" s="0">
        <v>3713</v>
      </c>
      <c r="AT149" t="s" s="0">
        <v>3714</v>
      </c>
      <c r="AU149" t="s" s="0">
        <v>81</v>
      </c>
      <c r="AV149" t="s" s="0">
        <v>81</v>
      </c>
      <c r="AW149" t="s" s="0">
        <v>3715</v>
      </c>
      <c r="AX149" t="s" s="0">
        <v>3716</v>
      </c>
      <c r="AY149" t="s" s="0">
        <v>615</v>
      </c>
      <c r="AZ149" t="s" s="0">
        <v>290</v>
      </c>
      <c r="BA149" t="s" s="0">
        <v>344</v>
      </c>
      <c r="BB149" t="s" s="0">
        <v>133</v>
      </c>
      <c r="BC149" t="s" s="0">
        <v>81</v>
      </c>
      <c r="BD149" t="s" s="0">
        <v>81</v>
      </c>
      <c r="BE149" t="s" s="0">
        <v>81</v>
      </c>
      <c r="BF149" t="s" s="0">
        <v>81</v>
      </c>
      <c r="BG149" t="s" s="0">
        <v>81</v>
      </c>
      <c r="BH149" t="s" s="0">
        <v>81</v>
      </c>
      <c r="BI149" t="s" s="0">
        <v>81</v>
      </c>
      <c r="BJ149" t="s" s="0">
        <v>3717</v>
      </c>
      <c r="BK149" t="s" s="294">
        <f>HYPERLINK("http://dx.doi.org/10.37765/ajmc.2025.89737","http://dx.doi.org/10.37765/ajmc.2025.89737")</f>
        <v>3718</v>
      </c>
      <c r="BL149" t="s" s="0">
        <v>81</v>
      </c>
      <c r="BM149" t="s" s="0">
        <v>81</v>
      </c>
      <c r="BN149" t="s" s="0">
        <v>486</v>
      </c>
      <c r="BO149" t="s" s="0">
        <v>3719</v>
      </c>
      <c r="BP149" t="s" s="0">
        <v>765</v>
      </c>
      <c r="BQ149" t="s" s="0">
        <v>3720</v>
      </c>
      <c r="BR149" t="s" s="0">
        <v>3721</v>
      </c>
      <c r="BS149" t="s" s="0">
        <v>3722</v>
      </c>
      <c r="BT149" t="s" s="295">
        <f>HYPERLINK("https://www.webofscience.com/wos/woscc/full-record/WOS:001493676700001","View Record in Web of Science")</f>
        <v>114</v>
      </c>
      <c r="BU149" t="s" s="0">
        <v>233</v>
      </c>
      <c r="BV149" t="s" s="0">
        <v>81</v>
      </c>
      <c r="BW149" t="s" s="0">
        <v>81</v>
      </c>
      <c r="BX149" t="s" s="0">
        <v>116</v>
      </c>
    </row>
    <row r="150">
      <c r="A150" t="s" s="0">
        <v>97</v>
      </c>
      <c r="B150" t="s" s="0">
        <v>77</v>
      </c>
      <c r="C150" t="s" s="0">
        <v>196</v>
      </c>
      <c r="D150" t="s" s="0">
        <v>77</v>
      </c>
      <c r="E150" t="s" s="0">
        <v>3723</v>
      </c>
      <c r="F150" t="s" s="0">
        <v>3724</v>
      </c>
      <c r="G150" t="s" s="0">
        <v>3725</v>
      </c>
      <c r="H150" t="s" s="0">
        <v>81</v>
      </c>
      <c r="I150" t="s" s="0">
        <v>82</v>
      </c>
      <c r="J150" t="s" s="0">
        <v>3726</v>
      </c>
      <c r="K150" t="s" s="0">
        <v>3727</v>
      </c>
      <c r="L150" t="s" s="0">
        <v>81</v>
      </c>
      <c r="M150" t="s" s="0">
        <v>81</v>
      </c>
      <c r="N150" t="s" s="0">
        <v>81</v>
      </c>
      <c r="O150" t="s" s="0">
        <v>3728</v>
      </c>
      <c r="P150" t="s" s="0">
        <v>3729</v>
      </c>
      <c r="Q150" t="s" s="0">
        <v>87</v>
      </c>
      <c r="R150" t="s" s="0">
        <v>81</v>
      </c>
      <c r="S150" t="s" s="0">
        <v>81</v>
      </c>
      <c r="T150" t="s" s="0">
        <v>81</v>
      </c>
      <c r="U150" t="s" s="0">
        <v>81</v>
      </c>
      <c r="V150" t="s" s="0">
        <v>3730</v>
      </c>
      <c r="W150" t="s" s="0">
        <v>3731</v>
      </c>
      <c r="X150" t="s" s="0">
        <v>81</v>
      </c>
      <c r="Y150" t="s" s="0">
        <v>81</v>
      </c>
      <c r="Z150" t="s" s="0">
        <v>90</v>
      </c>
      <c r="AA150" t="s" s="0">
        <v>91</v>
      </c>
      <c r="AB150" t="s" s="0">
        <v>81</v>
      </c>
      <c r="AC150" t="s" s="0">
        <v>81</v>
      </c>
      <c r="AD150" t="s" s="0">
        <v>81</v>
      </c>
      <c r="AE150" t="s" s="0">
        <v>81</v>
      </c>
      <c r="AF150" t="s" s="0">
        <v>81</v>
      </c>
      <c r="AG150" t="s" s="0">
        <v>3732</v>
      </c>
      <c r="AH150" t="s" s="0">
        <v>3733</v>
      </c>
      <c r="AI150" t="s" s="0">
        <v>81</v>
      </c>
      <c r="AJ150" t="s" s="0">
        <v>81</v>
      </c>
      <c r="AK150" t="s" s="0">
        <v>81</v>
      </c>
      <c r="AL150" t="s" s="0">
        <v>344</v>
      </c>
      <c r="AM150" t="s" s="0">
        <v>191</v>
      </c>
      <c r="AN150" t="s" s="0">
        <v>486</v>
      </c>
      <c r="AO150" t="s" s="0">
        <v>97</v>
      </c>
      <c r="AP150" t="s" s="0">
        <v>367</v>
      </c>
      <c r="AQ150" t="s" s="0">
        <v>3734</v>
      </c>
      <c r="AR150" t="s" s="0">
        <v>604</v>
      </c>
      <c r="AS150" t="s" s="0">
        <v>3735</v>
      </c>
      <c r="AT150" t="s" s="0">
        <v>3736</v>
      </c>
      <c r="AU150" t="s" s="0">
        <v>3737</v>
      </c>
      <c r="AV150" t="s" s="0">
        <v>81</v>
      </c>
      <c r="AW150" t="s" s="0">
        <v>3738</v>
      </c>
      <c r="AX150" t="s" s="0">
        <v>3739</v>
      </c>
      <c r="AY150" t="s" s="0">
        <v>3740</v>
      </c>
      <c r="AZ150" t="s" s="0">
        <v>220</v>
      </c>
      <c r="BA150" t="s" s="0">
        <v>756</v>
      </c>
      <c r="BB150" t="s" s="0">
        <v>196</v>
      </c>
      <c r="BC150" t="s" s="0">
        <v>81</v>
      </c>
      <c r="BD150" t="s" s="0">
        <v>81</v>
      </c>
      <c r="BE150" t="s" s="0">
        <v>81</v>
      </c>
      <c r="BF150" t="s" s="0">
        <v>81</v>
      </c>
      <c r="BG150" t="s" s="0">
        <v>3741</v>
      </c>
      <c r="BH150" t="s" s="0">
        <v>3742</v>
      </c>
      <c r="BI150" t="s" s="0">
        <v>81</v>
      </c>
      <c r="BJ150" t="s" s="0">
        <v>3743</v>
      </c>
      <c r="BK150" t="s" s="296">
        <f>HYPERLINK("http://dx.doi.org/10.1097/IAE.0000000000003325","http://dx.doi.org/10.1097/IAE.0000000000003325")</f>
        <v>3744</v>
      </c>
      <c r="BL150" t="s" s="0">
        <v>81</v>
      </c>
      <c r="BM150" t="s" s="0">
        <v>81</v>
      </c>
      <c r="BN150" t="s" s="0">
        <v>261</v>
      </c>
      <c r="BO150" t="s" s="0">
        <v>3745</v>
      </c>
      <c r="BP150" t="s" s="0">
        <v>3745</v>
      </c>
      <c r="BQ150" t="s" s="0">
        <v>3746</v>
      </c>
      <c r="BR150" t="s" s="0">
        <v>3747</v>
      </c>
      <c r="BS150" t="s" s="0">
        <v>3748</v>
      </c>
      <c r="BT150" t="s" s="297">
        <f>HYPERLINK("https://www.webofscience.com/wos/woscc/full-record/WOS:000758305500013","View Record in Web of Science")</f>
        <v>114</v>
      </c>
      <c r="BU150" t="s" s="0">
        <v>81</v>
      </c>
      <c r="BV150" t="s" s="0">
        <v>81</v>
      </c>
      <c r="BW150" t="s" s="0">
        <v>81</v>
      </c>
      <c r="BX150" t="s" s="0">
        <v>116</v>
      </c>
    </row>
    <row r="151">
      <c r="A151" t="s" s="0">
        <v>77</v>
      </c>
      <c r="B151" t="s" s="0">
        <v>77</v>
      </c>
      <c r="C151" t="s" s="0">
        <v>77</v>
      </c>
      <c r="D151" t="s" s="0">
        <v>77</v>
      </c>
      <c r="E151" t="s" s="0">
        <v>3749</v>
      </c>
      <c r="F151" t="s" s="0">
        <v>3750</v>
      </c>
      <c r="G151" t="s" s="0">
        <v>3751</v>
      </c>
      <c r="H151" t="s" s="0">
        <v>81</v>
      </c>
      <c r="I151" t="s" s="0">
        <v>82</v>
      </c>
      <c r="J151" t="s" s="0">
        <v>3752</v>
      </c>
      <c r="K151" t="s" s="0">
        <v>3753</v>
      </c>
      <c r="L151" t="s" s="0">
        <v>81</v>
      </c>
      <c r="M151" t="s" s="0">
        <v>81</v>
      </c>
      <c r="N151" t="s" s="0">
        <v>81</v>
      </c>
      <c r="O151" t="s" s="0">
        <v>3754</v>
      </c>
      <c r="P151" t="s" s="0">
        <v>3755</v>
      </c>
      <c r="Q151" t="s" s="0">
        <v>87</v>
      </c>
      <c r="R151" t="s" s="0">
        <v>81</v>
      </c>
      <c r="S151" t="s" s="0">
        <v>81</v>
      </c>
      <c r="T151" t="s" s="0">
        <v>81</v>
      </c>
      <c r="U151" t="s" s="0">
        <v>81</v>
      </c>
      <c r="V151" t="s" s="0">
        <v>3756</v>
      </c>
      <c r="W151" t="s" s="0">
        <v>1340</v>
      </c>
      <c r="X151" t="s" s="0">
        <v>81</v>
      </c>
      <c r="Y151" t="s" s="0">
        <v>81</v>
      </c>
      <c r="Z151" t="s" s="0">
        <v>90</v>
      </c>
      <c r="AA151" t="s" s="0">
        <v>91</v>
      </c>
      <c r="AB151" t="s" s="0">
        <v>81</v>
      </c>
      <c r="AC151" t="s" s="0">
        <v>81</v>
      </c>
      <c r="AD151" t="s" s="0">
        <v>81</v>
      </c>
      <c r="AE151" t="s" s="0">
        <v>81</v>
      </c>
      <c r="AF151" t="s" s="0">
        <v>81</v>
      </c>
      <c r="AG151" t="s" s="0">
        <v>3757</v>
      </c>
      <c r="AH151" t="s" s="0">
        <v>3758</v>
      </c>
      <c r="AI151" t="s" s="0">
        <v>3759</v>
      </c>
      <c r="AJ151" t="s" s="0">
        <v>81</v>
      </c>
      <c r="AK151" t="s" s="0">
        <v>81</v>
      </c>
      <c r="AL151" t="s" s="0">
        <v>1561</v>
      </c>
      <c r="AM151" t="s" s="0">
        <v>77</v>
      </c>
      <c r="AN151" t="s" s="0">
        <v>77</v>
      </c>
      <c r="AO151" t="s" s="0">
        <v>156</v>
      </c>
      <c r="AP151" t="s" s="0">
        <v>156</v>
      </c>
      <c r="AQ151" t="s" s="0">
        <v>1344</v>
      </c>
      <c r="AR151" t="s" s="0">
        <v>1345</v>
      </c>
      <c r="AS151" t="s" s="0">
        <v>1346</v>
      </c>
      <c r="AT151" t="s" s="0">
        <v>1347</v>
      </c>
      <c r="AU151" t="s" s="0">
        <v>1348</v>
      </c>
      <c r="AV151" t="s" s="0">
        <v>81</v>
      </c>
      <c r="AW151" t="s" s="0">
        <v>1349</v>
      </c>
      <c r="AX151" t="s" s="0">
        <v>1350</v>
      </c>
      <c r="AY151" t="s" s="0">
        <v>3760</v>
      </c>
      <c r="AZ151" t="s" s="0">
        <v>103</v>
      </c>
      <c r="BA151" t="s" s="0">
        <v>3761</v>
      </c>
      <c r="BB151" t="s" s="0">
        <v>81</v>
      </c>
      <c r="BC151" t="s" s="0">
        <v>81</v>
      </c>
      <c r="BD151" t="s" s="0">
        <v>145</v>
      </c>
      <c r="BE151" t="s" s="0">
        <v>81</v>
      </c>
      <c r="BF151" t="s" s="0">
        <v>81</v>
      </c>
      <c r="BG151" t="s" s="0">
        <v>81</v>
      </c>
      <c r="BH151" t="s" s="0">
        <v>81</v>
      </c>
      <c r="BI151" t="s" s="0">
        <v>3762</v>
      </c>
      <c r="BJ151" t="s" s="0">
        <v>3763</v>
      </c>
      <c r="BK151" t="s" s="298">
        <f>HYPERLINK("http://dx.doi.org/10.1016/j.eswa.2026.133048","http://dx.doi.org/10.1016/j.eswa.2026.133048")</f>
        <v>3764</v>
      </c>
      <c r="BL151" t="s" s="0">
        <v>81</v>
      </c>
      <c r="BM151" t="s" s="0">
        <v>81</v>
      </c>
      <c r="BN151" t="s" s="0">
        <v>485</v>
      </c>
      <c r="BO151" t="s" s="0">
        <v>1356</v>
      </c>
      <c r="BP151" t="s" s="0">
        <v>1357</v>
      </c>
      <c r="BQ151" t="s" s="0">
        <v>3765</v>
      </c>
      <c r="BR151" t="s" s="0">
        <v>81</v>
      </c>
      <c r="BS151" t="s" s="0">
        <v>3766</v>
      </c>
      <c r="BT151" t="s" s="299">
        <f>HYPERLINK("https://www.webofscience.com/wos/woscc/full-record/WOS:001805049300001","View Record in Web of Science")</f>
        <v>114</v>
      </c>
      <c r="BU151" t="s" s="0">
        <v>81</v>
      </c>
      <c r="BV151" t="s" s="0">
        <v>81</v>
      </c>
      <c r="BW151" t="s" s="0">
        <v>81</v>
      </c>
      <c r="BX151" t="s" s="0">
        <v>116</v>
      </c>
    </row>
    <row r="152">
      <c r="A152" t="s" s="0">
        <v>77</v>
      </c>
      <c r="B152" t="s" s="0">
        <v>77</v>
      </c>
      <c r="C152" t="s" s="0">
        <v>77</v>
      </c>
      <c r="D152" t="s" s="0">
        <v>77</v>
      </c>
      <c r="E152" t="s" s="0">
        <v>3767</v>
      </c>
      <c r="F152" t="s" s="0">
        <v>3768</v>
      </c>
      <c r="G152" t="s" s="0">
        <v>3769</v>
      </c>
      <c r="H152" t="s" s="0">
        <v>81</v>
      </c>
      <c r="I152" t="s" s="0">
        <v>82</v>
      </c>
      <c r="J152" t="s" s="0">
        <v>3770</v>
      </c>
      <c r="K152" t="s" s="0">
        <v>3771</v>
      </c>
      <c r="L152" t="s" s="0">
        <v>81</v>
      </c>
      <c r="M152" t="s" s="0">
        <v>81</v>
      </c>
      <c r="N152" t="s" s="0">
        <v>81</v>
      </c>
      <c r="O152" t="s" s="0">
        <v>3772</v>
      </c>
      <c r="P152" t="s" s="0">
        <v>3773</v>
      </c>
      <c r="Q152" t="s" s="0">
        <v>87</v>
      </c>
      <c r="R152" t="s" s="0">
        <v>81</v>
      </c>
      <c r="S152" t="s" s="0">
        <v>81</v>
      </c>
      <c r="T152" t="s" s="0">
        <v>81</v>
      </c>
      <c r="U152" t="s" s="0">
        <v>81</v>
      </c>
      <c r="V152" t="s" s="0">
        <v>3774</v>
      </c>
      <c r="W152" t="s" s="0">
        <v>3775</v>
      </c>
      <c r="X152" t="s" s="0">
        <v>81</v>
      </c>
      <c r="Y152" t="s" s="0">
        <v>81</v>
      </c>
      <c r="Z152" t="s" s="0">
        <v>90</v>
      </c>
      <c r="AA152" t="s" s="0">
        <v>91</v>
      </c>
      <c r="AB152" t="s" s="0">
        <v>81</v>
      </c>
      <c r="AC152" t="s" s="0">
        <v>81</v>
      </c>
      <c r="AD152" t="s" s="0">
        <v>81</v>
      </c>
      <c r="AE152" t="s" s="0">
        <v>81</v>
      </c>
      <c r="AF152" t="s" s="0">
        <v>81</v>
      </c>
      <c r="AG152" t="s" s="0">
        <v>3776</v>
      </c>
      <c r="AH152" t="s" s="0">
        <v>3777</v>
      </c>
      <c r="AI152" t="s" s="0">
        <v>3778</v>
      </c>
      <c r="AJ152" t="s" s="0">
        <v>3779</v>
      </c>
      <c r="AK152" t="s" s="0">
        <v>81</v>
      </c>
      <c r="AL152" t="s" s="0">
        <v>543</v>
      </c>
      <c r="AM152" t="s" s="0">
        <v>156</v>
      </c>
      <c r="AN152" t="s" s="0">
        <v>156</v>
      </c>
      <c r="AO152" t="s" s="0">
        <v>77</v>
      </c>
      <c r="AP152" t="s" s="0">
        <v>316</v>
      </c>
      <c r="AQ152" t="s" s="0">
        <v>992</v>
      </c>
      <c r="AR152" t="s" s="0">
        <v>3780</v>
      </c>
      <c r="AS152" t="s" s="0">
        <v>3781</v>
      </c>
      <c r="AT152" t="s" s="0">
        <v>3782</v>
      </c>
      <c r="AU152" t="s" s="0">
        <v>3783</v>
      </c>
      <c r="AV152" t="s" s="0">
        <v>81</v>
      </c>
      <c r="AW152" t="s" s="0">
        <v>3784</v>
      </c>
      <c r="AX152" t="s" s="0">
        <v>3785</v>
      </c>
      <c r="AY152" t="s" s="0">
        <v>615</v>
      </c>
      <c r="AZ152" t="s" s="0">
        <v>290</v>
      </c>
      <c r="BA152" t="s" s="0">
        <v>3786</v>
      </c>
      <c r="BB152" t="s" s="0">
        <v>133</v>
      </c>
      <c r="BC152" t="s" s="0">
        <v>81</v>
      </c>
      <c r="BD152" t="s" s="0">
        <v>81</v>
      </c>
      <c r="BE152" t="s" s="0">
        <v>81</v>
      </c>
      <c r="BF152" t="s" s="0">
        <v>81</v>
      </c>
      <c r="BG152" t="s" s="0">
        <v>81</v>
      </c>
      <c r="BH152" t="s" s="0">
        <v>81</v>
      </c>
      <c r="BI152" t="s" s="0">
        <v>3787</v>
      </c>
      <c r="BJ152" t="s" s="0">
        <v>3788</v>
      </c>
      <c r="BK152" t="s" s="300">
        <f>HYPERLINK("http://dx.doi.org/10.1088/1402-4896/adc49b","http://dx.doi.org/10.1088/1402-4896/adc49b")</f>
        <v>3789</v>
      </c>
      <c r="BL152" t="s" s="0">
        <v>81</v>
      </c>
      <c r="BM152" t="s" s="0">
        <v>81</v>
      </c>
      <c r="BN152" t="s" s="0">
        <v>925</v>
      </c>
      <c r="BO152" t="s" s="0">
        <v>3790</v>
      </c>
      <c r="BP152" t="s" s="0">
        <v>3791</v>
      </c>
      <c r="BQ152" t="s" s="0">
        <v>3792</v>
      </c>
      <c r="BR152" t="s" s="0">
        <v>81</v>
      </c>
      <c r="BS152" t="s" s="0">
        <v>3793</v>
      </c>
      <c r="BT152" t="s" s="301">
        <f>HYPERLINK("https://www.webofscience.com/wos/woscc/full-record/WOS:001457724400001","View Record in Web of Science")</f>
        <v>114</v>
      </c>
      <c r="BU152" t="s" s="0">
        <v>155</v>
      </c>
      <c r="BV152" t="s" s="0">
        <v>81</v>
      </c>
      <c r="BW152" t="s" s="0">
        <v>81</v>
      </c>
      <c r="BX152" t="s" s="0">
        <v>116</v>
      </c>
    </row>
    <row r="153">
      <c r="A153" t="s" s="0">
        <v>77</v>
      </c>
      <c r="B153" t="s" s="0">
        <v>77</v>
      </c>
      <c r="C153" t="s" s="0">
        <v>485</v>
      </c>
      <c r="D153" t="s" s="0">
        <v>77</v>
      </c>
      <c r="E153" t="s" s="0">
        <v>3794</v>
      </c>
      <c r="F153" t="s" s="0">
        <v>3795</v>
      </c>
      <c r="G153" t="s" s="0">
        <v>3796</v>
      </c>
      <c r="H153" t="s" s="0">
        <v>81</v>
      </c>
      <c r="I153" t="s" s="0">
        <v>238</v>
      </c>
      <c r="J153" t="s" s="0">
        <v>3797</v>
      </c>
      <c r="K153" t="s" s="0">
        <v>3798</v>
      </c>
      <c r="L153" t="s" s="0">
        <v>3799</v>
      </c>
      <c r="M153" t="s" s="0">
        <v>3800</v>
      </c>
      <c r="N153" t="s" s="0">
        <v>3801</v>
      </c>
      <c r="O153" t="s" s="0">
        <v>3802</v>
      </c>
      <c r="P153" t="s" s="0">
        <v>3803</v>
      </c>
      <c r="Q153" t="s" s="0">
        <v>87</v>
      </c>
      <c r="R153" t="s" s="0">
        <v>81</v>
      </c>
      <c r="S153" t="s" s="0">
        <v>81</v>
      </c>
      <c r="T153" t="s" s="0">
        <v>81</v>
      </c>
      <c r="U153" t="s" s="0">
        <v>81</v>
      </c>
      <c r="V153" t="s" s="0">
        <v>3804</v>
      </c>
      <c r="W153" t="s" s="0">
        <v>3805</v>
      </c>
      <c r="X153" t="s" s="0">
        <v>81</v>
      </c>
      <c r="Y153" t="s" s="0">
        <v>81</v>
      </c>
      <c r="Z153" t="s" s="0">
        <v>90</v>
      </c>
      <c r="AA153" t="s" s="0">
        <v>91</v>
      </c>
      <c r="AB153" t="s" s="0">
        <v>81</v>
      </c>
      <c r="AC153" t="s" s="0">
        <v>81</v>
      </c>
      <c r="AD153" t="s" s="0">
        <v>81</v>
      </c>
      <c r="AE153" t="s" s="0">
        <v>81</v>
      </c>
      <c r="AF153" t="s" s="0">
        <v>81</v>
      </c>
      <c r="AG153" t="s" s="0">
        <v>3806</v>
      </c>
      <c r="AH153" t="s" s="0">
        <v>3807</v>
      </c>
      <c r="AI153" t="s" s="0">
        <v>3808</v>
      </c>
      <c r="AJ153" t="s" s="0">
        <v>3809</v>
      </c>
      <c r="AK153" t="s" s="0">
        <v>81</v>
      </c>
      <c r="AL153" t="s" s="0">
        <v>1837</v>
      </c>
      <c r="AM153" t="s" s="0">
        <v>398</v>
      </c>
      <c r="AN153" t="s" s="0">
        <v>1561</v>
      </c>
      <c r="AO153" t="s" s="0">
        <v>77</v>
      </c>
      <c r="AP153" t="s" s="0">
        <v>133</v>
      </c>
      <c r="AQ153" t="s" s="0">
        <v>3016</v>
      </c>
      <c r="AR153" t="s" s="0">
        <v>546</v>
      </c>
      <c r="AS153" t="s" s="0">
        <v>3017</v>
      </c>
      <c r="AT153" t="s" s="0">
        <v>3810</v>
      </c>
      <c r="AU153" t="s" s="0">
        <v>3811</v>
      </c>
      <c r="AV153" t="s" s="0">
        <v>81</v>
      </c>
      <c r="AW153" t="s" s="0">
        <v>3812</v>
      </c>
      <c r="AX153" t="s" s="0">
        <v>3813</v>
      </c>
      <c r="AY153" t="s" s="0">
        <v>3814</v>
      </c>
      <c r="AZ153" t="s" s="0">
        <v>220</v>
      </c>
      <c r="BA153" t="s" s="0">
        <v>261</v>
      </c>
      <c r="BB153" t="s" s="0">
        <v>97</v>
      </c>
      <c r="BC153" t="s" s="0">
        <v>81</v>
      </c>
      <c r="BD153" t="s" s="0">
        <v>81</v>
      </c>
      <c r="BE153" t="s" s="0">
        <v>81</v>
      </c>
      <c r="BF153" t="s" s="0">
        <v>81</v>
      </c>
      <c r="BG153" t="s" s="0">
        <v>81</v>
      </c>
      <c r="BH153" t="s" s="0">
        <v>81</v>
      </c>
      <c r="BI153" t="s" s="0">
        <v>222</v>
      </c>
      <c r="BJ153" t="s" s="0">
        <v>3815</v>
      </c>
      <c r="BK153" t="s" s="302">
        <f>HYPERLINK("http://dx.doi.org/10.1186/s40708-022-00165-5","http://dx.doi.org/10.1186/s40708-022-00165-5")</f>
        <v>3816</v>
      </c>
      <c r="BL153" t="s" s="0">
        <v>81</v>
      </c>
      <c r="BM153" t="s" s="0">
        <v>81</v>
      </c>
      <c r="BN153" t="s" s="0">
        <v>222</v>
      </c>
      <c r="BO153" t="s" s="0">
        <v>3817</v>
      </c>
      <c r="BP153" t="s" s="0">
        <v>3818</v>
      </c>
      <c r="BQ153" t="s" s="0">
        <v>3819</v>
      </c>
      <c r="BR153" t="s" s="0">
        <v>3820</v>
      </c>
      <c r="BS153" t="s" s="0">
        <v>3821</v>
      </c>
      <c r="BT153" t="s" s="303">
        <f>HYPERLINK("https://www.webofscience.com/wos/woscc/full-record/WOS:001206545600005","View Record in Web of Science")</f>
        <v>114</v>
      </c>
      <c r="BU153" t="s" s="0">
        <v>301</v>
      </c>
      <c r="BV153" t="s" s="0">
        <v>81</v>
      </c>
      <c r="BW153" t="s" s="0">
        <v>81</v>
      </c>
      <c r="BX153" t="s" s="0">
        <v>116</v>
      </c>
    </row>
    <row r="154">
      <c r="A154" t="s" s="0">
        <v>77</v>
      </c>
      <c r="B154" t="s" s="0">
        <v>77</v>
      </c>
      <c r="C154" t="s" s="0">
        <v>316</v>
      </c>
      <c r="D154" t="s" s="0">
        <v>77</v>
      </c>
      <c r="E154" t="s" s="0">
        <v>3822</v>
      </c>
      <c r="F154" t="s" s="0">
        <v>3823</v>
      </c>
      <c r="G154" t="s" s="0">
        <v>3824</v>
      </c>
      <c r="H154" t="s" s="0">
        <v>81</v>
      </c>
      <c r="I154" t="s" s="0">
        <v>82</v>
      </c>
      <c r="J154" t="s" s="0">
        <v>3825</v>
      </c>
      <c r="K154" t="s" s="0">
        <v>3826</v>
      </c>
      <c r="L154" t="s" s="0">
        <v>81</v>
      </c>
      <c r="M154" t="s" s="0">
        <v>81</v>
      </c>
      <c r="N154" t="s" s="0">
        <v>81</v>
      </c>
      <c r="O154" t="s" s="0">
        <v>3827</v>
      </c>
      <c r="P154" t="s" s="0">
        <v>3828</v>
      </c>
      <c r="Q154" t="s" s="0">
        <v>87</v>
      </c>
      <c r="R154" t="s" s="0">
        <v>81</v>
      </c>
      <c r="S154" t="s" s="0">
        <v>81</v>
      </c>
      <c r="T154" t="s" s="0">
        <v>81</v>
      </c>
      <c r="U154" t="s" s="0">
        <v>81</v>
      </c>
      <c r="V154" t="s" s="0">
        <v>3829</v>
      </c>
      <c r="W154" t="s" s="0">
        <v>3830</v>
      </c>
      <c r="X154" t="s" s="0">
        <v>81</v>
      </c>
      <c r="Y154" t="s" s="0">
        <v>81</v>
      </c>
      <c r="Z154" t="s" s="0">
        <v>90</v>
      </c>
      <c r="AA154" t="s" s="0">
        <v>91</v>
      </c>
      <c r="AB154" t="s" s="0">
        <v>81</v>
      </c>
      <c r="AC154" t="s" s="0">
        <v>81</v>
      </c>
      <c r="AD154" t="s" s="0">
        <v>81</v>
      </c>
      <c r="AE154" t="s" s="0">
        <v>81</v>
      </c>
      <c r="AF154" t="s" s="0">
        <v>81</v>
      </c>
      <c r="AG154" t="s" s="0">
        <v>3831</v>
      </c>
      <c r="AH154" t="s" s="0">
        <v>3832</v>
      </c>
      <c r="AI154" t="s" s="0">
        <v>3833</v>
      </c>
      <c r="AJ154" t="s" s="0">
        <v>3834</v>
      </c>
      <c r="AK154" t="s" s="0">
        <v>81</v>
      </c>
      <c r="AL154" t="s" s="0">
        <v>173</v>
      </c>
      <c r="AM154" t="s" s="0">
        <v>228</v>
      </c>
      <c r="AN154" t="s" s="0">
        <v>1912</v>
      </c>
      <c r="AO154" t="s" s="0">
        <v>77</v>
      </c>
      <c r="AP154" t="s" s="0">
        <v>367</v>
      </c>
      <c r="AQ154" t="s" s="0">
        <v>284</v>
      </c>
      <c r="AR154" t="s" s="0">
        <v>285</v>
      </c>
      <c r="AS154" t="s" s="0">
        <v>286</v>
      </c>
      <c r="AT154" t="s" s="0">
        <v>3835</v>
      </c>
      <c r="AU154" t="s" s="0">
        <v>81</v>
      </c>
      <c r="AV154" t="s" s="0">
        <v>81</v>
      </c>
      <c r="AW154" t="s" s="0">
        <v>3836</v>
      </c>
      <c r="AX154" t="s" s="0">
        <v>3837</v>
      </c>
      <c r="AY154" t="s" s="0">
        <v>3838</v>
      </c>
      <c r="AZ154" t="s" s="0">
        <v>260</v>
      </c>
      <c r="BA154" t="s" s="0">
        <v>134</v>
      </c>
      <c r="BB154" t="s" s="0">
        <v>97</v>
      </c>
      <c r="BC154" t="s" s="0">
        <v>81</v>
      </c>
      <c r="BD154" t="s" s="0">
        <v>81</v>
      </c>
      <c r="BE154" t="s" s="0">
        <v>81</v>
      </c>
      <c r="BF154" t="s" s="0">
        <v>81</v>
      </c>
      <c r="BG154" t="s" s="0">
        <v>81</v>
      </c>
      <c r="BH154" t="s" s="0">
        <v>81</v>
      </c>
      <c r="BI154" t="s" s="0">
        <v>291</v>
      </c>
      <c r="BJ154" t="s" s="0">
        <v>3839</v>
      </c>
      <c r="BK154" t="s" s="304">
        <f>HYPERLINK("http://dx.doi.org/10.3390/electronics12010015","http://dx.doi.org/10.3390/electronics12010015")</f>
        <v>3840</v>
      </c>
      <c r="BL154" t="s" s="0">
        <v>81</v>
      </c>
      <c r="BM154" t="s" s="0">
        <v>81</v>
      </c>
      <c r="BN154" t="s" s="0">
        <v>925</v>
      </c>
      <c r="BO154" t="s" s="0">
        <v>3841</v>
      </c>
      <c r="BP154" t="s" s="0">
        <v>3842</v>
      </c>
      <c r="BQ154" t="s" s="0">
        <v>3843</v>
      </c>
      <c r="BR154" t="s" s="0">
        <v>81</v>
      </c>
      <c r="BS154" t="s" s="0">
        <v>3844</v>
      </c>
      <c r="BT154" t="s" s="305">
        <f>HYPERLINK("https://www.webofscience.com/wos/woscc/full-record/WOS:000909355900001","View Record in Web of Science")</f>
        <v>114</v>
      </c>
      <c r="BU154" t="s" s="0">
        <v>301</v>
      </c>
      <c r="BV154" t="s" s="0">
        <v>81</v>
      </c>
      <c r="BW154" t="s" s="0">
        <v>81</v>
      </c>
      <c r="BX154" t="s" s="0">
        <v>116</v>
      </c>
    </row>
    <row r="155">
      <c r="A155" t="s" s="0">
        <v>156</v>
      </c>
      <c r="B155" t="s" s="0">
        <v>77</v>
      </c>
      <c r="C155" t="s" s="0">
        <v>156</v>
      </c>
      <c r="D155" t="s" s="0">
        <v>77</v>
      </c>
      <c r="E155" t="s" s="0">
        <v>3845</v>
      </c>
      <c r="F155" t="s" s="0">
        <v>3846</v>
      </c>
      <c r="G155" t="s" s="0">
        <v>3847</v>
      </c>
      <c r="H155" t="s" s="0">
        <v>81</v>
      </c>
      <c r="I155" t="s" s="0">
        <v>528</v>
      </c>
      <c r="J155" t="s" s="0">
        <v>3848</v>
      </c>
      <c r="K155" t="s" s="0">
        <v>3849</v>
      </c>
      <c r="L155" t="s" s="0">
        <v>81</v>
      </c>
      <c r="M155" t="s" s="0">
        <v>81</v>
      </c>
      <c r="N155" t="s" s="0">
        <v>81</v>
      </c>
      <c r="O155" t="s" s="0">
        <v>3850</v>
      </c>
      <c r="P155" t="s" s="0">
        <v>3851</v>
      </c>
      <c r="Q155" t="s" s="0">
        <v>87</v>
      </c>
      <c r="R155" t="s" s="0">
        <v>81</v>
      </c>
      <c r="S155" t="s" s="0">
        <v>81</v>
      </c>
      <c r="T155" t="s" s="0">
        <v>81</v>
      </c>
      <c r="U155" t="s" s="0">
        <v>81</v>
      </c>
      <c r="V155" t="s" s="0">
        <v>3852</v>
      </c>
      <c r="W155" t="s" s="0">
        <v>3853</v>
      </c>
      <c r="X155" t="s" s="0">
        <v>81</v>
      </c>
      <c r="Y155" t="s" s="0">
        <v>81</v>
      </c>
      <c r="Z155" t="s" s="0">
        <v>90</v>
      </c>
      <c r="AA155" t="s" s="0">
        <v>91</v>
      </c>
      <c r="AB155" t="s" s="0">
        <v>81</v>
      </c>
      <c r="AC155" t="s" s="0">
        <v>81</v>
      </c>
      <c r="AD155" t="s" s="0">
        <v>81</v>
      </c>
      <c r="AE155" t="s" s="0">
        <v>81</v>
      </c>
      <c r="AF155" t="s" s="0">
        <v>81</v>
      </c>
      <c r="AG155" t="s" s="0">
        <v>3854</v>
      </c>
      <c r="AH155" t="s" s="0">
        <v>3855</v>
      </c>
      <c r="AI155" t="s" s="0">
        <v>3856</v>
      </c>
      <c r="AJ155" t="s" s="0">
        <v>3857</v>
      </c>
      <c r="AK155" t="s" s="0">
        <v>81</v>
      </c>
      <c r="AL155" t="s" s="0">
        <v>405</v>
      </c>
      <c r="AM155" t="s" s="0">
        <v>434</v>
      </c>
      <c r="AN155" t="s" s="0">
        <v>228</v>
      </c>
      <c r="AO155" t="s" s="0">
        <v>196</v>
      </c>
      <c r="AP155" t="s" s="0">
        <v>343</v>
      </c>
      <c r="AQ155" t="s" s="0">
        <v>284</v>
      </c>
      <c r="AR155" t="s" s="0">
        <v>285</v>
      </c>
      <c r="AS155" t="s" s="0">
        <v>286</v>
      </c>
      <c r="AT155" t="s" s="0">
        <v>81</v>
      </c>
      <c r="AU155" t="s" s="0">
        <v>3858</v>
      </c>
      <c r="AV155" t="s" s="0">
        <v>81</v>
      </c>
      <c r="AW155" t="s" s="0">
        <v>3859</v>
      </c>
      <c r="AX155" t="s" s="0">
        <v>3860</v>
      </c>
      <c r="AY155" t="s" s="0">
        <v>227</v>
      </c>
      <c r="AZ155" t="s" s="0">
        <v>220</v>
      </c>
      <c r="BA155" t="s" s="0">
        <v>485</v>
      </c>
      <c r="BB155" t="s" s="0">
        <v>134</v>
      </c>
      <c r="BC155" t="s" s="0">
        <v>81</v>
      </c>
      <c r="BD155" t="s" s="0">
        <v>81</v>
      </c>
      <c r="BE155" t="s" s="0">
        <v>81</v>
      </c>
      <c r="BF155" t="s" s="0">
        <v>81</v>
      </c>
      <c r="BG155" t="s" s="0">
        <v>81</v>
      </c>
      <c r="BH155" t="s" s="0">
        <v>81</v>
      </c>
      <c r="BI155" t="s" s="0">
        <v>3861</v>
      </c>
      <c r="BJ155" t="s" s="0">
        <v>3862</v>
      </c>
      <c r="BK155" t="s" s="306">
        <f>HYPERLINK("http://dx.doi.org/10.3390/ijerph19126988","http://dx.doi.org/10.3390/ijerph19126988")</f>
        <v>3863</v>
      </c>
      <c r="BL155" t="s" s="0">
        <v>81</v>
      </c>
      <c r="BM155" t="s" s="0">
        <v>81</v>
      </c>
      <c r="BN155" t="s" s="0">
        <v>291</v>
      </c>
      <c r="BO155" t="s" s="0">
        <v>3864</v>
      </c>
      <c r="BP155" t="s" s="0">
        <v>3865</v>
      </c>
      <c r="BQ155" t="s" s="0">
        <v>3866</v>
      </c>
      <c r="BR155" t="s" s="0">
        <v>3867</v>
      </c>
      <c r="BS155" t="s" s="0">
        <v>3868</v>
      </c>
      <c r="BT155" t="s" s="307">
        <f>HYPERLINK("https://www.webofscience.com/wos/woscc/full-record/WOS:000818199600001","View Record in Web of Science")</f>
        <v>114</v>
      </c>
      <c r="BU155" t="s" s="0">
        <v>301</v>
      </c>
      <c r="BV155" t="s" s="0">
        <v>81</v>
      </c>
      <c r="BW155" t="s" s="0">
        <v>81</v>
      </c>
      <c r="BX155" t="s" s="0">
        <v>116</v>
      </c>
    </row>
    <row r="156">
      <c r="A156" t="s" s="0">
        <v>77</v>
      </c>
      <c r="B156" t="s" s="0">
        <v>77</v>
      </c>
      <c r="C156" t="s" s="0">
        <v>77</v>
      </c>
      <c r="D156" t="s" s="0">
        <v>77</v>
      </c>
      <c r="E156" t="s" s="0">
        <v>3869</v>
      </c>
      <c r="F156" t="s" s="0">
        <v>3870</v>
      </c>
      <c r="G156" t="s" s="0">
        <v>3871</v>
      </c>
      <c r="H156" t="s" s="0">
        <v>81</v>
      </c>
      <c r="I156" t="s" s="0">
        <v>238</v>
      </c>
      <c r="J156" t="s" s="0">
        <v>3872</v>
      </c>
      <c r="K156" t="s" s="0">
        <v>3873</v>
      </c>
      <c r="L156" t="s" s="0">
        <v>81</v>
      </c>
      <c r="M156" t="s" s="0">
        <v>81</v>
      </c>
      <c r="N156" t="s" s="0">
        <v>81</v>
      </c>
      <c r="O156" t="s" s="0">
        <v>3874</v>
      </c>
      <c r="P156" t="s" s="0">
        <v>3875</v>
      </c>
      <c r="Q156" t="s" s="0">
        <v>87</v>
      </c>
      <c r="R156" t="s" s="0">
        <v>81</v>
      </c>
      <c r="S156" t="s" s="0">
        <v>81</v>
      </c>
      <c r="T156" t="s" s="0">
        <v>81</v>
      </c>
      <c r="U156" t="s" s="0">
        <v>81</v>
      </c>
      <c r="V156" t="s" s="0">
        <v>3876</v>
      </c>
      <c r="W156" t="s" s="0">
        <v>1482</v>
      </c>
      <c r="X156" t="s" s="0">
        <v>81</v>
      </c>
      <c r="Y156" t="s" s="0">
        <v>81</v>
      </c>
      <c r="Z156" t="s" s="0">
        <v>90</v>
      </c>
      <c r="AA156" t="s" s="0">
        <v>91</v>
      </c>
      <c r="AB156" t="s" s="0">
        <v>81</v>
      </c>
      <c r="AC156" t="s" s="0">
        <v>81</v>
      </c>
      <c r="AD156" t="s" s="0">
        <v>81</v>
      </c>
      <c r="AE156" t="s" s="0">
        <v>81</v>
      </c>
      <c r="AF156" t="s" s="0">
        <v>81</v>
      </c>
      <c r="AG156" t="s" s="0">
        <v>3877</v>
      </c>
      <c r="AH156" t="s" s="0">
        <v>81</v>
      </c>
      <c r="AI156" t="s" s="0">
        <v>3878</v>
      </c>
      <c r="AJ156" t="s" s="0">
        <v>3879</v>
      </c>
      <c r="AK156" t="s" s="0">
        <v>81</v>
      </c>
      <c r="AL156" t="s" s="0">
        <v>252</v>
      </c>
      <c r="AM156" t="s" s="0">
        <v>77</v>
      </c>
      <c r="AN156" t="s" s="0">
        <v>77</v>
      </c>
      <c r="AO156" t="s" s="0">
        <v>97</v>
      </c>
      <c r="AP156" t="s" s="0">
        <v>97</v>
      </c>
      <c r="AQ156" t="s" s="0">
        <v>284</v>
      </c>
      <c r="AR156" t="s" s="0">
        <v>285</v>
      </c>
      <c r="AS156" t="s" s="0">
        <v>286</v>
      </c>
      <c r="AT156" t="s" s="0">
        <v>1487</v>
      </c>
      <c r="AU156" t="s" s="0">
        <v>81</v>
      </c>
      <c r="AV156" t="s" s="0">
        <v>81</v>
      </c>
      <c r="AW156" t="s" s="0">
        <v>1482</v>
      </c>
      <c r="AX156" t="s" s="0">
        <v>1488</v>
      </c>
      <c r="AY156" t="s" s="0">
        <v>3880</v>
      </c>
      <c r="AZ156" t="s" s="0">
        <v>103</v>
      </c>
      <c r="BA156" t="s" s="0">
        <v>291</v>
      </c>
      <c r="BB156" t="s" s="0">
        <v>97</v>
      </c>
      <c r="BC156" t="s" s="0">
        <v>81</v>
      </c>
      <c r="BD156" t="s" s="0">
        <v>81</v>
      </c>
      <c r="BE156" t="s" s="0">
        <v>81</v>
      </c>
      <c r="BF156" t="s" s="0">
        <v>81</v>
      </c>
      <c r="BG156" t="s" s="0">
        <v>81</v>
      </c>
      <c r="BH156" t="s" s="0">
        <v>81</v>
      </c>
      <c r="BI156" t="s" s="0">
        <v>253</v>
      </c>
      <c r="BJ156" t="s" s="0">
        <v>3881</v>
      </c>
      <c r="BK156" t="s" s="308">
        <f>HYPERLINK("http://dx.doi.org/10.3390/computers15010033","http://dx.doi.org/10.3390/computers15010033")</f>
        <v>3882</v>
      </c>
      <c r="BL156" t="s" s="0">
        <v>81</v>
      </c>
      <c r="BM156" t="s" s="0">
        <v>81</v>
      </c>
      <c r="BN156" t="s" s="0">
        <v>434</v>
      </c>
      <c r="BO156" t="s" s="0">
        <v>1493</v>
      </c>
      <c r="BP156" t="s" s="0">
        <v>152</v>
      </c>
      <c r="BQ156" t="s" s="0">
        <v>3883</v>
      </c>
      <c r="BR156" t="s" s="0">
        <v>81</v>
      </c>
      <c r="BS156" t="s" s="0">
        <v>3884</v>
      </c>
      <c r="BT156" t="s" s="309">
        <f>HYPERLINK("https://www.webofscience.com/wos/woscc/full-record/WOS:001670136400001","View Record in Web of Science")</f>
        <v>114</v>
      </c>
      <c r="BU156" t="s" s="0">
        <v>301</v>
      </c>
      <c r="BV156" t="s" s="0">
        <v>81</v>
      </c>
      <c r="BW156" t="s" s="0">
        <v>81</v>
      </c>
      <c r="BX156" t="s" s="0">
        <v>116</v>
      </c>
    </row>
    <row r="157">
      <c r="A157" t="s" s="0">
        <v>77</v>
      </c>
      <c r="B157" t="s" s="0">
        <v>77</v>
      </c>
      <c r="C157" t="s" s="0">
        <v>77</v>
      </c>
      <c r="D157" t="s" s="0">
        <v>77</v>
      </c>
      <c r="E157" t="s" s="0">
        <v>3885</v>
      </c>
      <c r="F157" t="s" s="0">
        <v>3886</v>
      </c>
      <c r="G157" t="s" s="0">
        <v>3887</v>
      </c>
      <c r="H157" t="s" s="0">
        <v>81</v>
      </c>
      <c r="I157" t="s" s="0">
        <v>238</v>
      </c>
      <c r="J157" t="s" s="0">
        <v>3888</v>
      </c>
      <c r="K157" t="s" s="0">
        <v>3889</v>
      </c>
      <c r="L157" t="s" s="0">
        <v>3890</v>
      </c>
      <c r="M157" t="s" s="0">
        <v>3891</v>
      </c>
      <c r="N157" t="s" s="0">
        <v>3892</v>
      </c>
      <c r="O157" t="s" s="0">
        <v>3893</v>
      </c>
      <c r="P157" t="s" s="0">
        <v>3894</v>
      </c>
      <c r="Q157" t="s" s="0">
        <v>87</v>
      </c>
      <c r="R157" t="s" s="0">
        <v>81</v>
      </c>
      <c r="S157" t="s" s="0">
        <v>81</v>
      </c>
      <c r="T157" t="s" s="0">
        <v>81</v>
      </c>
      <c r="U157" t="s" s="0">
        <v>81</v>
      </c>
      <c r="V157" t="s" s="0">
        <v>3895</v>
      </c>
      <c r="W157" t="s" s="0">
        <v>3896</v>
      </c>
      <c r="X157" t="s" s="0">
        <v>81</v>
      </c>
      <c r="Y157" t="s" s="0">
        <v>81</v>
      </c>
      <c r="Z157" t="s" s="0">
        <v>90</v>
      </c>
      <c r="AA157" t="s" s="0">
        <v>91</v>
      </c>
      <c r="AB157" t="s" s="0">
        <v>81</v>
      </c>
      <c r="AC157" t="s" s="0">
        <v>81</v>
      </c>
      <c r="AD157" t="s" s="0">
        <v>81</v>
      </c>
      <c r="AE157" t="s" s="0">
        <v>81</v>
      </c>
      <c r="AF157" t="s" s="0">
        <v>81</v>
      </c>
      <c r="AG157" t="s" s="0">
        <v>3897</v>
      </c>
      <c r="AH157" t="s" s="0">
        <v>3898</v>
      </c>
      <c r="AI157" t="s" s="0">
        <v>81</v>
      </c>
      <c r="AJ157" t="s" s="0">
        <v>3899</v>
      </c>
      <c r="AK157" t="s" s="0">
        <v>81</v>
      </c>
      <c r="AL157" t="s" s="0">
        <v>544</v>
      </c>
      <c r="AM157" t="s" s="0">
        <v>196</v>
      </c>
      <c r="AN157" t="s" s="0">
        <v>175</v>
      </c>
      <c r="AO157" t="s" s="0">
        <v>97</v>
      </c>
      <c r="AP157" t="s" s="0">
        <v>196</v>
      </c>
      <c r="AQ157" t="s" s="0">
        <v>284</v>
      </c>
      <c r="AR157" t="s" s="0">
        <v>285</v>
      </c>
      <c r="AS157" t="s" s="0">
        <v>286</v>
      </c>
      <c r="AT157" t="s" s="0">
        <v>81</v>
      </c>
      <c r="AU157" t="s" s="0">
        <v>3900</v>
      </c>
      <c r="AV157" t="s" s="0">
        <v>81</v>
      </c>
      <c r="AW157" t="s" s="0">
        <v>3901</v>
      </c>
      <c r="AX157" t="s" s="0">
        <v>3902</v>
      </c>
      <c r="AY157" t="s" s="0">
        <v>3903</v>
      </c>
      <c r="AZ157" t="s" s="0">
        <v>290</v>
      </c>
      <c r="BA157" t="s" s="0">
        <v>234</v>
      </c>
      <c r="BB157" t="s" s="0">
        <v>156</v>
      </c>
      <c r="BC157" t="s" s="0">
        <v>81</v>
      </c>
      <c r="BD157" t="s" s="0">
        <v>81</v>
      </c>
      <c r="BE157" t="s" s="0">
        <v>81</v>
      </c>
      <c r="BF157" t="s" s="0">
        <v>81</v>
      </c>
      <c r="BG157" t="s" s="0">
        <v>81</v>
      </c>
      <c r="BH157" t="s" s="0">
        <v>81</v>
      </c>
      <c r="BI157" t="s" s="0">
        <v>485</v>
      </c>
      <c r="BJ157" t="s" s="0">
        <v>3904</v>
      </c>
      <c r="BK157" t="s" s="310">
        <f>HYPERLINK("http://dx.doi.org/10.3390/clockssleep7020019","http://dx.doi.org/10.3390/clockssleep7020019")</f>
        <v>3905</v>
      </c>
      <c r="BL157" t="s" s="0">
        <v>81</v>
      </c>
      <c r="BM157" t="s" s="0">
        <v>81</v>
      </c>
      <c r="BN157" t="s" s="0">
        <v>367</v>
      </c>
      <c r="BO157" t="s" s="0">
        <v>3906</v>
      </c>
      <c r="BP157" t="s" s="0">
        <v>2504</v>
      </c>
      <c r="BQ157" t="s" s="0">
        <v>3907</v>
      </c>
      <c r="BR157" t="s" s="0">
        <v>3908</v>
      </c>
      <c r="BS157" t="s" s="0">
        <v>3909</v>
      </c>
      <c r="BT157" t="s" s="311">
        <f>HYPERLINK("https://www.webofscience.com/wos/woscc/full-record/WOS:001514719900001","View Record in Web of Science")</f>
        <v>114</v>
      </c>
      <c r="BU157" t="s" s="0">
        <v>301</v>
      </c>
      <c r="BV157" t="s" s="0">
        <v>81</v>
      </c>
      <c r="BW157" t="s" s="0">
        <v>81</v>
      </c>
      <c r="BX157" t="s" s="0">
        <v>116</v>
      </c>
    </row>
    <row r="158">
      <c r="A158" t="s" s="0">
        <v>77</v>
      </c>
      <c r="B158" t="s" s="0">
        <v>77</v>
      </c>
      <c r="C158" t="s" s="0">
        <v>77</v>
      </c>
      <c r="D158" t="s" s="0">
        <v>77</v>
      </c>
      <c r="E158" t="s" s="0">
        <v>3910</v>
      </c>
      <c r="F158" t="s" s="0">
        <v>3911</v>
      </c>
      <c r="G158" t="s" s="0">
        <v>3912</v>
      </c>
      <c r="H158" t="s" s="0">
        <v>81</v>
      </c>
      <c r="I158" t="s" s="0">
        <v>82</v>
      </c>
      <c r="J158" t="s" s="0">
        <v>3913</v>
      </c>
      <c r="K158" t="s" s="0">
        <v>3914</v>
      </c>
      <c r="L158" t="s" s="0">
        <v>81</v>
      </c>
      <c r="M158" t="s" s="0">
        <v>81</v>
      </c>
      <c r="N158" t="s" s="0">
        <v>81</v>
      </c>
      <c r="O158" t="s" s="0">
        <v>3915</v>
      </c>
      <c r="P158" t="s" s="0">
        <v>3916</v>
      </c>
      <c r="Q158" t="s" s="0">
        <v>87</v>
      </c>
      <c r="R158" t="s" s="0">
        <v>81</v>
      </c>
      <c r="S158" t="s" s="0">
        <v>81</v>
      </c>
      <c r="T158" t="s" s="0">
        <v>81</v>
      </c>
      <c r="U158" t="s" s="0">
        <v>81</v>
      </c>
      <c r="V158" t="s" s="0">
        <v>3917</v>
      </c>
      <c r="W158" t="s" s="0">
        <v>3918</v>
      </c>
      <c r="X158" t="s" s="0">
        <v>81</v>
      </c>
      <c r="Y158" t="s" s="0">
        <v>81</v>
      </c>
      <c r="Z158" t="s" s="0">
        <v>90</v>
      </c>
      <c r="AA158" t="s" s="0">
        <v>1581</v>
      </c>
      <c r="AB158" t="s" s="0">
        <v>81</v>
      </c>
      <c r="AC158" t="s" s="0">
        <v>81</v>
      </c>
      <c r="AD158" t="s" s="0">
        <v>81</v>
      </c>
      <c r="AE158" t="s" s="0">
        <v>81</v>
      </c>
      <c r="AF158" t="s" s="0">
        <v>81</v>
      </c>
      <c r="AG158" t="s" s="0">
        <v>3919</v>
      </c>
      <c r="AH158" t="s" s="0">
        <v>81</v>
      </c>
      <c r="AI158" t="s" s="0">
        <v>3920</v>
      </c>
      <c r="AJ158" t="s" s="0">
        <v>3921</v>
      </c>
      <c r="AK158" t="s" s="0">
        <v>81</v>
      </c>
      <c r="AL158" t="s" s="0">
        <v>874</v>
      </c>
      <c r="AM158" t="s" s="0">
        <v>77</v>
      </c>
      <c r="AN158" t="s" s="0">
        <v>77</v>
      </c>
      <c r="AO158" t="s" s="0">
        <v>77</v>
      </c>
      <c r="AP158" t="s" s="0">
        <v>77</v>
      </c>
      <c r="AQ158" t="s" s="0">
        <v>212</v>
      </c>
      <c r="AR158" t="s" s="0">
        <v>429</v>
      </c>
      <c r="AS158" t="s" s="0">
        <v>784</v>
      </c>
      <c r="AT158" t="s" s="0">
        <v>3922</v>
      </c>
      <c r="AU158" t="s" s="0">
        <v>3923</v>
      </c>
      <c r="AV158" t="s" s="0">
        <v>81</v>
      </c>
      <c r="AW158" t="s" s="0">
        <v>3924</v>
      </c>
      <c r="AX158" t="s" s="0">
        <v>3925</v>
      </c>
      <c r="AY158" t="s" s="0">
        <v>81</v>
      </c>
      <c r="AZ158" t="s" s="0">
        <v>103</v>
      </c>
      <c r="BA158" t="s" s="0">
        <v>81</v>
      </c>
      <c r="BB158" t="s" s="0">
        <v>81</v>
      </c>
      <c r="BC158" t="s" s="0">
        <v>81</v>
      </c>
      <c r="BD158" t="s" s="0">
        <v>81</v>
      </c>
      <c r="BE158" t="s" s="0">
        <v>81</v>
      </c>
      <c r="BF158" t="s" s="0">
        <v>81</v>
      </c>
      <c r="BG158" t="s" s="0">
        <v>81</v>
      </c>
      <c r="BH158" t="s" s="0">
        <v>81</v>
      </c>
      <c r="BI158" t="s" s="0">
        <v>81</v>
      </c>
      <c r="BJ158" t="s" s="0">
        <v>3926</v>
      </c>
      <c r="BK158" t="s" s="312">
        <f>HYPERLINK("http://dx.doi.org/10.1007/s00417-026-07284-3","http://dx.doi.org/10.1007/s00417-026-07284-3")</f>
        <v>3927</v>
      </c>
      <c r="BL158" t="s" s="0">
        <v>81</v>
      </c>
      <c r="BM158" t="s" s="0">
        <v>675</v>
      </c>
      <c r="BN158" t="s" s="0">
        <v>874</v>
      </c>
      <c r="BO158" t="s" s="0">
        <v>3745</v>
      </c>
      <c r="BP158" t="s" s="0">
        <v>3745</v>
      </c>
      <c r="BQ158" t="s" s="0">
        <v>3928</v>
      </c>
      <c r="BR158" t="s" s="0">
        <v>3929</v>
      </c>
      <c r="BS158" t="s" s="0">
        <v>3930</v>
      </c>
      <c r="BT158" t="s" s="313">
        <f>HYPERLINK("https://www.webofscience.com/wos/woscc/full-record/WOS:001773061300001","View Record in Web of Science")</f>
        <v>114</v>
      </c>
      <c r="BU158" t="s" s="0">
        <v>81</v>
      </c>
      <c r="BV158" t="s" s="0">
        <v>81</v>
      </c>
      <c r="BW158" t="s" s="0">
        <v>81</v>
      </c>
      <c r="BX158" t="s" s="0">
        <v>116</v>
      </c>
    </row>
    <row r="159">
      <c r="A159" t="s" s="0">
        <v>77</v>
      </c>
      <c r="B159" t="s" s="0">
        <v>77</v>
      </c>
      <c r="C159" t="s" s="0">
        <v>97</v>
      </c>
      <c r="D159" t="s" s="0">
        <v>77</v>
      </c>
      <c r="E159" t="s" s="0">
        <v>3931</v>
      </c>
      <c r="F159" t="s" s="0">
        <v>3932</v>
      </c>
      <c r="G159" t="s" s="0">
        <v>3933</v>
      </c>
      <c r="H159" t="s" s="0">
        <v>81</v>
      </c>
      <c r="I159" t="s" s="0">
        <v>82</v>
      </c>
      <c r="J159" t="s" s="0">
        <v>3934</v>
      </c>
      <c r="K159" t="s" s="0">
        <v>3935</v>
      </c>
      <c r="L159" t="s" s="0">
        <v>3936</v>
      </c>
      <c r="M159" t="s" s="0">
        <v>3937</v>
      </c>
      <c r="N159" t="s" s="0">
        <v>3938</v>
      </c>
      <c r="O159" t="s" s="0">
        <v>3939</v>
      </c>
      <c r="P159" t="s" s="0">
        <v>3940</v>
      </c>
      <c r="Q159" t="s" s="0">
        <v>87</v>
      </c>
      <c r="R159" t="s" s="0">
        <v>81</v>
      </c>
      <c r="S159" t="s" s="0">
        <v>81</v>
      </c>
      <c r="T159" t="s" s="0">
        <v>81</v>
      </c>
      <c r="U159" t="s" s="0">
        <v>81</v>
      </c>
      <c r="V159" t="s" s="0">
        <v>3941</v>
      </c>
      <c r="W159" t="s" s="0">
        <v>89</v>
      </c>
      <c r="X159" t="s" s="0">
        <v>81</v>
      </c>
      <c r="Y159" t="s" s="0">
        <v>81</v>
      </c>
      <c r="Z159" t="s" s="0">
        <v>90</v>
      </c>
      <c r="AA159" t="s" s="0">
        <v>91</v>
      </c>
      <c r="AB159" t="s" s="0">
        <v>81</v>
      </c>
      <c r="AC159" t="s" s="0">
        <v>81</v>
      </c>
      <c r="AD159" t="s" s="0">
        <v>81</v>
      </c>
      <c r="AE159" t="s" s="0">
        <v>81</v>
      </c>
      <c r="AF159" t="s" s="0">
        <v>81</v>
      </c>
      <c r="AG159" t="s" s="0">
        <v>3942</v>
      </c>
      <c r="AH159" t="s" s="0">
        <v>3943</v>
      </c>
      <c r="AI159" t="s" s="0">
        <v>3944</v>
      </c>
      <c r="AJ159" t="s" s="0">
        <v>3945</v>
      </c>
      <c r="AK159" t="s" s="0">
        <v>81</v>
      </c>
      <c r="AL159" t="s" s="0">
        <v>544</v>
      </c>
      <c r="AM159" t="s" s="0">
        <v>196</v>
      </c>
      <c r="AN159" t="s" s="0">
        <v>196</v>
      </c>
      <c r="AO159" t="s" s="0">
        <v>316</v>
      </c>
      <c r="AP159" t="s" s="0">
        <v>261</v>
      </c>
      <c r="AQ159" t="s" s="0">
        <v>98</v>
      </c>
      <c r="AR159" t="s" s="0">
        <v>99</v>
      </c>
      <c r="AS159" t="s" s="0">
        <v>100</v>
      </c>
      <c r="AT159" t="s" s="0">
        <v>101</v>
      </c>
      <c r="AU159" t="s" s="0">
        <v>81</v>
      </c>
      <c r="AV159" t="s" s="0">
        <v>81</v>
      </c>
      <c r="AW159" t="s" s="0">
        <v>89</v>
      </c>
      <c r="AX159" t="s" s="0">
        <v>102</v>
      </c>
      <c r="AY159" t="s" s="0">
        <v>290</v>
      </c>
      <c r="AZ159" t="s" s="0">
        <v>290</v>
      </c>
      <c r="BA159" t="s" s="0">
        <v>486</v>
      </c>
      <c r="BB159" t="s" s="0">
        <v>81</v>
      </c>
      <c r="BC159" t="s" s="0">
        <v>81</v>
      </c>
      <c r="BD159" t="s" s="0">
        <v>81</v>
      </c>
      <c r="BE159" t="s" s="0">
        <v>81</v>
      </c>
      <c r="BF159" t="s" s="0">
        <v>81</v>
      </c>
      <c r="BG159" t="s" s="0">
        <v>3946</v>
      </c>
      <c r="BH159" t="s" s="0">
        <v>3947</v>
      </c>
      <c r="BI159" t="s" s="0">
        <v>81</v>
      </c>
      <c r="BJ159" t="s" s="0">
        <v>3948</v>
      </c>
      <c r="BK159" t="s" s="314">
        <f>HYPERLINK("http://dx.doi.org/10.1109/ACCESS.2025.3620762","http://dx.doi.org/10.1109/ACCESS.2025.3620762")</f>
        <v>3949</v>
      </c>
      <c r="BL159" t="s" s="0">
        <v>81</v>
      </c>
      <c r="BM159" t="s" s="0">
        <v>81</v>
      </c>
      <c r="BN159" t="s" s="0">
        <v>925</v>
      </c>
      <c r="BO159" t="s" s="0">
        <v>110</v>
      </c>
      <c r="BP159" t="s" s="0">
        <v>111</v>
      </c>
      <c r="BQ159" t="s" s="0">
        <v>3950</v>
      </c>
      <c r="BR159" t="s" s="0">
        <v>81</v>
      </c>
      <c r="BS159" t="s" s="0">
        <v>3951</v>
      </c>
      <c r="BT159" t="s" s="315">
        <f>HYPERLINK("https://www.webofscience.com/wos/woscc/full-record/WOS:001600745900043","View Record in Web of Science")</f>
        <v>114</v>
      </c>
      <c r="BU159" t="s" s="0">
        <v>301</v>
      </c>
      <c r="BV159" t="s" s="0">
        <v>81</v>
      </c>
      <c r="BW159" t="s" s="0">
        <v>81</v>
      </c>
      <c r="BX159" t="s" s="0">
        <v>116</v>
      </c>
    </row>
    <row r="160">
      <c r="A160" t="s" s="0">
        <v>77</v>
      </c>
      <c r="B160" t="s" s="0">
        <v>77</v>
      </c>
      <c r="C160" t="s" s="0">
        <v>77</v>
      </c>
      <c r="D160" t="s" s="0">
        <v>77</v>
      </c>
      <c r="E160" t="s" s="0">
        <v>3952</v>
      </c>
      <c r="F160" t="s" s="0">
        <v>3953</v>
      </c>
      <c r="G160" t="s" s="0">
        <v>3954</v>
      </c>
      <c r="H160" t="s" s="0">
        <v>81</v>
      </c>
      <c r="I160" t="s" s="0">
        <v>238</v>
      </c>
      <c r="J160" t="s" s="0">
        <v>3955</v>
      </c>
      <c r="K160" t="s" s="0">
        <v>3956</v>
      </c>
      <c r="L160" t="s" s="0">
        <v>81</v>
      </c>
      <c r="M160" t="s" s="0">
        <v>81</v>
      </c>
      <c r="N160" t="s" s="0">
        <v>81</v>
      </c>
      <c r="O160" t="s" s="0">
        <v>3957</v>
      </c>
      <c r="P160" t="s" s="0">
        <v>3958</v>
      </c>
      <c r="Q160" t="s" s="0">
        <v>87</v>
      </c>
      <c r="R160" t="s" s="0">
        <v>81</v>
      </c>
      <c r="S160" t="s" s="0">
        <v>81</v>
      </c>
      <c r="T160" t="s" s="0">
        <v>81</v>
      </c>
      <c r="U160" t="s" s="0">
        <v>81</v>
      </c>
      <c r="V160" t="s" s="0">
        <v>3959</v>
      </c>
      <c r="W160" t="s" s="0">
        <v>3960</v>
      </c>
      <c r="X160" t="s" s="0">
        <v>81</v>
      </c>
      <c r="Y160" t="s" s="0">
        <v>81</v>
      </c>
      <c r="Z160" t="s" s="0">
        <v>90</v>
      </c>
      <c r="AA160" t="s" s="0">
        <v>91</v>
      </c>
      <c r="AB160" t="s" s="0">
        <v>81</v>
      </c>
      <c r="AC160" t="s" s="0">
        <v>81</v>
      </c>
      <c r="AD160" t="s" s="0">
        <v>81</v>
      </c>
      <c r="AE160" t="s" s="0">
        <v>81</v>
      </c>
      <c r="AF160" t="s" s="0">
        <v>81</v>
      </c>
      <c r="AG160" t="s" s="0">
        <v>3961</v>
      </c>
      <c r="AH160" t="s" s="0">
        <v>81</v>
      </c>
      <c r="AI160" t="s" s="0">
        <v>3962</v>
      </c>
      <c r="AJ160" t="s" s="0">
        <v>3963</v>
      </c>
      <c r="AK160" t="s" s="0">
        <v>81</v>
      </c>
      <c r="AL160" t="s" s="0">
        <v>1635</v>
      </c>
      <c r="AM160" t="s" s="0">
        <v>77</v>
      </c>
      <c r="AN160" t="s" s="0">
        <v>77</v>
      </c>
      <c r="AO160" t="s" s="0">
        <v>77</v>
      </c>
      <c r="AP160" t="s" s="0">
        <v>77</v>
      </c>
      <c r="AQ160" t="s" s="0">
        <v>212</v>
      </c>
      <c r="AR160" t="s" s="0">
        <v>429</v>
      </c>
      <c r="AS160" t="s" s="0">
        <v>784</v>
      </c>
      <c r="AT160" t="s" s="0">
        <v>3964</v>
      </c>
      <c r="AU160" t="s" s="0">
        <v>3965</v>
      </c>
      <c r="AV160" t="s" s="0">
        <v>81</v>
      </c>
      <c r="AW160" t="s" s="0">
        <v>3966</v>
      </c>
      <c r="AX160" t="s" s="0">
        <v>3967</v>
      </c>
      <c r="AY160" t="s" s="0">
        <v>3968</v>
      </c>
      <c r="AZ160" t="s" s="0">
        <v>103</v>
      </c>
      <c r="BA160" t="s" s="0">
        <v>671</v>
      </c>
      <c r="BB160" t="s" s="0">
        <v>97</v>
      </c>
      <c r="BC160" t="s" s="0">
        <v>81</v>
      </c>
      <c r="BD160" t="s" s="0">
        <v>81</v>
      </c>
      <c r="BE160" t="s" s="0">
        <v>81</v>
      </c>
      <c r="BF160" t="s" s="0">
        <v>81</v>
      </c>
      <c r="BG160" t="s" s="0">
        <v>81</v>
      </c>
      <c r="BH160" t="s" s="0">
        <v>81</v>
      </c>
      <c r="BI160" t="s" s="0">
        <v>2880</v>
      </c>
      <c r="BJ160" t="s" s="0">
        <v>3969</v>
      </c>
      <c r="BK160" t="s" s="316">
        <f>HYPERLINK("http://dx.doi.org/10.1007/s11220-026-00803-w","http://dx.doi.org/10.1007/s11220-026-00803-w")</f>
        <v>3970</v>
      </c>
      <c r="BL160" t="s" s="0">
        <v>81</v>
      </c>
      <c r="BM160" t="s" s="0">
        <v>675</v>
      </c>
      <c r="BN160" t="s" s="0">
        <v>252</v>
      </c>
      <c r="BO160" t="s" s="0">
        <v>3971</v>
      </c>
      <c r="BP160" t="s" s="0">
        <v>3971</v>
      </c>
      <c r="BQ160" t="s" s="0">
        <v>3972</v>
      </c>
      <c r="BR160" t="s" s="0">
        <v>81</v>
      </c>
      <c r="BS160" t="s" s="0">
        <v>3973</v>
      </c>
      <c r="BT160" t="s" s="317">
        <f>HYPERLINK("https://www.webofscience.com/wos/woscc/full-record/WOS:001776365300001","View Record in Web of Science")</f>
        <v>114</v>
      </c>
      <c r="BU160" t="s" s="0">
        <v>81</v>
      </c>
      <c r="BV160" t="s" s="0">
        <v>81</v>
      </c>
      <c r="BW160" t="s" s="0">
        <v>81</v>
      </c>
      <c r="BX160" t="s" s="0">
        <v>116</v>
      </c>
    </row>
    <row r="161">
      <c r="A161" t="s" s="0">
        <v>77</v>
      </c>
      <c r="B161" t="s" s="0">
        <v>77</v>
      </c>
      <c r="C161" t="s" s="0">
        <v>77</v>
      </c>
      <c r="D161" t="s" s="0">
        <v>77</v>
      </c>
      <c r="E161" t="s" s="0">
        <v>3974</v>
      </c>
      <c r="F161" t="s" s="0">
        <v>3975</v>
      </c>
      <c r="G161" t="s" s="0">
        <v>3976</v>
      </c>
      <c r="H161" t="s" s="0">
        <v>81</v>
      </c>
      <c r="I161" t="s" s="0">
        <v>82</v>
      </c>
      <c r="J161" t="s" s="0">
        <v>3977</v>
      </c>
      <c r="K161" t="s" s="0">
        <v>3978</v>
      </c>
      <c r="L161" t="s" s="0">
        <v>81</v>
      </c>
      <c r="M161" t="s" s="0">
        <v>81</v>
      </c>
      <c r="N161" t="s" s="0">
        <v>81</v>
      </c>
      <c r="O161" t="s" s="0">
        <v>3979</v>
      </c>
      <c r="P161" t="s" s="0">
        <v>3980</v>
      </c>
      <c r="Q161" t="s" s="0">
        <v>87</v>
      </c>
      <c r="R161" t="s" s="0">
        <v>81</v>
      </c>
      <c r="S161" t="s" s="0">
        <v>81</v>
      </c>
      <c r="T161" t="s" s="0">
        <v>81</v>
      </c>
      <c r="U161" t="s" s="0">
        <v>81</v>
      </c>
      <c r="V161" t="s" s="0">
        <v>3981</v>
      </c>
      <c r="W161" t="s" s="0">
        <v>2070</v>
      </c>
      <c r="X161" t="s" s="0">
        <v>81</v>
      </c>
      <c r="Y161" t="s" s="0">
        <v>81</v>
      </c>
      <c r="Z161" t="s" s="0">
        <v>90</v>
      </c>
      <c r="AA161" t="s" s="0">
        <v>91</v>
      </c>
      <c r="AB161" t="s" s="0">
        <v>81</v>
      </c>
      <c r="AC161" t="s" s="0">
        <v>81</v>
      </c>
      <c r="AD161" t="s" s="0">
        <v>81</v>
      </c>
      <c r="AE161" t="s" s="0">
        <v>81</v>
      </c>
      <c r="AF161" t="s" s="0">
        <v>81</v>
      </c>
      <c r="AG161" t="s" s="0">
        <v>3982</v>
      </c>
      <c r="AH161" t="s" s="0">
        <v>81</v>
      </c>
      <c r="AI161" t="s" s="0">
        <v>3983</v>
      </c>
      <c r="AJ161" t="s" s="0">
        <v>81</v>
      </c>
      <c r="AK161" t="s" s="0">
        <v>81</v>
      </c>
      <c r="AL161" t="s" s="0">
        <v>150</v>
      </c>
      <c r="AM161" t="s" s="0">
        <v>156</v>
      </c>
      <c r="AN161" t="s" s="0">
        <v>156</v>
      </c>
      <c r="AO161" t="s" s="0">
        <v>156</v>
      </c>
      <c r="AP161" t="s" s="0">
        <v>133</v>
      </c>
      <c r="AQ161" t="s" s="0">
        <v>177</v>
      </c>
      <c r="AR161" t="s" s="0">
        <v>178</v>
      </c>
      <c r="AS161" t="s" s="0">
        <v>179</v>
      </c>
      <c r="AT161" t="s" s="0">
        <v>2073</v>
      </c>
      <c r="AU161" t="s" s="0">
        <v>2074</v>
      </c>
      <c r="AV161" t="s" s="0">
        <v>81</v>
      </c>
      <c r="AW161" t="s" s="0">
        <v>2075</v>
      </c>
      <c r="AX161" t="s" s="0">
        <v>2076</v>
      </c>
      <c r="AY161" t="s" s="0">
        <v>615</v>
      </c>
      <c r="AZ161" t="s" s="0">
        <v>290</v>
      </c>
      <c r="BA161" t="s" s="0">
        <v>3984</v>
      </c>
      <c r="BB161" t="s" s="0">
        <v>81</v>
      </c>
      <c r="BC161" t="s" s="0">
        <v>81</v>
      </c>
      <c r="BD161" t="s" s="0">
        <v>81</v>
      </c>
      <c r="BE161" t="s" s="0">
        <v>81</v>
      </c>
      <c r="BF161" t="s" s="0">
        <v>81</v>
      </c>
      <c r="BG161" t="s" s="0">
        <v>81</v>
      </c>
      <c r="BH161" t="s" s="0">
        <v>81</v>
      </c>
      <c r="BI161" t="s" s="0">
        <v>3985</v>
      </c>
      <c r="BJ161" t="s" s="0">
        <v>3986</v>
      </c>
      <c r="BK161" t="s" s="318">
        <f>HYPERLINK("http://dx.doi.org/10.1016/j.bspc.2024.107395","http://dx.doi.org/10.1016/j.bspc.2024.107395")</f>
        <v>3987</v>
      </c>
      <c r="BL161" t="s" s="0">
        <v>81</v>
      </c>
      <c r="BM161" t="s" s="0">
        <v>1183</v>
      </c>
      <c r="BN161" t="s" s="0">
        <v>291</v>
      </c>
      <c r="BO161" t="s" s="0">
        <v>2082</v>
      </c>
      <c r="BP161" t="s" s="0">
        <v>1003</v>
      </c>
      <c r="BQ161" t="s" s="0">
        <v>3988</v>
      </c>
      <c r="BR161" t="s" s="0">
        <v>81</v>
      </c>
      <c r="BS161" t="s" s="0">
        <v>3989</v>
      </c>
      <c r="BT161" t="s" s="319">
        <f>HYPERLINK("https://www.webofscience.com/wos/woscc/full-record/WOS:001397695100001","View Record in Web of Science")</f>
        <v>114</v>
      </c>
      <c r="BU161" t="s" s="0">
        <v>81</v>
      </c>
      <c r="BV161" t="s" s="0">
        <v>81</v>
      </c>
      <c r="BW161" t="s" s="0">
        <v>81</v>
      </c>
      <c r="BX161" t="s" s="0">
        <v>116</v>
      </c>
    </row>
    <row r="162">
      <c r="A162" t="s" s="0">
        <v>77</v>
      </c>
      <c r="B162" t="s" s="0">
        <v>77</v>
      </c>
      <c r="C162" t="s" s="0">
        <v>77</v>
      </c>
      <c r="D162" t="s" s="0">
        <v>77</v>
      </c>
      <c r="E162" t="s" s="0">
        <v>3990</v>
      </c>
      <c r="F162" t="s" s="0">
        <v>3991</v>
      </c>
      <c r="G162" t="s" s="0">
        <v>3992</v>
      </c>
      <c r="H162" t="s" s="0">
        <v>81</v>
      </c>
      <c r="I162" t="s" s="0">
        <v>238</v>
      </c>
      <c r="J162" t="s" s="0">
        <v>3993</v>
      </c>
      <c r="K162" t="s" s="0">
        <v>3994</v>
      </c>
      <c r="L162" t="s" s="0">
        <v>81</v>
      </c>
      <c r="M162" t="s" s="0">
        <v>81</v>
      </c>
      <c r="N162" t="s" s="0">
        <v>81</v>
      </c>
      <c r="O162" t="s" s="0">
        <v>3995</v>
      </c>
      <c r="P162" t="s" s="0">
        <v>3996</v>
      </c>
      <c r="Q162" t="s" s="0">
        <v>87</v>
      </c>
      <c r="R162" t="s" s="0">
        <v>81</v>
      </c>
      <c r="S162" t="s" s="0">
        <v>81</v>
      </c>
      <c r="T162" t="s" s="0">
        <v>81</v>
      </c>
      <c r="U162" t="s" s="0">
        <v>81</v>
      </c>
      <c r="V162" t="s" s="0">
        <v>3997</v>
      </c>
      <c r="W162" t="s" s="0">
        <v>3998</v>
      </c>
      <c r="X162" t="s" s="0">
        <v>81</v>
      </c>
      <c r="Y162" t="s" s="0">
        <v>81</v>
      </c>
      <c r="Z162" t="s" s="0">
        <v>90</v>
      </c>
      <c r="AA162" t="s" s="0">
        <v>91</v>
      </c>
      <c r="AB162" t="s" s="0">
        <v>81</v>
      </c>
      <c r="AC162" t="s" s="0">
        <v>81</v>
      </c>
      <c r="AD162" t="s" s="0">
        <v>81</v>
      </c>
      <c r="AE162" t="s" s="0">
        <v>81</v>
      </c>
      <c r="AF162" t="s" s="0">
        <v>81</v>
      </c>
      <c r="AG162" t="s" s="0">
        <v>3999</v>
      </c>
      <c r="AH162" t="s" s="0">
        <v>81</v>
      </c>
      <c r="AI162" t="s" s="0">
        <v>4000</v>
      </c>
      <c r="AJ162" t="s" s="0">
        <v>4001</v>
      </c>
      <c r="AK162" t="s" s="0">
        <v>81</v>
      </c>
      <c r="AL162" t="s" s="0">
        <v>367</v>
      </c>
      <c r="AM162" t="s" s="0">
        <v>97</v>
      </c>
      <c r="AN162" t="s" s="0">
        <v>156</v>
      </c>
      <c r="AO162" t="s" s="0">
        <v>97</v>
      </c>
      <c r="AP162" t="s" s="0">
        <v>175</v>
      </c>
      <c r="AQ162" t="s" s="0">
        <v>284</v>
      </c>
      <c r="AR162" t="s" s="0">
        <v>285</v>
      </c>
      <c r="AS162" t="s" s="0">
        <v>286</v>
      </c>
      <c r="AT162" t="s" s="0">
        <v>4002</v>
      </c>
      <c r="AU162" t="s" s="0">
        <v>81</v>
      </c>
      <c r="AV162" t="s" s="0">
        <v>81</v>
      </c>
      <c r="AW162" t="s" s="0">
        <v>4003</v>
      </c>
      <c r="AX162" t="s" s="0">
        <v>4004</v>
      </c>
      <c r="AY162" t="s" s="0">
        <v>4005</v>
      </c>
      <c r="AZ162" t="s" s="0">
        <v>290</v>
      </c>
      <c r="BA162" t="s" s="0">
        <v>222</v>
      </c>
      <c r="BB162" t="s" s="0">
        <v>381</v>
      </c>
      <c r="BC162" t="s" s="0">
        <v>81</v>
      </c>
      <c r="BD162" t="s" s="0">
        <v>81</v>
      </c>
      <c r="BE162" t="s" s="0">
        <v>81</v>
      </c>
      <c r="BF162" t="s" s="0">
        <v>81</v>
      </c>
      <c r="BG162" t="s" s="0">
        <v>81</v>
      </c>
      <c r="BH162" t="s" s="0">
        <v>81</v>
      </c>
      <c r="BI162" t="s" s="0">
        <v>4006</v>
      </c>
      <c r="BJ162" t="s" s="0">
        <v>4007</v>
      </c>
      <c r="BK162" t="s" s="320">
        <f>HYPERLINK("http://dx.doi.org/10.3390/neurolint17080121","http://dx.doi.org/10.3390/neurolint17080121")</f>
        <v>4008</v>
      </c>
      <c r="BL162" t="s" s="0">
        <v>81</v>
      </c>
      <c r="BM162" t="s" s="0">
        <v>81</v>
      </c>
      <c r="BN162" t="s" s="0">
        <v>135</v>
      </c>
      <c r="BO162" t="s" s="0">
        <v>4009</v>
      </c>
      <c r="BP162" t="s" s="0">
        <v>2504</v>
      </c>
      <c r="BQ162" t="s" s="0">
        <v>4010</v>
      </c>
      <c r="BR162" t="s" s="0">
        <v>4011</v>
      </c>
      <c r="BS162" t="s" s="0">
        <v>4012</v>
      </c>
      <c r="BT162" t="s" s="321">
        <f>HYPERLINK("https://www.webofscience.com/wos/woscc/full-record/WOS:001558061500001","View Record in Web of Science")</f>
        <v>114</v>
      </c>
      <c r="BU162" t="s" s="0">
        <v>301</v>
      </c>
      <c r="BV162" t="s" s="0">
        <v>81</v>
      </c>
      <c r="BW162" t="s" s="0">
        <v>81</v>
      </c>
      <c r="BX162" t="s" s="0">
        <v>116</v>
      </c>
    </row>
    <row r="163">
      <c r="A163" t="s" s="0">
        <v>77</v>
      </c>
      <c r="B163" t="s" s="0">
        <v>77</v>
      </c>
      <c r="C163" t="s" s="0">
        <v>97</v>
      </c>
      <c r="D163" t="s" s="0">
        <v>77</v>
      </c>
      <c r="E163" t="s" s="0">
        <v>4013</v>
      </c>
      <c r="F163" t="s" s="0">
        <v>4014</v>
      </c>
      <c r="G163" t="s" s="0">
        <v>4015</v>
      </c>
      <c r="H163" t="s" s="0">
        <v>81</v>
      </c>
      <c r="I163" t="s" s="0">
        <v>82</v>
      </c>
      <c r="J163" t="s" s="0">
        <v>4016</v>
      </c>
      <c r="K163" t="s" s="0">
        <v>4017</v>
      </c>
      <c r="L163" t="s" s="0">
        <v>4018</v>
      </c>
      <c r="M163" t="s" s="0">
        <v>4019</v>
      </c>
      <c r="N163" t="s" s="0">
        <v>4020</v>
      </c>
      <c r="O163" t="s" s="0">
        <v>4021</v>
      </c>
      <c r="P163" t="s" s="0">
        <v>4022</v>
      </c>
      <c r="Q163" t="s" s="0">
        <v>87</v>
      </c>
      <c r="R163" t="s" s="0">
        <v>81</v>
      </c>
      <c r="S163" t="s" s="0">
        <v>81</v>
      </c>
      <c r="T163" t="s" s="0">
        <v>81</v>
      </c>
      <c r="U163" t="s" s="0">
        <v>81</v>
      </c>
      <c r="V163" t="s" s="0">
        <v>4023</v>
      </c>
      <c r="W163" t="s" s="0">
        <v>3220</v>
      </c>
      <c r="X163" t="s" s="0">
        <v>81</v>
      </c>
      <c r="Y163" t="s" s="0">
        <v>81</v>
      </c>
      <c r="Z163" t="s" s="0">
        <v>90</v>
      </c>
      <c r="AA163" t="s" s="0">
        <v>91</v>
      </c>
      <c r="AB163" t="s" s="0">
        <v>81</v>
      </c>
      <c r="AC163" t="s" s="0">
        <v>81</v>
      </c>
      <c r="AD163" t="s" s="0">
        <v>81</v>
      </c>
      <c r="AE163" t="s" s="0">
        <v>81</v>
      </c>
      <c r="AF163" t="s" s="0">
        <v>81</v>
      </c>
      <c r="AG163" t="s" s="0">
        <v>4024</v>
      </c>
      <c r="AH163" t="s" s="0">
        <v>4025</v>
      </c>
      <c r="AI163" t="s" s="0">
        <v>4026</v>
      </c>
      <c r="AJ163" t="s" s="0">
        <v>81</v>
      </c>
      <c r="AK163" t="s" s="0">
        <v>81</v>
      </c>
      <c r="AL163" t="s" s="0">
        <v>173</v>
      </c>
      <c r="AM163" t="s" s="0">
        <v>261</v>
      </c>
      <c r="AN163" t="s" s="0">
        <v>211</v>
      </c>
      <c r="AO163" t="s" s="0">
        <v>156</v>
      </c>
      <c r="AP163" t="s" s="0">
        <v>135</v>
      </c>
      <c r="AQ163" t="s" s="0">
        <v>1608</v>
      </c>
      <c r="AR163" t="s" s="0">
        <v>1609</v>
      </c>
      <c r="AS163" t="s" s="0">
        <v>1610</v>
      </c>
      <c r="AT163" t="s" s="0">
        <v>3225</v>
      </c>
      <c r="AU163" t="s" s="0">
        <v>3226</v>
      </c>
      <c r="AV163" t="s" s="0">
        <v>81</v>
      </c>
      <c r="AW163" t="s" s="0">
        <v>3227</v>
      </c>
      <c r="AX163" t="s" s="0">
        <v>3228</v>
      </c>
      <c r="AY163" t="s" s="0">
        <v>2502</v>
      </c>
      <c r="AZ163" t="s" s="0">
        <v>290</v>
      </c>
      <c r="BA163" t="s" s="0">
        <v>1892</v>
      </c>
      <c r="BB163" t="s" s="0">
        <v>81</v>
      </c>
      <c r="BC163" t="s" s="0">
        <v>81</v>
      </c>
      <c r="BD163" t="s" s="0">
        <v>81</v>
      </c>
      <c r="BE163" t="s" s="0">
        <v>81</v>
      </c>
      <c r="BF163" t="s" s="0">
        <v>81</v>
      </c>
      <c r="BG163" t="s" s="0">
        <v>81</v>
      </c>
      <c r="BH163" t="s" s="0">
        <v>81</v>
      </c>
      <c r="BI163" t="s" s="0">
        <v>4027</v>
      </c>
      <c r="BJ163" t="s" s="0">
        <v>4028</v>
      </c>
      <c r="BK163" t="s" s="322">
        <f>HYPERLINK("http://dx.doi.org/10.1016/j.cmpb.2025.108599","http://dx.doi.org/10.1016/j.cmpb.2025.108599")</f>
        <v>4029</v>
      </c>
      <c r="BL163" t="s" s="0">
        <v>81</v>
      </c>
      <c r="BM163" t="s" s="0">
        <v>1029</v>
      </c>
      <c r="BN163" t="s" s="0">
        <v>367</v>
      </c>
      <c r="BO163" t="s" s="0">
        <v>3234</v>
      </c>
      <c r="BP163" t="s" s="0">
        <v>3235</v>
      </c>
      <c r="BQ163" t="s" s="0">
        <v>4030</v>
      </c>
      <c r="BR163" t="s" s="0">
        <v>4031</v>
      </c>
      <c r="BS163" t="s" s="0">
        <v>4032</v>
      </c>
      <c r="BT163" t="s" s="323">
        <f>HYPERLINK("https://www.webofscience.com/wos/woscc/full-record/WOS:001413748200001","View Record in Web of Science")</f>
        <v>114</v>
      </c>
      <c r="BU163" t="s" s="0">
        <v>1055</v>
      </c>
      <c r="BV163" t="s" s="0">
        <v>81</v>
      </c>
      <c r="BW163" t="s" s="0">
        <v>81</v>
      </c>
      <c r="BX163" t="s" s="0">
        <v>116</v>
      </c>
    </row>
    <row r="164">
      <c r="A164" t="s" s="0">
        <v>77</v>
      </c>
      <c r="B164" t="s" s="0">
        <v>77</v>
      </c>
      <c r="C164" t="s" s="0">
        <v>77</v>
      </c>
      <c r="D164" t="s" s="0">
        <v>77</v>
      </c>
      <c r="E164" t="s" s="0">
        <v>4033</v>
      </c>
      <c r="F164" t="s" s="0">
        <v>4034</v>
      </c>
      <c r="G164" t="s" s="0">
        <v>4035</v>
      </c>
      <c r="H164" t="s" s="0">
        <v>81</v>
      </c>
      <c r="I164" t="s" s="0">
        <v>238</v>
      </c>
      <c r="J164" t="s" s="0">
        <v>4036</v>
      </c>
      <c r="K164" t="s" s="0">
        <v>4037</v>
      </c>
      <c r="L164" t="s" s="0">
        <v>81</v>
      </c>
      <c r="M164" t="s" s="0">
        <v>81</v>
      </c>
      <c r="N164" t="s" s="0">
        <v>81</v>
      </c>
      <c r="O164" t="s" s="0">
        <v>4038</v>
      </c>
      <c r="P164" t="s" s="0">
        <v>4039</v>
      </c>
      <c r="Q164" t="s" s="0">
        <v>87</v>
      </c>
      <c r="R164" t="s" s="0">
        <v>81</v>
      </c>
      <c r="S164" t="s" s="0">
        <v>81</v>
      </c>
      <c r="T164" t="s" s="0">
        <v>81</v>
      </c>
      <c r="U164" t="s" s="0">
        <v>81</v>
      </c>
      <c r="V164" t="s" s="0">
        <v>4040</v>
      </c>
      <c r="W164" t="s" s="0">
        <v>987</v>
      </c>
      <c r="X164" t="s" s="0">
        <v>81</v>
      </c>
      <c r="Y164" t="s" s="0">
        <v>81</v>
      </c>
      <c r="Z164" t="s" s="0">
        <v>90</v>
      </c>
      <c r="AA164" t="s" s="0">
        <v>91</v>
      </c>
      <c r="AB164" t="s" s="0">
        <v>81</v>
      </c>
      <c r="AC164" t="s" s="0">
        <v>81</v>
      </c>
      <c r="AD164" t="s" s="0">
        <v>81</v>
      </c>
      <c r="AE164" t="s" s="0">
        <v>81</v>
      </c>
      <c r="AF164" t="s" s="0">
        <v>81</v>
      </c>
      <c r="AG164" t="s" s="0">
        <v>4041</v>
      </c>
      <c r="AH164" t="s" s="0">
        <v>81</v>
      </c>
      <c r="AI164" t="s" s="0">
        <v>4042</v>
      </c>
      <c r="AJ164" t="s" s="0">
        <v>81</v>
      </c>
      <c r="AK164" t="s" s="0">
        <v>81</v>
      </c>
      <c r="AL164" t="s" s="0">
        <v>890</v>
      </c>
      <c r="AM164" t="s" s="0">
        <v>77</v>
      </c>
      <c r="AN164" t="s" s="0">
        <v>77</v>
      </c>
      <c r="AO164" t="s" s="0">
        <v>77</v>
      </c>
      <c r="AP164" t="s" s="0">
        <v>77</v>
      </c>
      <c r="AQ164" t="s" s="0">
        <v>992</v>
      </c>
      <c r="AR164" t="s" s="0">
        <v>993</v>
      </c>
      <c r="AS164" t="s" s="0">
        <v>994</v>
      </c>
      <c r="AT164" t="s" s="0">
        <v>995</v>
      </c>
      <c r="AU164" t="s" s="0">
        <v>81</v>
      </c>
      <c r="AV164" t="s" s="0">
        <v>81</v>
      </c>
      <c r="AW164" t="s" s="0">
        <v>996</v>
      </c>
      <c r="AX164" t="s" s="0">
        <v>997</v>
      </c>
      <c r="AY164" t="s" s="0">
        <v>4043</v>
      </c>
      <c r="AZ164" t="s" s="0">
        <v>103</v>
      </c>
      <c r="BA164" t="s" s="0">
        <v>381</v>
      </c>
      <c r="BB164" t="s" s="0">
        <v>211</v>
      </c>
      <c r="BC164" t="s" s="0">
        <v>81</v>
      </c>
      <c r="BD164" t="s" s="0">
        <v>81</v>
      </c>
      <c r="BE164" t="s" s="0">
        <v>81</v>
      </c>
      <c r="BF164" t="s" s="0">
        <v>81</v>
      </c>
      <c r="BG164" t="s" s="0">
        <v>81</v>
      </c>
      <c r="BH164" t="s" s="0">
        <v>81</v>
      </c>
      <c r="BI164" t="s" s="0">
        <v>4044</v>
      </c>
      <c r="BJ164" t="s" s="0">
        <v>4045</v>
      </c>
      <c r="BK164" t="s" s="324">
        <f>HYPERLINK("http://dx.doi.org/10.1088/2631-8695/ae6f88","http://dx.doi.org/10.1088/2631-8695/ae6f88")</f>
        <v>4046</v>
      </c>
      <c r="BL164" t="s" s="0">
        <v>81</v>
      </c>
      <c r="BM164" t="s" s="0">
        <v>81</v>
      </c>
      <c r="BN164" t="s" s="0">
        <v>485</v>
      </c>
      <c r="BO164" t="s" s="0">
        <v>1002</v>
      </c>
      <c r="BP164" t="s" s="0">
        <v>1003</v>
      </c>
      <c r="BQ164" t="s" s="0">
        <v>4047</v>
      </c>
      <c r="BR164" t="s" s="0">
        <v>81</v>
      </c>
      <c r="BS164" t="s" s="0">
        <v>4048</v>
      </c>
      <c r="BT164" t="s" s="325">
        <f>HYPERLINK("https://www.webofscience.com/wos/woscc/full-record/WOS:001828287600001","View Record in Web of Science")</f>
        <v>114</v>
      </c>
      <c r="BU164" t="s" s="0">
        <v>1055</v>
      </c>
      <c r="BV164" t="s" s="0">
        <v>81</v>
      </c>
      <c r="BW164" t="s" s="0">
        <v>81</v>
      </c>
      <c r="BX164" t="s" s="0">
        <v>116</v>
      </c>
    </row>
    <row r="165">
      <c r="A165" t="s" s="0">
        <v>77</v>
      </c>
      <c r="B165" t="s" s="0">
        <v>77</v>
      </c>
      <c r="C165" t="s" s="0">
        <v>97</v>
      </c>
      <c r="D165" t="s" s="0">
        <v>77</v>
      </c>
      <c r="E165" t="s" s="0">
        <v>4049</v>
      </c>
      <c r="F165" t="s" s="0">
        <v>4050</v>
      </c>
      <c r="G165" t="s" s="0">
        <v>4051</v>
      </c>
      <c r="H165" t="s" s="0">
        <v>81</v>
      </c>
      <c r="I165" t="s" s="0">
        <v>238</v>
      </c>
      <c r="J165" t="s" s="0">
        <v>4052</v>
      </c>
      <c r="K165" t="s" s="0">
        <v>4053</v>
      </c>
      <c r="L165" t="s" s="0">
        <v>4054</v>
      </c>
      <c r="M165" t="s" s="0">
        <v>4055</v>
      </c>
      <c r="N165" t="s" s="0">
        <v>4056</v>
      </c>
      <c r="O165" t="s" s="0">
        <v>4057</v>
      </c>
      <c r="P165" t="s" s="0">
        <v>4058</v>
      </c>
      <c r="Q165" t="s" s="0">
        <v>87</v>
      </c>
      <c r="R165" t="s" s="0">
        <v>81</v>
      </c>
      <c r="S165" t="s" s="0">
        <v>81</v>
      </c>
      <c r="T165" t="s" s="0">
        <v>81</v>
      </c>
      <c r="U165" t="s" s="0">
        <v>81</v>
      </c>
      <c r="V165" t="s" s="0">
        <v>4059</v>
      </c>
      <c r="W165" t="s" s="0">
        <v>600</v>
      </c>
      <c r="X165" t="s" s="0">
        <v>81</v>
      </c>
      <c r="Y165" t="s" s="0">
        <v>81</v>
      </c>
      <c r="Z165" t="s" s="0">
        <v>90</v>
      </c>
      <c r="AA165" t="s" s="0">
        <v>91</v>
      </c>
      <c r="AB165" t="s" s="0">
        <v>81</v>
      </c>
      <c r="AC165" t="s" s="0">
        <v>81</v>
      </c>
      <c r="AD165" t="s" s="0">
        <v>81</v>
      </c>
      <c r="AE165" t="s" s="0">
        <v>81</v>
      </c>
      <c r="AF165" t="s" s="0">
        <v>81</v>
      </c>
      <c r="AG165" t="s" s="0">
        <v>4060</v>
      </c>
      <c r="AH165" t="s" s="0">
        <v>4061</v>
      </c>
      <c r="AI165" t="s" s="0">
        <v>4062</v>
      </c>
      <c r="AJ165" t="s" s="0">
        <v>4063</v>
      </c>
      <c r="AK165" t="s" s="0">
        <v>81</v>
      </c>
      <c r="AL165" t="s" s="0">
        <v>405</v>
      </c>
      <c r="AM165" t="s" s="0">
        <v>156</v>
      </c>
      <c r="AN165" t="s" s="0">
        <v>196</v>
      </c>
      <c r="AO165" t="s" s="0">
        <v>77</v>
      </c>
      <c r="AP165" t="s" s="0">
        <v>316</v>
      </c>
      <c r="AQ165" t="s" s="0">
        <v>284</v>
      </c>
      <c r="AR165" t="s" s="0">
        <v>285</v>
      </c>
      <c r="AS165" t="s" s="0">
        <v>286</v>
      </c>
      <c r="AT165" t="s" s="0">
        <v>81</v>
      </c>
      <c r="AU165" t="s" s="0">
        <v>4064</v>
      </c>
      <c r="AV165" t="s" s="0">
        <v>81</v>
      </c>
      <c r="AW165" t="s" s="0">
        <v>4065</v>
      </c>
      <c r="AX165" t="s" s="0">
        <v>600</v>
      </c>
      <c r="AY165" t="s" s="0">
        <v>1183</v>
      </c>
      <c r="AZ165" t="s" s="0">
        <v>185</v>
      </c>
      <c r="BA165" t="s" s="0">
        <v>133</v>
      </c>
      <c r="BB165" t="s" s="0">
        <v>175</v>
      </c>
      <c r="BC165" t="s" s="0">
        <v>81</v>
      </c>
      <c r="BD165" t="s" s="0">
        <v>81</v>
      </c>
      <c r="BE165" t="s" s="0">
        <v>81</v>
      </c>
      <c r="BF165" t="s" s="0">
        <v>81</v>
      </c>
      <c r="BG165" t="s" s="0">
        <v>4066</v>
      </c>
      <c r="BH165" t="s" s="0">
        <v>4067</v>
      </c>
      <c r="BI165" t="s" s="0">
        <v>81</v>
      </c>
      <c r="BJ165" t="s" s="0">
        <v>4068</v>
      </c>
      <c r="BK165" t="s" s="326">
        <f>HYPERLINK("http://dx.doi.org/10.3390/ai5040100","http://dx.doi.org/10.3390/ai5040100")</f>
        <v>4069</v>
      </c>
      <c r="BL165" t="s" s="0">
        <v>81</v>
      </c>
      <c r="BM165" t="s" s="0">
        <v>81</v>
      </c>
      <c r="BN165" t="s" s="0">
        <v>890</v>
      </c>
      <c r="BO165" t="s" s="0">
        <v>2009</v>
      </c>
      <c r="BP165" t="s" s="0">
        <v>152</v>
      </c>
      <c r="BQ165" t="s" s="0">
        <v>4070</v>
      </c>
      <c r="BR165" t="s" s="0">
        <v>81</v>
      </c>
      <c r="BS165" t="s" s="0">
        <v>4071</v>
      </c>
      <c r="BT165" t="s" s="327">
        <f>HYPERLINK("https://www.webofscience.com/wos/woscc/full-record/WOS:001384107000001","View Record in Web of Science")</f>
        <v>114</v>
      </c>
      <c r="BU165" t="s" s="0">
        <v>301</v>
      </c>
      <c r="BV165" t="s" s="0">
        <v>81</v>
      </c>
      <c r="BW165" t="s" s="0">
        <v>81</v>
      </c>
      <c r="BX165" t="s" s="0">
        <v>116</v>
      </c>
    </row>
    <row r="166">
      <c r="A166" t="s" s="0">
        <v>77</v>
      </c>
      <c r="B166" t="s" s="0">
        <v>77</v>
      </c>
      <c r="C166" t="s" s="0">
        <v>77</v>
      </c>
      <c r="D166" t="s" s="0">
        <v>77</v>
      </c>
      <c r="E166" t="s" s="0">
        <v>4072</v>
      </c>
      <c r="F166" t="s" s="0">
        <v>4073</v>
      </c>
      <c r="G166" t="s" s="0">
        <v>4074</v>
      </c>
      <c r="H166" t="s" s="0">
        <v>81</v>
      </c>
      <c r="I166" t="s" s="0">
        <v>238</v>
      </c>
      <c r="J166" t="s" s="0">
        <v>4075</v>
      </c>
      <c r="K166" t="s" s="0">
        <v>4076</v>
      </c>
      <c r="L166" t="s" s="0">
        <v>81</v>
      </c>
      <c r="M166" t="s" s="0">
        <v>81</v>
      </c>
      <c r="N166" t="s" s="0">
        <v>81</v>
      </c>
      <c r="O166" t="s" s="0">
        <v>4077</v>
      </c>
      <c r="P166" t="s" s="0">
        <v>4078</v>
      </c>
      <c r="Q166" t="s" s="0">
        <v>87</v>
      </c>
      <c r="R166" t="s" s="0">
        <v>81</v>
      </c>
      <c r="S166" t="s" s="0">
        <v>81</v>
      </c>
      <c r="T166" t="s" s="0">
        <v>81</v>
      </c>
      <c r="U166" t="s" s="0">
        <v>81</v>
      </c>
      <c r="V166" t="s" s="0">
        <v>4079</v>
      </c>
      <c r="W166" t="s" s="0">
        <v>1202</v>
      </c>
      <c r="X166" t="s" s="0">
        <v>81</v>
      </c>
      <c r="Y166" t="s" s="0">
        <v>81</v>
      </c>
      <c r="Z166" t="s" s="0">
        <v>90</v>
      </c>
      <c r="AA166" t="s" s="0">
        <v>91</v>
      </c>
      <c r="AB166" t="s" s="0">
        <v>81</v>
      </c>
      <c r="AC166" t="s" s="0">
        <v>81</v>
      </c>
      <c r="AD166" t="s" s="0">
        <v>81</v>
      </c>
      <c r="AE166" t="s" s="0">
        <v>81</v>
      </c>
      <c r="AF166" t="s" s="0">
        <v>81</v>
      </c>
      <c r="AG166" t="s" s="0">
        <v>4080</v>
      </c>
      <c r="AH166" t="s" s="0">
        <v>81</v>
      </c>
      <c r="AI166" t="s" s="0">
        <v>4081</v>
      </c>
      <c r="AJ166" t="s" s="0">
        <v>4082</v>
      </c>
      <c r="AK166" t="s" s="0">
        <v>81</v>
      </c>
      <c r="AL166" t="s" s="0">
        <v>150</v>
      </c>
      <c r="AM166" t="s" s="0">
        <v>196</v>
      </c>
      <c r="AN166" t="s" s="0">
        <v>175</v>
      </c>
      <c r="AO166" t="s" s="0">
        <v>77</v>
      </c>
      <c r="AP166" t="s" s="0">
        <v>156</v>
      </c>
      <c r="AQ166" t="s" s="0">
        <v>284</v>
      </c>
      <c r="AR166" t="s" s="0">
        <v>285</v>
      </c>
      <c r="AS166" t="s" s="0">
        <v>286</v>
      </c>
      <c r="AT166" t="s" s="0">
        <v>81</v>
      </c>
      <c r="AU166" t="s" s="0">
        <v>1208</v>
      </c>
      <c r="AV166" t="s" s="0">
        <v>81</v>
      </c>
      <c r="AW166" t="s" s="0">
        <v>1202</v>
      </c>
      <c r="AX166" t="s" s="0">
        <v>1209</v>
      </c>
      <c r="AY166" t="s" s="0">
        <v>265</v>
      </c>
      <c r="AZ166" t="s" s="0">
        <v>260</v>
      </c>
      <c r="BA166" t="s" s="0">
        <v>925</v>
      </c>
      <c r="BB166" t="s" s="0">
        <v>261</v>
      </c>
      <c r="BC166" t="s" s="0">
        <v>81</v>
      </c>
      <c r="BD166" t="s" s="0">
        <v>81</v>
      </c>
      <c r="BE166" t="s" s="0">
        <v>81</v>
      </c>
      <c r="BF166" t="s" s="0">
        <v>81</v>
      </c>
      <c r="BG166" t="s" s="0">
        <v>81</v>
      </c>
      <c r="BH166" t="s" s="0">
        <v>81</v>
      </c>
      <c r="BI166" t="s" s="0">
        <v>4083</v>
      </c>
      <c r="BJ166" t="s" s="0">
        <v>4084</v>
      </c>
      <c r="BK166" t="s" s="328">
        <f>HYPERLINK("http://dx.doi.org/10.3390/a16090435","http://dx.doi.org/10.3390/a16090435")</f>
        <v>4085</v>
      </c>
      <c r="BL166" t="s" s="0">
        <v>81</v>
      </c>
      <c r="BM166" t="s" s="0">
        <v>81</v>
      </c>
      <c r="BN166" t="s" s="0">
        <v>925</v>
      </c>
      <c r="BO166" t="s" s="0">
        <v>151</v>
      </c>
      <c r="BP166" t="s" s="0">
        <v>152</v>
      </c>
      <c r="BQ166" t="s" s="0">
        <v>4086</v>
      </c>
      <c r="BR166" t="s" s="0">
        <v>81</v>
      </c>
      <c r="BS166" t="s" s="0">
        <v>4087</v>
      </c>
      <c r="BT166" t="s" s="329">
        <f>HYPERLINK("https://www.webofscience.com/wos/woscc/full-record/WOS:001076566900001","View Record in Web of Science")</f>
        <v>114</v>
      </c>
      <c r="BU166" t="s" s="0">
        <v>301</v>
      </c>
      <c r="BV166" t="s" s="0">
        <v>81</v>
      </c>
      <c r="BW166" t="s" s="0">
        <v>81</v>
      </c>
      <c r="BX166" t="s" s="0">
        <v>116</v>
      </c>
    </row>
    <row r="167">
      <c r="A167" t="s" s="0">
        <v>77</v>
      </c>
      <c r="B167" t="s" s="0">
        <v>77</v>
      </c>
      <c r="C167" t="s" s="0">
        <v>77</v>
      </c>
      <c r="D167" t="s" s="0">
        <v>77</v>
      </c>
      <c r="E167" t="s" s="0">
        <v>4088</v>
      </c>
      <c r="F167" t="s" s="0">
        <v>4089</v>
      </c>
      <c r="G167" t="s" s="0">
        <v>4090</v>
      </c>
      <c r="H167" t="s" s="0">
        <v>81</v>
      </c>
      <c r="I167" t="s" s="0">
        <v>528</v>
      </c>
      <c r="J167" t="s" s="0">
        <v>4091</v>
      </c>
      <c r="K167" t="s" s="0">
        <v>4092</v>
      </c>
      <c r="L167" t="s" s="0">
        <v>4093</v>
      </c>
      <c r="M167" t="s" s="0">
        <v>4094</v>
      </c>
      <c r="N167" t="s" s="0">
        <v>4095</v>
      </c>
      <c r="O167" t="s" s="0">
        <v>4096</v>
      </c>
      <c r="P167" t="s" s="0">
        <v>4097</v>
      </c>
      <c r="Q167" t="s" s="0">
        <v>87</v>
      </c>
      <c r="R167" t="s" s="0">
        <v>81</v>
      </c>
      <c r="S167" t="s" s="0">
        <v>81</v>
      </c>
      <c r="T167" t="s" s="0">
        <v>81</v>
      </c>
      <c r="U167" t="s" s="0">
        <v>81</v>
      </c>
      <c r="V167" t="s" s="0">
        <v>4098</v>
      </c>
      <c r="W167" t="s" s="0">
        <v>838</v>
      </c>
      <c r="X167" t="s" s="0">
        <v>81</v>
      </c>
      <c r="Y167" t="s" s="0">
        <v>81</v>
      </c>
      <c r="Z167" t="s" s="0">
        <v>90</v>
      </c>
      <c r="AA167" t="s" s="0">
        <v>91</v>
      </c>
      <c r="AB167" t="s" s="0">
        <v>81</v>
      </c>
      <c r="AC167" t="s" s="0">
        <v>81</v>
      </c>
      <c r="AD167" t="s" s="0">
        <v>81</v>
      </c>
      <c r="AE167" t="s" s="0">
        <v>81</v>
      </c>
      <c r="AF167" t="s" s="0">
        <v>81</v>
      </c>
      <c r="AG167" t="s" s="0">
        <v>4099</v>
      </c>
      <c r="AH167" t="s" s="0">
        <v>4100</v>
      </c>
      <c r="AI167" t="s" s="0">
        <v>81</v>
      </c>
      <c r="AJ167" t="s" s="0">
        <v>81</v>
      </c>
      <c r="AK167" t="s" s="0">
        <v>81</v>
      </c>
      <c r="AL167" t="s" s="0">
        <v>756</v>
      </c>
      <c r="AM167" t="s" s="0">
        <v>97</v>
      </c>
      <c r="AN167" t="s" s="0">
        <v>97</v>
      </c>
      <c r="AO167" t="s" s="0">
        <v>486</v>
      </c>
      <c r="AP167" t="s" s="0">
        <v>874</v>
      </c>
      <c r="AQ167" t="s" s="0">
        <v>368</v>
      </c>
      <c r="AR167" t="s" s="0">
        <v>369</v>
      </c>
      <c r="AS167" t="s" s="0">
        <v>370</v>
      </c>
      <c r="AT167" t="s" s="0">
        <v>81</v>
      </c>
      <c r="AU167" t="s" s="0">
        <v>842</v>
      </c>
      <c r="AV167" t="s" s="0">
        <v>81</v>
      </c>
      <c r="AW167" t="s" s="0">
        <v>843</v>
      </c>
      <c r="AX167" t="s" s="0">
        <v>844</v>
      </c>
      <c r="AY167" t="s" s="0">
        <v>4101</v>
      </c>
      <c r="AZ167" t="s" s="0">
        <v>290</v>
      </c>
      <c r="BA167" t="s" s="0">
        <v>486</v>
      </c>
      <c r="BB167" t="s" s="0">
        <v>81</v>
      </c>
      <c r="BC167" t="s" s="0">
        <v>81</v>
      </c>
      <c r="BD167" t="s" s="0">
        <v>81</v>
      </c>
      <c r="BE167" t="s" s="0">
        <v>81</v>
      </c>
      <c r="BF167" t="s" s="0">
        <v>81</v>
      </c>
      <c r="BG167" t="s" s="0">
        <v>81</v>
      </c>
      <c r="BH167" t="s" s="0">
        <v>81</v>
      </c>
      <c r="BI167" t="s" s="0">
        <v>4102</v>
      </c>
      <c r="BJ167" t="s" s="0">
        <v>4103</v>
      </c>
      <c r="BK167" t="s" s="330">
        <f>HYPERLINK("http://dx.doi.org/10.3389/fpubh.2025.1693397","http://dx.doi.org/10.3389/fpubh.2025.1693397")</f>
        <v>4104</v>
      </c>
      <c r="BL167" t="s" s="0">
        <v>81</v>
      </c>
      <c r="BM167" t="s" s="0">
        <v>81</v>
      </c>
      <c r="BN167" t="s" s="0">
        <v>486</v>
      </c>
      <c r="BO167" t="s" s="0">
        <v>850</v>
      </c>
      <c r="BP167" t="s" s="0">
        <v>850</v>
      </c>
      <c r="BQ167" t="s" s="0">
        <v>4105</v>
      </c>
      <c r="BR167" t="s" s="0">
        <v>4106</v>
      </c>
      <c r="BS167" t="s" s="0">
        <v>4107</v>
      </c>
      <c r="BT167" t="s" s="331">
        <f>HYPERLINK("https://www.webofscience.com/wos/woscc/full-record/WOS:001630974300001","View Record in Web of Science")</f>
        <v>114</v>
      </c>
      <c r="BU167" t="s" s="0">
        <v>301</v>
      </c>
      <c r="BV167" t="s" s="0">
        <v>81</v>
      </c>
      <c r="BW167" t="s" s="0">
        <v>81</v>
      </c>
      <c r="BX167" t="s" s="0">
        <v>116</v>
      </c>
    </row>
    <row r="168">
      <c r="A168" t="s" s="0">
        <v>77</v>
      </c>
      <c r="B168" t="s" s="0">
        <v>77</v>
      </c>
      <c r="C168" t="s" s="0">
        <v>77</v>
      </c>
      <c r="D168" t="s" s="0">
        <v>77</v>
      </c>
      <c r="E168" t="s" s="0">
        <v>4108</v>
      </c>
      <c r="F168" t="s" s="0">
        <v>4109</v>
      </c>
      <c r="G168" t="s" s="0">
        <v>4110</v>
      </c>
      <c r="H168" t="s" s="0">
        <v>81</v>
      </c>
      <c r="I168" t="s" s="0">
        <v>238</v>
      </c>
      <c r="J168" t="s" s="0">
        <v>4111</v>
      </c>
      <c r="K168" t="s" s="0">
        <v>4112</v>
      </c>
      <c r="L168" t="s" s="0">
        <v>81</v>
      </c>
      <c r="M168" t="s" s="0">
        <v>81</v>
      </c>
      <c r="N168" t="s" s="0">
        <v>81</v>
      </c>
      <c r="O168" t="s" s="0">
        <v>4113</v>
      </c>
      <c r="P168" t="s" s="0">
        <v>4114</v>
      </c>
      <c r="Q168" t="s" s="0">
        <v>87</v>
      </c>
      <c r="R168" t="s" s="0">
        <v>81</v>
      </c>
      <c r="S168" t="s" s="0">
        <v>81</v>
      </c>
      <c r="T168" t="s" s="0">
        <v>81</v>
      </c>
      <c r="U168" t="s" s="0">
        <v>81</v>
      </c>
      <c r="V168" t="s" s="0">
        <v>4115</v>
      </c>
      <c r="W168" t="s" s="0">
        <v>4116</v>
      </c>
      <c r="X168" t="s" s="0">
        <v>81</v>
      </c>
      <c r="Y168" t="s" s="0">
        <v>81</v>
      </c>
      <c r="Z168" t="s" s="0">
        <v>90</v>
      </c>
      <c r="AA168" t="s" s="0">
        <v>91</v>
      </c>
      <c r="AB168" t="s" s="0">
        <v>81</v>
      </c>
      <c r="AC168" t="s" s="0">
        <v>81</v>
      </c>
      <c r="AD168" t="s" s="0">
        <v>81</v>
      </c>
      <c r="AE168" t="s" s="0">
        <v>81</v>
      </c>
      <c r="AF168" t="s" s="0">
        <v>81</v>
      </c>
      <c r="AG168" t="s" s="0">
        <v>4117</v>
      </c>
      <c r="AH168" t="s" s="0">
        <v>81</v>
      </c>
      <c r="AI168" t="s" s="0">
        <v>81</v>
      </c>
      <c r="AJ168" t="s" s="0">
        <v>81</v>
      </c>
      <c r="AK168" t="s" s="0">
        <v>81</v>
      </c>
      <c r="AL168" t="s" s="0">
        <v>252</v>
      </c>
      <c r="AM168" t="s" s="0">
        <v>77</v>
      </c>
      <c r="AN168" t="s" s="0">
        <v>77</v>
      </c>
      <c r="AO168" t="s" s="0">
        <v>77</v>
      </c>
      <c r="AP168" t="s" s="0">
        <v>77</v>
      </c>
      <c r="AQ168" t="s" s="0">
        <v>4118</v>
      </c>
      <c r="AR168" t="s" s="0">
        <v>4119</v>
      </c>
      <c r="AS168" t="s" s="0">
        <v>4120</v>
      </c>
      <c r="AT168" t="s" s="0">
        <v>4121</v>
      </c>
      <c r="AU168" t="s" s="0">
        <v>4122</v>
      </c>
      <c r="AV168" t="s" s="0">
        <v>81</v>
      </c>
      <c r="AW168" t="s" s="0">
        <v>4123</v>
      </c>
      <c r="AX168" t="s" s="0">
        <v>4124</v>
      </c>
      <c r="AY168" t="s" s="0">
        <v>948</v>
      </c>
      <c r="AZ168" t="s" s="0">
        <v>103</v>
      </c>
      <c r="BA168" t="s" s="0">
        <v>1912</v>
      </c>
      <c r="BB168" t="s" s="0">
        <v>156</v>
      </c>
      <c r="BC168" t="s" s="0">
        <v>81</v>
      </c>
      <c r="BD168" t="s" s="0">
        <v>81</v>
      </c>
      <c r="BE168" t="s" s="0">
        <v>81</v>
      </c>
      <c r="BF168" t="s" s="0">
        <v>81</v>
      </c>
      <c r="BG168" t="s" s="0">
        <v>4125</v>
      </c>
      <c r="BH168" t="s" s="0">
        <v>2028</v>
      </c>
      <c r="BI168" t="s" s="0">
        <v>81</v>
      </c>
      <c r="BJ168" t="s" s="0">
        <v>4126</v>
      </c>
      <c r="BK168" t="s" s="332">
        <f>HYPERLINK("http://dx.doi.org/10.4258/hir.2026.32.2.134","http://dx.doi.org/10.4258/hir.2026.32.2.134")</f>
        <v>4127</v>
      </c>
      <c r="BL168" t="s" s="0">
        <v>81</v>
      </c>
      <c r="BM168" t="s" s="0">
        <v>81</v>
      </c>
      <c r="BN168" t="s" s="0">
        <v>191</v>
      </c>
      <c r="BO168" t="s" s="0">
        <v>1963</v>
      </c>
      <c r="BP168" t="s" s="0">
        <v>1963</v>
      </c>
      <c r="BQ168" t="s" s="0">
        <v>4128</v>
      </c>
      <c r="BR168" t="s" s="0">
        <v>4129</v>
      </c>
      <c r="BS168" t="s" s="0">
        <v>4130</v>
      </c>
      <c r="BT168" t="s" s="333">
        <f>HYPERLINK("https://www.webofscience.com/wos/woscc/full-record/WOS:001768334000004","View Record in Web of Science")</f>
        <v>114</v>
      </c>
      <c r="BU168" t="s" s="0">
        <v>301</v>
      </c>
      <c r="BV168" t="s" s="0">
        <v>81</v>
      </c>
      <c r="BW168" t="s" s="0">
        <v>81</v>
      </c>
      <c r="BX168" t="s" s="0">
        <v>116</v>
      </c>
    </row>
    <row r="169">
      <c r="A169" t="s" s="0">
        <v>77</v>
      </c>
      <c r="B169" t="s" s="0">
        <v>77</v>
      </c>
      <c r="C169" t="s" s="0">
        <v>77</v>
      </c>
      <c r="D169" t="s" s="0">
        <v>77</v>
      </c>
      <c r="E169" t="s" s="0">
        <v>4131</v>
      </c>
      <c r="F169" t="s" s="0">
        <v>4132</v>
      </c>
      <c r="G169" t="s" s="0">
        <v>4133</v>
      </c>
      <c r="H169" t="s" s="0">
        <v>81</v>
      </c>
      <c r="I169" t="s" s="0">
        <v>82</v>
      </c>
      <c r="J169" t="s" s="0">
        <v>4134</v>
      </c>
      <c r="K169" t="s" s="0">
        <v>4135</v>
      </c>
      <c r="L169" t="s" s="0">
        <v>4136</v>
      </c>
      <c r="M169" t="s" s="0">
        <v>4137</v>
      </c>
      <c r="N169" t="s" s="0">
        <v>4138</v>
      </c>
      <c r="O169" t="s" s="0">
        <v>4139</v>
      </c>
      <c r="P169" t="s" s="0">
        <v>4140</v>
      </c>
      <c r="Q169" t="s" s="0">
        <v>87</v>
      </c>
      <c r="R169" t="s" s="0">
        <v>81</v>
      </c>
      <c r="S169" t="s" s="0">
        <v>81</v>
      </c>
      <c r="T169" t="s" s="0">
        <v>81</v>
      </c>
      <c r="U169" t="s" s="0">
        <v>81</v>
      </c>
      <c r="V169" t="s" s="0">
        <v>4141</v>
      </c>
      <c r="W169" t="s" s="0">
        <v>4142</v>
      </c>
      <c r="X169" t="s" s="0">
        <v>81</v>
      </c>
      <c r="Y169" t="s" s="0">
        <v>81</v>
      </c>
      <c r="Z169" t="s" s="0">
        <v>90</v>
      </c>
      <c r="AA169" t="s" s="0">
        <v>1581</v>
      </c>
      <c r="AB169" t="s" s="0">
        <v>81</v>
      </c>
      <c r="AC169" t="s" s="0">
        <v>81</v>
      </c>
      <c r="AD169" t="s" s="0">
        <v>81</v>
      </c>
      <c r="AE169" t="s" s="0">
        <v>81</v>
      </c>
      <c r="AF169" t="s" s="0">
        <v>81</v>
      </c>
      <c r="AG169" t="s" s="0">
        <v>4143</v>
      </c>
      <c r="AH169" t="s" s="0">
        <v>81</v>
      </c>
      <c r="AI169" t="s" s="0">
        <v>4144</v>
      </c>
      <c r="AJ169" t="s" s="0">
        <v>81</v>
      </c>
      <c r="AK169" t="s" s="0">
        <v>81</v>
      </c>
      <c r="AL169" t="s" s="0">
        <v>1511</v>
      </c>
      <c r="AM169" t="s" s="0">
        <v>77</v>
      </c>
      <c r="AN169" t="s" s="0">
        <v>77</v>
      </c>
      <c r="AO169" t="s" s="0">
        <v>77</v>
      </c>
      <c r="AP169" t="s" s="0">
        <v>77</v>
      </c>
      <c r="AQ169" t="s" s="0">
        <v>212</v>
      </c>
      <c r="AR169" t="s" s="0">
        <v>213</v>
      </c>
      <c r="AS169" t="s" s="0">
        <v>214</v>
      </c>
      <c r="AT169" t="s" s="0">
        <v>4145</v>
      </c>
      <c r="AU169" t="s" s="0">
        <v>4146</v>
      </c>
      <c r="AV169" t="s" s="0">
        <v>81</v>
      </c>
      <c r="AW169" t="s" s="0">
        <v>4147</v>
      </c>
      <c r="AX169" t="s" s="0">
        <v>4148</v>
      </c>
      <c r="AY169" t="s" s="0">
        <v>81</v>
      </c>
      <c r="AZ169" t="s" s="0">
        <v>103</v>
      </c>
      <c r="BA169" t="s" s="0">
        <v>81</v>
      </c>
      <c r="BB169" t="s" s="0">
        <v>81</v>
      </c>
      <c r="BC169" t="s" s="0">
        <v>81</v>
      </c>
      <c r="BD169" t="s" s="0">
        <v>81</v>
      </c>
      <c r="BE169" t="s" s="0">
        <v>81</v>
      </c>
      <c r="BF169" t="s" s="0">
        <v>81</v>
      </c>
      <c r="BG169" t="s" s="0">
        <v>81</v>
      </c>
      <c r="BH169" t="s" s="0">
        <v>81</v>
      </c>
      <c r="BI169" t="s" s="0">
        <v>81</v>
      </c>
      <c r="BJ169" t="s" s="0">
        <v>4149</v>
      </c>
      <c r="BK169" t="s" s="334">
        <f>HYPERLINK("http://dx.doi.org/10.1007/s10796-026-10741-3","http://dx.doi.org/10.1007/s10796-026-10741-3")</f>
        <v>4150</v>
      </c>
      <c r="BL169" t="s" s="0">
        <v>81</v>
      </c>
      <c r="BM169" t="s" s="0">
        <v>675</v>
      </c>
      <c r="BN169" t="s" s="0">
        <v>228</v>
      </c>
      <c r="BO169" t="s" s="0">
        <v>4151</v>
      </c>
      <c r="BP169" t="s" s="0">
        <v>152</v>
      </c>
      <c r="BQ169" t="s" s="0">
        <v>4152</v>
      </c>
      <c r="BR169" t="s" s="0">
        <v>81</v>
      </c>
      <c r="BS169" t="s" s="0">
        <v>4153</v>
      </c>
      <c r="BT169" t="s" s="335">
        <f>HYPERLINK("https://www.webofscience.com/wos/woscc/full-record/WOS:001762623500001","View Record in Web of Science")</f>
        <v>114</v>
      </c>
      <c r="BU169" t="s" s="0">
        <v>155</v>
      </c>
      <c r="BV169" t="s" s="0">
        <v>81</v>
      </c>
      <c r="BW169" t="s" s="0">
        <v>81</v>
      </c>
      <c r="BX169" t="s" s="0">
        <v>116</v>
      </c>
    </row>
    <row r="170">
      <c r="A170" t="s" s="0">
        <v>77</v>
      </c>
      <c r="B170" t="s" s="0">
        <v>77</v>
      </c>
      <c r="C170" t="s" s="0">
        <v>175</v>
      </c>
      <c r="D170" t="s" s="0">
        <v>77</v>
      </c>
      <c r="E170" t="s" s="0">
        <v>4154</v>
      </c>
      <c r="F170" t="s" s="0">
        <v>4155</v>
      </c>
      <c r="G170" t="s" s="0">
        <v>4156</v>
      </c>
      <c r="H170" t="s" s="0">
        <v>81</v>
      </c>
      <c r="I170" t="s" s="0">
        <v>589</v>
      </c>
      <c r="J170" t="s" s="0">
        <v>4157</v>
      </c>
      <c r="K170" t="s" s="0">
        <v>4158</v>
      </c>
      <c r="L170" t="s" s="0">
        <v>81</v>
      </c>
      <c r="M170" t="s" s="0">
        <v>81</v>
      </c>
      <c r="N170" t="s" s="0">
        <v>81</v>
      </c>
      <c r="O170" t="s" s="0">
        <v>4159</v>
      </c>
      <c r="P170" t="s" s="0">
        <v>4160</v>
      </c>
      <c r="Q170" t="s" s="0">
        <v>87</v>
      </c>
      <c r="R170" t="s" s="0">
        <v>81</v>
      </c>
      <c r="S170" t="s" s="0">
        <v>81</v>
      </c>
      <c r="T170" t="s" s="0">
        <v>81</v>
      </c>
      <c r="U170" t="s" s="0">
        <v>81</v>
      </c>
      <c r="V170" t="s" s="0">
        <v>4161</v>
      </c>
      <c r="W170" t="s" s="0">
        <v>4162</v>
      </c>
      <c r="X170" t="s" s="0">
        <v>81</v>
      </c>
      <c r="Y170" t="s" s="0">
        <v>81</v>
      </c>
      <c r="Z170" t="s" s="0">
        <v>90</v>
      </c>
      <c r="AA170" t="s" s="0">
        <v>91</v>
      </c>
      <c r="AB170" t="s" s="0">
        <v>81</v>
      </c>
      <c r="AC170" t="s" s="0">
        <v>81</v>
      </c>
      <c r="AD170" t="s" s="0">
        <v>81</v>
      </c>
      <c r="AE170" t="s" s="0">
        <v>81</v>
      </c>
      <c r="AF170" t="s" s="0">
        <v>81</v>
      </c>
      <c r="AG170" t="s" s="0">
        <v>4163</v>
      </c>
      <c r="AH170" t="s" s="0">
        <v>81</v>
      </c>
      <c r="AI170" t="s" s="0">
        <v>81</v>
      </c>
      <c r="AJ170" t="s" s="0">
        <v>81</v>
      </c>
      <c r="AK170" t="s" s="0">
        <v>81</v>
      </c>
      <c r="AL170" t="s" s="0">
        <v>399</v>
      </c>
      <c r="AM170" t="s" s="0">
        <v>874</v>
      </c>
      <c r="AN170" t="s" s="0">
        <v>228</v>
      </c>
      <c r="AO170" t="s" s="0">
        <v>97</v>
      </c>
      <c r="AP170" t="s" s="0">
        <v>109</v>
      </c>
      <c r="AQ170" t="s" s="0">
        <v>4164</v>
      </c>
      <c r="AR170" t="s" s="0">
        <v>4165</v>
      </c>
      <c r="AS170" t="s" s="0">
        <v>4166</v>
      </c>
      <c r="AT170" t="s" s="0">
        <v>4167</v>
      </c>
      <c r="AU170" t="s" s="0">
        <v>4168</v>
      </c>
      <c r="AV170" t="s" s="0">
        <v>81</v>
      </c>
      <c r="AW170" t="s" s="0">
        <v>4169</v>
      </c>
      <c r="AX170" t="s" s="0">
        <v>4170</v>
      </c>
      <c r="AY170" t="s" s="0">
        <v>4171</v>
      </c>
      <c r="AZ170" t="s" s="0">
        <v>220</v>
      </c>
      <c r="BA170" t="s" s="0">
        <v>696</v>
      </c>
      <c r="BB170" t="s" s="0">
        <v>97</v>
      </c>
      <c r="BC170" t="s" s="0">
        <v>4172</v>
      </c>
      <c r="BD170" t="s" s="0">
        <v>81</v>
      </c>
      <c r="BE170" t="s" s="0">
        <v>81</v>
      </c>
      <c r="BF170" t="s" s="0">
        <v>81</v>
      </c>
      <c r="BG170" t="s" s="0">
        <v>4173</v>
      </c>
      <c r="BH170" t="s" s="0">
        <v>4174</v>
      </c>
      <c r="BI170" t="s" s="0">
        <v>81</v>
      </c>
      <c r="BJ170" t="s" s="0">
        <v>4175</v>
      </c>
      <c r="BK170" t="s" s="336">
        <f>HYPERLINK("http://dx.doi.org/10.1093/jmp/jhab036","http://dx.doi.org/10.1093/jmp/jhab036")</f>
        <v>4176</v>
      </c>
      <c r="BL170" t="s" s="0">
        <v>81</v>
      </c>
      <c r="BM170" t="s" s="0">
        <v>81</v>
      </c>
      <c r="BN170" t="s" s="0">
        <v>434</v>
      </c>
      <c r="BO170" t="s" s="0">
        <v>4177</v>
      </c>
      <c r="BP170" t="s" s="0">
        <v>4178</v>
      </c>
      <c r="BQ170" t="s" s="0">
        <v>4179</v>
      </c>
      <c r="BR170" t="s" s="0">
        <v>4180</v>
      </c>
      <c r="BS170" t="s" s="0">
        <v>4181</v>
      </c>
      <c r="BT170" t="s" s="337">
        <f>HYPERLINK("https://www.webofscience.com/wos/woscc/full-record/WOS:000753115200009","View Record in Web of Science")</f>
        <v>114</v>
      </c>
      <c r="BU170" t="s" s="0">
        <v>81</v>
      </c>
      <c r="BV170" t="s" s="0">
        <v>81</v>
      </c>
      <c r="BW170" t="s" s="0">
        <v>81</v>
      </c>
      <c r="BX170" t="s" s="0">
        <v>116</v>
      </c>
    </row>
    <row r="171">
      <c r="A171" t="s" s="0">
        <v>77</v>
      </c>
      <c r="B171" t="s" s="0">
        <v>77</v>
      </c>
      <c r="C171" t="s" s="0">
        <v>77</v>
      </c>
      <c r="D171" t="s" s="0">
        <v>77</v>
      </c>
      <c r="E171" t="s" s="0">
        <v>4182</v>
      </c>
      <c r="F171" t="s" s="0">
        <v>4183</v>
      </c>
      <c r="G171" t="s" s="0">
        <v>4184</v>
      </c>
      <c r="H171" t="s" s="0">
        <v>81</v>
      </c>
      <c r="I171" t="s" s="0">
        <v>528</v>
      </c>
      <c r="J171" t="s" s="0">
        <v>4185</v>
      </c>
      <c r="K171" t="s" s="0">
        <v>4186</v>
      </c>
      <c r="L171" t="s" s="0">
        <v>81</v>
      </c>
      <c r="M171" t="s" s="0">
        <v>81</v>
      </c>
      <c r="N171" t="s" s="0">
        <v>81</v>
      </c>
      <c r="O171" t="s" s="0">
        <v>4187</v>
      </c>
      <c r="P171" t="s" s="0">
        <v>4188</v>
      </c>
      <c r="Q171" t="s" s="0">
        <v>87</v>
      </c>
      <c r="R171" t="s" s="0">
        <v>81</v>
      </c>
      <c r="S171" t="s" s="0">
        <v>81</v>
      </c>
      <c r="T171" t="s" s="0">
        <v>81</v>
      </c>
      <c r="U171" t="s" s="0">
        <v>81</v>
      </c>
      <c r="V171" t="s" s="0">
        <v>4189</v>
      </c>
      <c r="W171" t="s" s="0">
        <v>4190</v>
      </c>
      <c r="X171" t="s" s="0">
        <v>81</v>
      </c>
      <c r="Y171" t="s" s="0">
        <v>81</v>
      </c>
      <c r="Z171" t="s" s="0">
        <v>90</v>
      </c>
      <c r="AA171" t="s" s="0">
        <v>1581</v>
      </c>
      <c r="AB171" t="s" s="0">
        <v>81</v>
      </c>
      <c r="AC171" t="s" s="0">
        <v>81</v>
      </c>
      <c r="AD171" t="s" s="0">
        <v>81</v>
      </c>
      <c r="AE171" t="s" s="0">
        <v>81</v>
      </c>
      <c r="AF171" t="s" s="0">
        <v>81</v>
      </c>
      <c r="AG171" t="s" s="0">
        <v>4191</v>
      </c>
      <c r="AH171" t="s" s="0">
        <v>81</v>
      </c>
      <c r="AI171" t="s" s="0">
        <v>4192</v>
      </c>
      <c r="AJ171" t="s" s="0">
        <v>4193</v>
      </c>
      <c r="AK171" t="s" s="0">
        <v>81</v>
      </c>
      <c r="AL171" t="s" s="0">
        <v>756</v>
      </c>
      <c r="AM171" t="s" s="0">
        <v>77</v>
      </c>
      <c r="AN171" t="s" s="0">
        <v>77</v>
      </c>
      <c r="AO171" t="s" s="0">
        <v>134</v>
      </c>
      <c r="AP171" t="s" s="0">
        <v>486</v>
      </c>
      <c r="AQ171" t="s" s="0">
        <v>1809</v>
      </c>
      <c r="AR171" t="s" s="0">
        <v>1810</v>
      </c>
      <c r="AS171" t="s" s="0">
        <v>1811</v>
      </c>
      <c r="AT171" t="s" s="0">
        <v>4194</v>
      </c>
      <c r="AU171" t="s" s="0">
        <v>4195</v>
      </c>
      <c r="AV171" t="s" s="0">
        <v>81</v>
      </c>
      <c r="AW171" t="s" s="0">
        <v>4196</v>
      </c>
      <c r="AX171" t="s" s="0">
        <v>4197</v>
      </c>
      <c r="AY171" t="s" s="0">
        <v>81</v>
      </c>
      <c r="AZ171" t="s" s="0">
        <v>103</v>
      </c>
      <c r="BA171" t="s" s="0">
        <v>81</v>
      </c>
      <c r="BB171" t="s" s="0">
        <v>81</v>
      </c>
      <c r="BC171" t="s" s="0">
        <v>81</v>
      </c>
      <c r="BD171" t="s" s="0">
        <v>81</v>
      </c>
      <c r="BE171" t="s" s="0">
        <v>81</v>
      </c>
      <c r="BF171" t="s" s="0">
        <v>81</v>
      </c>
      <c r="BG171" t="s" s="0">
        <v>81</v>
      </c>
      <c r="BH171" t="s" s="0">
        <v>81</v>
      </c>
      <c r="BI171" t="s" s="0">
        <v>81</v>
      </c>
      <c r="BJ171" t="s" s="0">
        <v>4198</v>
      </c>
      <c r="BK171" t="s" s="338">
        <f>HYPERLINK("http://dx.doi.org/10.1177/08944393261419809","http://dx.doi.org/10.1177/08944393261419809")</f>
        <v>4199</v>
      </c>
      <c r="BL171" t="s" s="0">
        <v>81</v>
      </c>
      <c r="BM171" t="s" s="0">
        <v>1940</v>
      </c>
      <c r="BN171" t="s" s="0">
        <v>150</v>
      </c>
      <c r="BO171" t="s" s="0">
        <v>4200</v>
      </c>
      <c r="BP171" t="s" s="0">
        <v>4201</v>
      </c>
      <c r="BQ171" t="s" s="0">
        <v>4202</v>
      </c>
      <c r="BR171" t="s" s="0">
        <v>81</v>
      </c>
      <c r="BS171" t="s" s="0">
        <v>4203</v>
      </c>
      <c r="BT171" t="s" s="339">
        <f>HYPERLINK("https://www.webofscience.com/wos/woscc/full-record/WOS:001667834900001","View Record in Web of Science")</f>
        <v>114</v>
      </c>
      <c r="BU171" t="s" s="0">
        <v>81</v>
      </c>
      <c r="BV171" t="s" s="0">
        <v>81</v>
      </c>
      <c r="BW171" t="s" s="0">
        <v>81</v>
      </c>
      <c r="BX171" t="s" s="0">
        <v>116</v>
      </c>
    </row>
    <row r="172">
      <c r="A172" t="s" s="0">
        <v>77</v>
      </c>
      <c r="B172" t="s" s="0">
        <v>77</v>
      </c>
      <c r="C172" t="s" s="0">
        <v>77</v>
      </c>
      <c r="D172" t="s" s="0">
        <v>77</v>
      </c>
      <c r="E172" t="s" s="0">
        <v>4204</v>
      </c>
      <c r="F172" t="s" s="0">
        <v>4205</v>
      </c>
      <c r="G172" t="s" s="0">
        <v>4206</v>
      </c>
      <c r="H172" t="s" s="0">
        <v>81</v>
      </c>
      <c r="I172" t="s" s="0">
        <v>238</v>
      </c>
      <c r="J172" t="s" s="0">
        <v>4207</v>
      </c>
      <c r="K172" t="s" s="0">
        <v>4208</v>
      </c>
      <c r="L172" t="s" s="0">
        <v>81</v>
      </c>
      <c r="M172" t="s" s="0">
        <v>81</v>
      </c>
      <c r="N172" t="s" s="0">
        <v>81</v>
      </c>
      <c r="O172" t="s" s="0">
        <v>4209</v>
      </c>
      <c r="P172" t="s" s="0">
        <v>4210</v>
      </c>
      <c r="Q172" t="s" s="0">
        <v>87</v>
      </c>
      <c r="R172" t="s" s="0">
        <v>81</v>
      </c>
      <c r="S172" t="s" s="0">
        <v>81</v>
      </c>
      <c r="T172" t="s" s="0">
        <v>81</v>
      </c>
      <c r="U172" t="s" s="0">
        <v>81</v>
      </c>
      <c r="V172" t="s" s="0">
        <v>4211</v>
      </c>
      <c r="W172" t="s" s="0">
        <v>2121</v>
      </c>
      <c r="X172" t="s" s="0">
        <v>81</v>
      </c>
      <c r="Y172" t="s" s="0">
        <v>81</v>
      </c>
      <c r="Z172" t="s" s="0">
        <v>90</v>
      </c>
      <c r="AA172" t="s" s="0">
        <v>91</v>
      </c>
      <c r="AB172" t="s" s="0">
        <v>81</v>
      </c>
      <c r="AC172" t="s" s="0">
        <v>81</v>
      </c>
      <c r="AD172" t="s" s="0">
        <v>81</v>
      </c>
      <c r="AE172" t="s" s="0">
        <v>81</v>
      </c>
      <c r="AF172" t="s" s="0">
        <v>81</v>
      </c>
      <c r="AG172" t="s" s="0">
        <v>4212</v>
      </c>
      <c r="AH172" t="s" s="0">
        <v>81</v>
      </c>
      <c r="AI172" t="s" s="0">
        <v>4213</v>
      </c>
      <c r="AJ172" t="s" s="0">
        <v>4214</v>
      </c>
      <c r="AK172" t="s" s="0">
        <v>81</v>
      </c>
      <c r="AL172" t="s" s="0">
        <v>1254</v>
      </c>
      <c r="AM172" t="s" s="0">
        <v>77</v>
      </c>
      <c r="AN172" t="s" s="0">
        <v>77</v>
      </c>
      <c r="AO172" t="s" s="0">
        <v>77</v>
      </c>
      <c r="AP172" t="s" s="0">
        <v>77</v>
      </c>
      <c r="AQ172" t="s" s="0">
        <v>726</v>
      </c>
      <c r="AR172" t="s" s="0">
        <v>727</v>
      </c>
      <c r="AS172" t="s" s="0">
        <v>728</v>
      </c>
      <c r="AT172" t="s" s="0">
        <v>2124</v>
      </c>
      <c r="AU172" t="s" s="0">
        <v>2125</v>
      </c>
      <c r="AV172" t="s" s="0">
        <v>81</v>
      </c>
      <c r="AW172" t="s" s="0">
        <v>2126</v>
      </c>
      <c r="AX172" t="s" s="0">
        <v>2127</v>
      </c>
      <c r="AY172" t="s" s="0">
        <v>290</v>
      </c>
      <c r="AZ172" t="s" s="0">
        <v>290</v>
      </c>
      <c r="BA172" t="s" s="0">
        <v>290</v>
      </c>
      <c r="BB172" t="s" s="0">
        <v>97</v>
      </c>
      <c r="BC172" t="s" s="0">
        <v>81</v>
      </c>
      <c r="BD172" t="s" s="0">
        <v>81</v>
      </c>
      <c r="BE172" t="s" s="0">
        <v>81</v>
      </c>
      <c r="BF172" t="s" s="0">
        <v>81</v>
      </c>
      <c r="BG172" t="s" s="0">
        <v>81</v>
      </c>
      <c r="BH172" t="s" s="0">
        <v>81</v>
      </c>
      <c r="BI172" t="s" s="0">
        <v>4215</v>
      </c>
      <c r="BJ172" t="s" s="0">
        <v>4216</v>
      </c>
      <c r="BK172" t="s" s="340">
        <f>HYPERLINK("http://dx.doi.org/10.1155/acis/8886728","http://dx.doi.org/10.1155/acis/8886728")</f>
        <v>4217</v>
      </c>
      <c r="BL172" t="s" s="0">
        <v>81</v>
      </c>
      <c r="BM172" t="s" s="0">
        <v>81</v>
      </c>
      <c r="BN172" t="s" s="0">
        <v>874</v>
      </c>
      <c r="BO172" t="s" s="0">
        <v>409</v>
      </c>
      <c r="BP172" t="s" s="0">
        <v>152</v>
      </c>
      <c r="BQ172" t="s" s="0">
        <v>4218</v>
      </c>
      <c r="BR172" t="s" s="0">
        <v>81</v>
      </c>
      <c r="BS172" t="s" s="0">
        <v>4219</v>
      </c>
      <c r="BT172" t="s" s="341">
        <f>HYPERLINK("https://www.webofscience.com/wos/woscc/full-record/WOS:001604161500001","View Record in Web of Science")</f>
        <v>114</v>
      </c>
      <c r="BU172" t="s" s="0">
        <v>301</v>
      </c>
      <c r="BV172" t="s" s="0">
        <v>81</v>
      </c>
      <c r="BW172" t="s" s="0">
        <v>81</v>
      </c>
      <c r="BX172" t="s" s="0">
        <v>116</v>
      </c>
    </row>
    <row r="173">
      <c r="A173" t="s" s="0">
        <v>77</v>
      </c>
      <c r="B173" t="s" s="0">
        <v>77</v>
      </c>
      <c r="C173" t="s" s="0">
        <v>77</v>
      </c>
      <c r="D173" t="s" s="0">
        <v>77</v>
      </c>
      <c r="E173" t="s" s="0">
        <v>4220</v>
      </c>
      <c r="F173" t="s" s="0">
        <v>4221</v>
      </c>
      <c r="G173" t="s" s="0">
        <v>4222</v>
      </c>
      <c r="H173" t="s" s="0">
        <v>81</v>
      </c>
      <c r="I173" t="s" s="0">
        <v>82</v>
      </c>
      <c r="J173" t="s" s="0">
        <v>4223</v>
      </c>
      <c r="K173" t="s" s="0">
        <v>4224</v>
      </c>
      <c r="L173" t="s" s="0">
        <v>81</v>
      </c>
      <c r="M173" t="s" s="0">
        <v>81</v>
      </c>
      <c r="N173" t="s" s="0">
        <v>81</v>
      </c>
      <c r="O173" t="s" s="0">
        <v>4225</v>
      </c>
      <c r="P173" t="s" s="0">
        <v>4226</v>
      </c>
      <c r="Q173" t="s" s="0">
        <v>87</v>
      </c>
      <c r="R173" t="s" s="0">
        <v>81</v>
      </c>
      <c r="S173" t="s" s="0">
        <v>81</v>
      </c>
      <c r="T173" t="s" s="0">
        <v>81</v>
      </c>
      <c r="U173" t="s" s="0">
        <v>81</v>
      </c>
      <c r="V173" t="s" s="0">
        <v>4227</v>
      </c>
      <c r="W173" t="s" s="0">
        <v>4228</v>
      </c>
      <c r="X173" t="s" s="0">
        <v>81</v>
      </c>
      <c r="Y173" t="s" s="0">
        <v>81</v>
      </c>
      <c r="Z173" t="s" s="0">
        <v>90</v>
      </c>
      <c r="AA173" t="s" s="0">
        <v>91</v>
      </c>
      <c r="AB173" t="s" s="0">
        <v>81</v>
      </c>
      <c r="AC173" t="s" s="0">
        <v>81</v>
      </c>
      <c r="AD173" t="s" s="0">
        <v>81</v>
      </c>
      <c r="AE173" t="s" s="0">
        <v>81</v>
      </c>
      <c r="AF173" t="s" s="0">
        <v>81</v>
      </c>
      <c r="AG173" t="s" s="0">
        <v>4229</v>
      </c>
      <c r="AH173" t="s" s="0">
        <v>4230</v>
      </c>
      <c r="AI173" t="s" s="0">
        <v>4231</v>
      </c>
      <c r="AJ173" t="s" s="0">
        <v>4232</v>
      </c>
      <c r="AK173" t="s" s="0">
        <v>81</v>
      </c>
      <c r="AL173" t="s" s="0">
        <v>343</v>
      </c>
      <c r="AM173" t="s" s="0">
        <v>77</v>
      </c>
      <c r="AN173" t="s" s="0">
        <v>77</v>
      </c>
      <c r="AO173" t="s" s="0">
        <v>133</v>
      </c>
      <c r="AP173" t="s" s="0">
        <v>133</v>
      </c>
      <c r="AQ173" t="s" s="0">
        <v>726</v>
      </c>
      <c r="AR173" t="s" s="0">
        <v>727</v>
      </c>
      <c r="AS173" t="s" s="0">
        <v>728</v>
      </c>
      <c r="AT173" t="s" s="0">
        <v>4233</v>
      </c>
      <c r="AU173" t="s" s="0">
        <v>4234</v>
      </c>
      <c r="AV173" t="s" s="0">
        <v>81</v>
      </c>
      <c r="AW173" t="s" s="0">
        <v>4235</v>
      </c>
      <c r="AX173" t="s" s="0">
        <v>4236</v>
      </c>
      <c r="AY173" t="s" s="0">
        <v>290</v>
      </c>
      <c r="AZ173" t="s" s="0">
        <v>290</v>
      </c>
      <c r="BA173" t="s" s="0">
        <v>290</v>
      </c>
      <c r="BB173" t="s" s="0">
        <v>97</v>
      </c>
      <c r="BC173" t="s" s="0">
        <v>81</v>
      </c>
      <c r="BD173" t="s" s="0">
        <v>81</v>
      </c>
      <c r="BE173" t="s" s="0">
        <v>81</v>
      </c>
      <c r="BF173" t="s" s="0">
        <v>81</v>
      </c>
      <c r="BG173" t="s" s="0">
        <v>81</v>
      </c>
      <c r="BH173" t="s" s="0">
        <v>81</v>
      </c>
      <c r="BI173" t="s" s="0">
        <v>4237</v>
      </c>
      <c r="BJ173" t="s" s="0">
        <v>4238</v>
      </c>
      <c r="BK173" t="s" s="342">
        <f>HYPERLINK("http://dx.doi.org/10.1155/jotm/1709439","http://dx.doi.org/10.1155/jotm/1709439")</f>
        <v>4239</v>
      </c>
      <c r="BL173" t="s" s="0">
        <v>81</v>
      </c>
      <c r="BM173" t="s" s="0">
        <v>81</v>
      </c>
      <c r="BN173" t="s" s="0">
        <v>485</v>
      </c>
      <c r="BO173" t="s" s="0">
        <v>4240</v>
      </c>
      <c r="BP173" t="s" s="0">
        <v>4240</v>
      </c>
      <c r="BQ173" t="s" s="0">
        <v>4241</v>
      </c>
      <c r="BR173" t="s" s="0">
        <v>4242</v>
      </c>
      <c r="BS173" t="s" s="0">
        <v>4243</v>
      </c>
      <c r="BT173" t="s" s="343">
        <f>HYPERLINK("https://www.webofscience.com/wos/woscc/full-record/WOS:001637566600001","View Record in Web of Science")</f>
        <v>114</v>
      </c>
      <c r="BU173" t="s" s="0">
        <v>301</v>
      </c>
      <c r="BV173" t="s" s="0">
        <v>81</v>
      </c>
      <c r="BW173" t="s" s="0">
        <v>81</v>
      </c>
      <c r="BX173" t="s" s="0">
        <v>116</v>
      </c>
    </row>
    <row r="174">
      <c r="A174" t="s" s="0">
        <v>77</v>
      </c>
      <c r="B174" t="s" s="0">
        <v>77</v>
      </c>
      <c r="C174" t="s" s="0">
        <v>381</v>
      </c>
      <c r="D174" t="s" s="0">
        <v>77</v>
      </c>
      <c r="E174" t="s" s="0">
        <v>4244</v>
      </c>
      <c r="F174" t="s" s="0">
        <v>4245</v>
      </c>
      <c r="G174" t="s" s="0">
        <v>4246</v>
      </c>
      <c r="H174" t="s" s="0">
        <v>81</v>
      </c>
      <c r="I174" t="s" s="0">
        <v>82</v>
      </c>
      <c r="J174" t="s" s="0">
        <v>4247</v>
      </c>
      <c r="K174" t="s" s="0">
        <v>4248</v>
      </c>
      <c r="L174" t="s" s="0">
        <v>4249</v>
      </c>
      <c r="M174" t="s" s="0">
        <v>4250</v>
      </c>
      <c r="N174" t="s" s="0">
        <v>4251</v>
      </c>
      <c r="O174" t="s" s="0">
        <v>4252</v>
      </c>
      <c r="P174" t="s" s="0">
        <v>4253</v>
      </c>
      <c r="Q174" t="s" s="0">
        <v>87</v>
      </c>
      <c r="R174" t="s" s="0">
        <v>81</v>
      </c>
      <c r="S174" t="s" s="0">
        <v>81</v>
      </c>
      <c r="T174" t="s" s="0">
        <v>81</v>
      </c>
      <c r="U174" t="s" s="0">
        <v>81</v>
      </c>
      <c r="V174" t="s" s="0">
        <v>4254</v>
      </c>
      <c r="W174" t="s" s="0">
        <v>279</v>
      </c>
      <c r="X174" t="s" s="0">
        <v>81</v>
      </c>
      <c r="Y174" t="s" s="0">
        <v>81</v>
      </c>
      <c r="Z174" t="s" s="0">
        <v>90</v>
      </c>
      <c r="AA174" t="s" s="0">
        <v>91</v>
      </c>
      <c r="AB174" t="s" s="0">
        <v>81</v>
      </c>
      <c r="AC174" t="s" s="0">
        <v>81</v>
      </c>
      <c r="AD174" t="s" s="0">
        <v>81</v>
      </c>
      <c r="AE174" t="s" s="0">
        <v>81</v>
      </c>
      <c r="AF174" t="s" s="0">
        <v>81</v>
      </c>
      <c r="AG174" t="s" s="0">
        <v>4255</v>
      </c>
      <c r="AH174" t="s" s="0">
        <v>4256</v>
      </c>
      <c r="AI174" t="s" s="0">
        <v>4257</v>
      </c>
      <c r="AJ174" t="s" s="0">
        <v>4258</v>
      </c>
      <c r="AK174" t="s" s="0">
        <v>81</v>
      </c>
      <c r="AL174" t="s" s="0">
        <v>405</v>
      </c>
      <c r="AM174" t="s" s="0">
        <v>434</v>
      </c>
      <c r="AN174" t="s" s="0">
        <v>671</v>
      </c>
      <c r="AO174" t="s" s="0">
        <v>77</v>
      </c>
      <c r="AP174" t="s" s="0">
        <v>486</v>
      </c>
      <c r="AQ174" t="s" s="0">
        <v>284</v>
      </c>
      <c r="AR174" t="s" s="0">
        <v>285</v>
      </c>
      <c r="AS174" t="s" s="0">
        <v>317</v>
      </c>
      <c r="AT174" t="s" s="0">
        <v>81</v>
      </c>
      <c r="AU174" t="s" s="0">
        <v>287</v>
      </c>
      <c r="AV174" t="s" s="0">
        <v>81</v>
      </c>
      <c r="AW174" t="s" s="0">
        <v>279</v>
      </c>
      <c r="AX174" t="s" s="0">
        <v>288</v>
      </c>
      <c r="AY174" t="s" s="0">
        <v>4259</v>
      </c>
      <c r="AZ174" t="s" s="0">
        <v>260</v>
      </c>
      <c r="BA174" t="s" s="0">
        <v>486</v>
      </c>
      <c r="BB174" t="s" s="0">
        <v>135</v>
      </c>
      <c r="BC174" t="s" s="0">
        <v>81</v>
      </c>
      <c r="BD174" t="s" s="0">
        <v>81</v>
      </c>
      <c r="BE174" t="s" s="0">
        <v>81</v>
      </c>
      <c r="BF174" t="s" s="0">
        <v>81</v>
      </c>
      <c r="BG174" t="s" s="0">
        <v>81</v>
      </c>
      <c r="BH174" t="s" s="0">
        <v>81</v>
      </c>
      <c r="BI174" t="s" s="0">
        <v>4260</v>
      </c>
      <c r="BJ174" t="s" s="0">
        <v>4261</v>
      </c>
      <c r="BK174" t="s" s="344">
        <f>HYPERLINK("http://dx.doi.org/10.3390/diagnostics13233495","http://dx.doi.org/10.3390/diagnostics13233495")</f>
        <v>4262</v>
      </c>
      <c r="BL174" t="s" s="0">
        <v>81</v>
      </c>
      <c r="BM174" t="s" s="0">
        <v>81</v>
      </c>
      <c r="BN174" t="s" s="0">
        <v>367</v>
      </c>
      <c r="BO174" t="s" s="0">
        <v>296</v>
      </c>
      <c r="BP174" t="s" s="0">
        <v>297</v>
      </c>
      <c r="BQ174" t="s" s="0">
        <v>4263</v>
      </c>
      <c r="BR174" t="s" s="0">
        <v>4264</v>
      </c>
      <c r="BS174" t="s" s="0">
        <v>4265</v>
      </c>
      <c r="BT174" t="s" s="345">
        <f>HYPERLINK("https://www.webofscience.com/wos/woscc/full-record/WOS:001116032800001","View Record in Web of Science")</f>
        <v>114</v>
      </c>
      <c r="BU174" t="s" s="0">
        <v>301</v>
      </c>
      <c r="BV174" t="s" s="0">
        <v>81</v>
      </c>
      <c r="BW174" t="s" s="0">
        <v>81</v>
      </c>
      <c r="BX174" t="s" s="0">
        <v>116</v>
      </c>
    </row>
    <row r="175">
      <c r="A175" t="s" s="0">
        <v>77</v>
      </c>
      <c r="B175" t="s" s="0">
        <v>77</v>
      </c>
      <c r="C175" t="s" s="0">
        <v>77</v>
      </c>
      <c r="D175" t="s" s="0">
        <v>77</v>
      </c>
      <c r="E175" t="s" s="0">
        <v>4266</v>
      </c>
      <c r="F175" t="s" s="0">
        <v>4267</v>
      </c>
      <c r="G175" t="s" s="0">
        <v>4268</v>
      </c>
      <c r="H175" t="s" s="0">
        <v>81</v>
      </c>
      <c r="I175" t="s" s="0">
        <v>238</v>
      </c>
      <c r="J175" t="s" s="0">
        <v>4269</v>
      </c>
      <c r="K175" t="s" s="0">
        <v>4270</v>
      </c>
      <c r="L175" t="s" s="0">
        <v>81</v>
      </c>
      <c r="M175" t="s" s="0">
        <v>81</v>
      </c>
      <c r="N175" t="s" s="0">
        <v>81</v>
      </c>
      <c r="O175" t="s" s="0">
        <v>4271</v>
      </c>
      <c r="P175" t="s" s="0">
        <v>4272</v>
      </c>
      <c r="Q175" t="s" s="0">
        <v>87</v>
      </c>
      <c r="R175" t="s" s="0">
        <v>81</v>
      </c>
      <c r="S175" t="s" s="0">
        <v>81</v>
      </c>
      <c r="T175" t="s" s="0">
        <v>81</v>
      </c>
      <c r="U175" t="s" s="0">
        <v>81</v>
      </c>
      <c r="V175" t="s" s="0">
        <v>4273</v>
      </c>
      <c r="W175" t="s" s="0">
        <v>4274</v>
      </c>
      <c r="X175" t="s" s="0">
        <v>81</v>
      </c>
      <c r="Y175" t="s" s="0">
        <v>81</v>
      </c>
      <c r="Z175" t="s" s="0">
        <v>90</v>
      </c>
      <c r="AA175" t="s" s="0">
        <v>91</v>
      </c>
      <c r="AB175" t="s" s="0">
        <v>81</v>
      </c>
      <c r="AC175" t="s" s="0">
        <v>81</v>
      </c>
      <c r="AD175" t="s" s="0">
        <v>81</v>
      </c>
      <c r="AE175" t="s" s="0">
        <v>81</v>
      </c>
      <c r="AF175" t="s" s="0">
        <v>81</v>
      </c>
      <c r="AG175" t="s" s="0">
        <v>4275</v>
      </c>
      <c r="AH175" t="s" s="0">
        <v>4276</v>
      </c>
      <c r="AI175" t="s" s="0">
        <v>4277</v>
      </c>
      <c r="AJ175" t="s" s="0">
        <v>4278</v>
      </c>
      <c r="AK175" t="s" s="0">
        <v>81</v>
      </c>
      <c r="AL175" t="s" s="0">
        <v>1442</v>
      </c>
      <c r="AM175" t="s" s="0">
        <v>77</v>
      </c>
      <c r="AN175" t="s" s="0">
        <v>156</v>
      </c>
      <c r="AO175" t="s" s="0">
        <v>156</v>
      </c>
      <c r="AP175" t="s" s="0">
        <v>196</v>
      </c>
      <c r="AQ175" t="s" s="0">
        <v>177</v>
      </c>
      <c r="AR175" t="s" s="0">
        <v>178</v>
      </c>
      <c r="AS175" t="s" s="0">
        <v>179</v>
      </c>
      <c r="AT175" t="s" s="0">
        <v>4279</v>
      </c>
      <c r="AU175" t="s" s="0">
        <v>4280</v>
      </c>
      <c r="AV175" t="s" s="0">
        <v>81</v>
      </c>
      <c r="AW175" t="s" s="0">
        <v>4274</v>
      </c>
      <c r="AX175" t="s" s="0">
        <v>4281</v>
      </c>
      <c r="AY175" t="s" s="0">
        <v>149</v>
      </c>
      <c r="AZ175" t="s" s="0">
        <v>290</v>
      </c>
      <c r="BA175" t="s" s="0">
        <v>344</v>
      </c>
      <c r="BB175" t="s" s="0">
        <v>316</v>
      </c>
      <c r="BC175" t="s" s="0">
        <v>81</v>
      </c>
      <c r="BD175" t="s" s="0">
        <v>81</v>
      </c>
      <c r="BE175" t="s" s="0">
        <v>81</v>
      </c>
      <c r="BF175" t="s" s="0">
        <v>81</v>
      </c>
      <c r="BG175" t="s" s="0">
        <v>81</v>
      </c>
      <c r="BH175" t="s" s="0">
        <v>81</v>
      </c>
      <c r="BI175" t="s" s="0">
        <v>4282</v>
      </c>
      <c r="BJ175" t="s" s="0">
        <v>4283</v>
      </c>
      <c r="BK175" t="s" s="346">
        <f>HYPERLINK("http://dx.doi.org/10.1016/j.radi.2025.103194","http://dx.doi.org/10.1016/j.radi.2025.103194")</f>
        <v>4284</v>
      </c>
      <c r="BL175" t="s" s="0">
        <v>81</v>
      </c>
      <c r="BM175" t="s" s="0">
        <v>1029</v>
      </c>
      <c r="BN175" t="s" s="0">
        <v>381</v>
      </c>
      <c r="BO175" t="s" s="0">
        <v>738</v>
      </c>
      <c r="BP175" t="s" s="0">
        <v>738</v>
      </c>
      <c r="BQ175" t="s" s="0">
        <v>4285</v>
      </c>
      <c r="BR175" t="s" s="0">
        <v>4286</v>
      </c>
      <c r="BS175" t="s" s="0">
        <v>4287</v>
      </c>
      <c r="BT175" t="s" s="347">
        <f>HYPERLINK("https://www.webofscience.com/wos/woscc/full-record/WOS:001597839400001","View Record in Web of Science")</f>
        <v>114</v>
      </c>
      <c r="BU175" t="s" s="0">
        <v>1055</v>
      </c>
      <c r="BV175" t="s" s="0">
        <v>81</v>
      </c>
      <c r="BW175" t="s" s="0">
        <v>81</v>
      </c>
      <c r="BX175" t="s" s="0">
        <v>116</v>
      </c>
    </row>
    <row r="176">
      <c r="A176" t="s" s="0">
        <v>77</v>
      </c>
      <c r="B176" t="s" s="0">
        <v>77</v>
      </c>
      <c r="C176" t="s" s="0">
        <v>97</v>
      </c>
      <c r="D176" t="s" s="0">
        <v>77</v>
      </c>
      <c r="E176" t="s" s="0">
        <v>4288</v>
      </c>
      <c r="F176" t="s" s="0">
        <v>4289</v>
      </c>
      <c r="G176" t="s" s="0">
        <v>4290</v>
      </c>
      <c r="H176" t="s" s="0">
        <v>81</v>
      </c>
      <c r="I176" t="s" s="0">
        <v>82</v>
      </c>
      <c r="J176" t="s" s="0">
        <v>4291</v>
      </c>
      <c r="K176" t="s" s="0">
        <v>4292</v>
      </c>
      <c r="L176" t="s" s="0">
        <v>4293</v>
      </c>
      <c r="M176" t="s" s="0">
        <v>4294</v>
      </c>
      <c r="N176" t="s" s="0">
        <v>4295</v>
      </c>
      <c r="O176" t="s" s="0">
        <v>4296</v>
      </c>
      <c r="P176" t="s" s="0">
        <v>4297</v>
      </c>
      <c r="Q176" t="s" s="0">
        <v>87</v>
      </c>
      <c r="R176" t="s" s="0">
        <v>81</v>
      </c>
      <c r="S176" t="s" s="0">
        <v>81</v>
      </c>
      <c r="T176" t="s" s="0">
        <v>81</v>
      </c>
      <c r="U176" t="s" s="0">
        <v>81</v>
      </c>
      <c r="V176" t="s" s="0">
        <v>4298</v>
      </c>
      <c r="W176" t="s" s="0">
        <v>4299</v>
      </c>
      <c r="X176" t="s" s="0">
        <v>81</v>
      </c>
      <c r="Y176" t="s" s="0">
        <v>81</v>
      </c>
      <c r="Z176" t="s" s="0">
        <v>90</v>
      </c>
      <c r="AA176" t="s" s="0">
        <v>91</v>
      </c>
      <c r="AB176" t="s" s="0">
        <v>81</v>
      </c>
      <c r="AC176" t="s" s="0">
        <v>81</v>
      </c>
      <c r="AD176" t="s" s="0">
        <v>81</v>
      </c>
      <c r="AE176" t="s" s="0">
        <v>81</v>
      </c>
      <c r="AF176" t="s" s="0">
        <v>81</v>
      </c>
      <c r="AG176" t="s" s="0">
        <v>4300</v>
      </c>
      <c r="AH176" t="s" s="0">
        <v>4301</v>
      </c>
      <c r="AI176" t="s" s="0">
        <v>4302</v>
      </c>
      <c r="AJ176" t="s" s="0">
        <v>4303</v>
      </c>
      <c r="AK176" t="s" s="0">
        <v>81</v>
      </c>
      <c r="AL176" t="s" s="0">
        <v>734</v>
      </c>
      <c r="AM176" t="s" s="0">
        <v>381</v>
      </c>
      <c r="AN176" t="s" s="0">
        <v>381</v>
      </c>
      <c r="AO176" t="s" s="0">
        <v>97</v>
      </c>
      <c r="AP176" t="s" s="0">
        <v>261</v>
      </c>
      <c r="AQ176" t="s" s="0">
        <v>4304</v>
      </c>
      <c r="AR176" t="s" s="0">
        <v>285</v>
      </c>
      <c r="AS176" t="s" s="0">
        <v>4305</v>
      </c>
      <c r="AT176" t="s" s="0">
        <v>4306</v>
      </c>
      <c r="AU176" t="s" s="0">
        <v>4307</v>
      </c>
      <c r="AV176" t="s" s="0">
        <v>81</v>
      </c>
      <c r="AW176" t="s" s="0">
        <v>4308</v>
      </c>
      <c r="AX176" t="s" s="0">
        <v>4309</v>
      </c>
      <c r="AY176" t="s" s="0">
        <v>4310</v>
      </c>
      <c r="AZ176" t="s" s="0">
        <v>185</v>
      </c>
      <c r="BA176" t="s" s="0">
        <v>1685</v>
      </c>
      <c r="BB176" t="s" s="0">
        <v>156</v>
      </c>
      <c r="BC176" t="s" s="0">
        <v>81</v>
      </c>
      <c r="BD176" t="s" s="0">
        <v>81</v>
      </c>
      <c r="BE176" t="s" s="0">
        <v>81</v>
      </c>
      <c r="BF176" t="s" s="0">
        <v>81</v>
      </c>
      <c r="BG176" t="s" s="0">
        <v>398</v>
      </c>
      <c r="BH176" t="s" s="0">
        <v>4311</v>
      </c>
      <c r="BI176" t="s" s="0">
        <v>81</v>
      </c>
      <c r="BJ176" t="s" s="0">
        <v>4312</v>
      </c>
      <c r="BK176" t="s" s="348">
        <f>HYPERLINK("http://dx.doi.org/10.1159/000538424","http://dx.doi.org/10.1159/000538424")</f>
        <v>4313</v>
      </c>
      <c r="BL176" t="s" s="0">
        <v>81</v>
      </c>
      <c r="BM176" t="s" s="0">
        <v>81</v>
      </c>
      <c r="BN176" t="s" s="0">
        <v>486</v>
      </c>
      <c r="BO176" t="s" s="0">
        <v>3906</v>
      </c>
      <c r="BP176" t="s" s="0">
        <v>2504</v>
      </c>
      <c r="BQ176" t="s" s="0">
        <v>4314</v>
      </c>
      <c r="BR176" t="s" s="0">
        <v>4315</v>
      </c>
      <c r="BS176" t="s" s="0">
        <v>4316</v>
      </c>
      <c r="BT176" t="s" s="349">
        <f>HYPERLINK("https://www.webofscience.com/wos/woscc/full-record/WOS:001242116800001","View Record in Web of Science")</f>
        <v>114</v>
      </c>
      <c r="BU176" t="s" s="0">
        <v>81</v>
      </c>
      <c r="BV176" t="s" s="0">
        <v>81</v>
      </c>
      <c r="BW176" t="s" s="0">
        <v>81</v>
      </c>
      <c r="BX176" t="s" s="0">
        <v>116</v>
      </c>
    </row>
    <row r="177">
      <c r="A177" t="s" s="0">
        <v>97</v>
      </c>
      <c r="B177" t="s" s="0">
        <v>77</v>
      </c>
      <c r="C177" t="s" s="0">
        <v>97</v>
      </c>
      <c r="D177" t="s" s="0">
        <v>77</v>
      </c>
      <c r="E177" t="s" s="0">
        <v>4317</v>
      </c>
      <c r="F177" t="s" s="0">
        <v>4318</v>
      </c>
      <c r="G177" t="s" s="0">
        <v>4319</v>
      </c>
      <c r="H177" t="s" s="0">
        <v>81</v>
      </c>
      <c r="I177" t="s" s="0">
        <v>82</v>
      </c>
      <c r="J177" t="s" s="0">
        <v>4320</v>
      </c>
      <c r="K177" t="s" s="0">
        <v>4321</v>
      </c>
      <c r="L177" t="s" s="0">
        <v>81</v>
      </c>
      <c r="M177" t="s" s="0">
        <v>81</v>
      </c>
      <c r="N177" t="s" s="0">
        <v>81</v>
      </c>
      <c r="O177" t="s" s="0">
        <v>4322</v>
      </c>
      <c r="P177" t="s" s="0">
        <v>4323</v>
      </c>
      <c r="Q177" t="s" s="0">
        <v>87</v>
      </c>
      <c r="R177" t="s" s="0">
        <v>81</v>
      </c>
      <c r="S177" t="s" s="0">
        <v>81</v>
      </c>
      <c r="T177" t="s" s="0">
        <v>81</v>
      </c>
      <c r="U177" t="s" s="0">
        <v>81</v>
      </c>
      <c r="V177" t="s" s="0">
        <v>4324</v>
      </c>
      <c r="W177" t="s" s="0">
        <v>4325</v>
      </c>
      <c r="X177" t="s" s="0">
        <v>81</v>
      </c>
      <c r="Y177" t="s" s="0">
        <v>81</v>
      </c>
      <c r="Z177" t="s" s="0">
        <v>90</v>
      </c>
      <c r="AA177" t="s" s="0">
        <v>91</v>
      </c>
      <c r="AB177" t="s" s="0">
        <v>81</v>
      </c>
      <c r="AC177" t="s" s="0">
        <v>81</v>
      </c>
      <c r="AD177" t="s" s="0">
        <v>81</v>
      </c>
      <c r="AE177" t="s" s="0">
        <v>81</v>
      </c>
      <c r="AF177" t="s" s="0">
        <v>81</v>
      </c>
      <c r="AG177" t="s" s="0">
        <v>4326</v>
      </c>
      <c r="AH177" t="s" s="0">
        <v>81</v>
      </c>
      <c r="AI177" t="s" s="0">
        <v>4327</v>
      </c>
      <c r="AJ177" t="s" s="0">
        <v>81</v>
      </c>
      <c r="AK177" t="s" s="0">
        <v>81</v>
      </c>
      <c r="AL177" t="s" s="0">
        <v>324</v>
      </c>
      <c r="AM177" t="s" s="0">
        <v>381</v>
      </c>
      <c r="AN177" t="s" s="0">
        <v>261</v>
      </c>
      <c r="AO177" t="s" s="0">
        <v>97</v>
      </c>
      <c r="AP177" t="s" s="0">
        <v>150</v>
      </c>
      <c r="AQ177" t="s" s="0">
        <v>4328</v>
      </c>
      <c r="AR177" t="s" s="0">
        <v>4329</v>
      </c>
      <c r="AS177" t="s" s="0">
        <v>4330</v>
      </c>
      <c r="AT177" t="s" s="0">
        <v>4331</v>
      </c>
      <c r="AU177" t="s" s="0">
        <v>4332</v>
      </c>
      <c r="AV177" t="s" s="0">
        <v>81</v>
      </c>
      <c r="AW177" t="s" s="0">
        <v>4333</v>
      </c>
      <c r="AX177" t="s" s="0">
        <v>4334</v>
      </c>
      <c r="AY177" t="s" s="0">
        <v>220</v>
      </c>
      <c r="AZ177" t="s" s="0">
        <v>220</v>
      </c>
      <c r="BA177" t="s" s="0">
        <v>252</v>
      </c>
      <c r="BB177" t="s" s="0">
        <v>316</v>
      </c>
      <c r="BC177" t="s" s="0">
        <v>81</v>
      </c>
      <c r="BD177" t="s" s="0">
        <v>81</v>
      </c>
      <c r="BE177" t="s" s="0">
        <v>81</v>
      </c>
      <c r="BF177" t="s" s="0">
        <v>81</v>
      </c>
      <c r="BG177" t="s" s="0">
        <v>4335</v>
      </c>
      <c r="BH177" t="s" s="0">
        <v>4336</v>
      </c>
      <c r="BI177" t="s" s="0">
        <v>81</v>
      </c>
      <c r="BJ177" t="s" s="0">
        <v>4337</v>
      </c>
      <c r="BK177" t="s" s="350">
        <f>HYPERLINK("http://dx.doi.org/10.55730/1300-0632.3924","http://dx.doi.org/10.55730/1300-0632.3924")</f>
        <v>4338</v>
      </c>
      <c r="BL177" t="s" s="0">
        <v>81</v>
      </c>
      <c r="BM177" t="s" s="0">
        <v>81</v>
      </c>
      <c r="BN177" t="s" s="0">
        <v>295</v>
      </c>
      <c r="BO177" t="s" s="0">
        <v>192</v>
      </c>
      <c r="BP177" t="s" s="0">
        <v>193</v>
      </c>
      <c r="BQ177" t="s" s="0">
        <v>4339</v>
      </c>
      <c r="BR177" t="s" s="0">
        <v>81</v>
      </c>
      <c r="BS177" t="s" s="0">
        <v>4340</v>
      </c>
      <c r="BT177" t="s" s="351">
        <f>HYPERLINK("https://www.webofscience.com/wos/woscc/full-record/WOS:000884407400004","View Record in Web of Science")</f>
        <v>114</v>
      </c>
      <c r="BU177" t="s" s="0">
        <v>115</v>
      </c>
      <c r="BV177" t="s" s="0">
        <v>81</v>
      </c>
      <c r="BW177" t="s" s="0">
        <v>81</v>
      </c>
      <c r="BX177" t="s" s="0">
        <v>116</v>
      </c>
    </row>
    <row r="178">
      <c r="A178" t="s" s="0">
        <v>77</v>
      </c>
      <c r="B178" t="s" s="0">
        <v>77</v>
      </c>
      <c r="C178" t="s" s="0">
        <v>156</v>
      </c>
      <c r="D178" t="s" s="0">
        <v>77</v>
      </c>
      <c r="E178" t="s" s="0">
        <v>4341</v>
      </c>
      <c r="F178" t="s" s="0">
        <v>4342</v>
      </c>
      <c r="G178" t="s" s="0">
        <v>4343</v>
      </c>
      <c r="H178" t="s" s="0">
        <v>81</v>
      </c>
      <c r="I178" t="s" s="0">
        <v>82</v>
      </c>
      <c r="J178" t="s" s="0">
        <v>4344</v>
      </c>
      <c r="K178" t="s" s="0">
        <v>4345</v>
      </c>
      <c r="L178" t="s" s="0">
        <v>4346</v>
      </c>
      <c r="M178" t="s" s="0">
        <v>4346</v>
      </c>
      <c r="N178" t="s" s="0">
        <v>4347</v>
      </c>
      <c r="O178" t="s" s="0">
        <v>4348</v>
      </c>
      <c r="P178" t="s" s="0">
        <v>4349</v>
      </c>
      <c r="Q178" t="s" s="0">
        <v>87</v>
      </c>
      <c r="R178" t="s" s="0">
        <v>81</v>
      </c>
      <c r="S178" t="s" s="0">
        <v>81</v>
      </c>
      <c r="T178" t="s" s="0">
        <v>81</v>
      </c>
      <c r="U178" t="s" s="0">
        <v>81</v>
      </c>
      <c r="V178" t="s" s="0">
        <v>4350</v>
      </c>
      <c r="W178" t="s" s="0">
        <v>89</v>
      </c>
      <c r="X178" t="s" s="0">
        <v>81</v>
      </c>
      <c r="Y178" t="s" s="0">
        <v>81</v>
      </c>
      <c r="Z178" t="s" s="0">
        <v>90</v>
      </c>
      <c r="AA178" t="s" s="0">
        <v>91</v>
      </c>
      <c r="AB178" t="s" s="0">
        <v>81</v>
      </c>
      <c r="AC178" t="s" s="0">
        <v>81</v>
      </c>
      <c r="AD178" t="s" s="0">
        <v>81</v>
      </c>
      <c r="AE178" t="s" s="0">
        <v>81</v>
      </c>
      <c r="AF178" t="s" s="0">
        <v>81</v>
      </c>
      <c r="AG178" t="s" s="0">
        <v>4351</v>
      </c>
      <c r="AH178" t="s" s="0">
        <v>4352</v>
      </c>
      <c r="AI178" t="s" s="0">
        <v>4353</v>
      </c>
      <c r="AJ178" t="s" s="0">
        <v>4354</v>
      </c>
      <c r="AK178" t="s" s="0">
        <v>81</v>
      </c>
      <c r="AL178" t="s" s="0">
        <v>1442</v>
      </c>
      <c r="AM178" t="s" s="0">
        <v>211</v>
      </c>
      <c r="AN178" t="s" s="0">
        <v>291</v>
      </c>
      <c r="AO178" t="s" s="0">
        <v>156</v>
      </c>
      <c r="AP178" t="s" s="0">
        <v>261</v>
      </c>
      <c r="AQ178" t="s" s="0">
        <v>98</v>
      </c>
      <c r="AR178" t="s" s="0">
        <v>99</v>
      </c>
      <c r="AS178" t="s" s="0">
        <v>100</v>
      </c>
      <c r="AT178" t="s" s="0">
        <v>101</v>
      </c>
      <c r="AU178" t="s" s="0">
        <v>81</v>
      </c>
      <c r="AV178" t="s" s="0">
        <v>81</v>
      </c>
      <c r="AW178" t="s" s="0">
        <v>89</v>
      </c>
      <c r="AX178" t="s" s="0">
        <v>102</v>
      </c>
      <c r="AY178" t="s" s="0">
        <v>185</v>
      </c>
      <c r="AZ178" t="s" s="0">
        <v>185</v>
      </c>
      <c r="BA178" t="s" s="0">
        <v>134</v>
      </c>
      <c r="BB178" t="s" s="0">
        <v>81</v>
      </c>
      <c r="BC178" t="s" s="0">
        <v>81</v>
      </c>
      <c r="BD178" t="s" s="0">
        <v>81</v>
      </c>
      <c r="BE178" t="s" s="0">
        <v>81</v>
      </c>
      <c r="BF178" t="s" s="0">
        <v>81</v>
      </c>
      <c r="BG178" t="s" s="0">
        <v>4355</v>
      </c>
      <c r="BH178" t="s" s="0">
        <v>4356</v>
      </c>
      <c r="BI178" t="s" s="0">
        <v>81</v>
      </c>
      <c r="BJ178" t="s" s="0">
        <v>4357</v>
      </c>
      <c r="BK178" t="s" s="352">
        <f>HYPERLINK("http://dx.doi.org/10.1109/ACCESS.2024.3448219","http://dx.doi.org/10.1109/ACCESS.2024.3448219")</f>
        <v>4358</v>
      </c>
      <c r="BL178" t="s" s="0">
        <v>81</v>
      </c>
      <c r="BM178" t="s" s="0">
        <v>81</v>
      </c>
      <c r="BN178" t="s" s="0">
        <v>485</v>
      </c>
      <c r="BO178" t="s" s="0">
        <v>110</v>
      </c>
      <c r="BP178" t="s" s="0">
        <v>111</v>
      </c>
      <c r="BQ178" t="s" s="0">
        <v>4359</v>
      </c>
      <c r="BR178" t="s" s="0">
        <v>81</v>
      </c>
      <c r="BS178" t="s" s="0">
        <v>4360</v>
      </c>
      <c r="BT178" t="s" s="353">
        <f>HYPERLINK("https://www.webofscience.com/wos/woscc/full-record/WOS:001303311700001","View Record in Web of Science")</f>
        <v>114</v>
      </c>
      <c r="BU178" t="s" s="0">
        <v>301</v>
      </c>
      <c r="BV178" t="s" s="0">
        <v>81</v>
      </c>
      <c r="BW178" t="s" s="0">
        <v>81</v>
      </c>
      <c r="BX178" t="s" s="0">
        <v>116</v>
      </c>
    </row>
    <row r="179">
      <c r="A179" t="s" s="0">
        <v>77</v>
      </c>
      <c r="B179" t="s" s="0">
        <v>77</v>
      </c>
      <c r="C179" t="s" s="0">
        <v>77</v>
      </c>
      <c r="D179" t="s" s="0">
        <v>77</v>
      </c>
      <c r="E179" t="s" s="0">
        <v>4361</v>
      </c>
      <c r="F179" t="s" s="0">
        <v>4362</v>
      </c>
      <c r="G179" t="s" s="0">
        <v>4363</v>
      </c>
      <c r="H179" t="s" s="0">
        <v>81</v>
      </c>
      <c r="I179" t="s" s="0">
        <v>82</v>
      </c>
      <c r="J179" t="s" s="0">
        <v>4364</v>
      </c>
      <c r="K179" t="s" s="0">
        <v>4365</v>
      </c>
      <c r="L179" t="s" s="0">
        <v>4366</v>
      </c>
      <c r="M179" t="s" s="0">
        <v>4367</v>
      </c>
      <c r="N179" t="s" s="0">
        <v>4368</v>
      </c>
      <c r="O179" t="s" s="0">
        <v>4369</v>
      </c>
      <c r="P179" t="s" s="0">
        <v>4370</v>
      </c>
      <c r="Q179" t="s" s="0">
        <v>87</v>
      </c>
      <c r="R179" t="s" s="0">
        <v>81</v>
      </c>
      <c r="S179" t="s" s="0">
        <v>81</v>
      </c>
      <c r="T179" t="s" s="0">
        <v>81</v>
      </c>
      <c r="U179" t="s" s="0">
        <v>81</v>
      </c>
      <c r="V179" t="s" s="0">
        <v>4371</v>
      </c>
      <c r="W179" t="s" s="0">
        <v>4372</v>
      </c>
      <c r="X179" t="s" s="0">
        <v>81</v>
      </c>
      <c r="Y179" t="s" s="0">
        <v>81</v>
      </c>
      <c r="Z179" t="s" s="0">
        <v>90</v>
      </c>
      <c r="AA179" t="s" s="0">
        <v>91</v>
      </c>
      <c r="AB179" t="s" s="0">
        <v>81</v>
      </c>
      <c r="AC179" t="s" s="0">
        <v>81</v>
      </c>
      <c r="AD179" t="s" s="0">
        <v>81</v>
      </c>
      <c r="AE179" t="s" s="0">
        <v>81</v>
      </c>
      <c r="AF179" t="s" s="0">
        <v>81</v>
      </c>
      <c r="AG179" t="s" s="0">
        <v>4373</v>
      </c>
      <c r="AH179" t="s" s="0">
        <v>4374</v>
      </c>
      <c r="AI179" t="s" s="0">
        <v>81</v>
      </c>
      <c r="AJ179" t="s" s="0">
        <v>81</v>
      </c>
      <c r="AK179" t="s" s="0">
        <v>81</v>
      </c>
      <c r="AL179" t="s" s="0">
        <v>4375</v>
      </c>
      <c r="AM179" t="s" s="0">
        <v>97</v>
      </c>
      <c r="AN179" t="s" s="0">
        <v>97</v>
      </c>
      <c r="AO179" t="s" s="0">
        <v>211</v>
      </c>
      <c r="AP179" t="s" s="0">
        <v>211</v>
      </c>
      <c r="AQ179" t="s" s="0">
        <v>1344</v>
      </c>
      <c r="AR179" t="s" s="0">
        <v>1345</v>
      </c>
      <c r="AS179" t="s" s="0">
        <v>1346</v>
      </c>
      <c r="AT179" t="s" s="0">
        <v>4376</v>
      </c>
      <c r="AU179" t="s" s="0">
        <v>4377</v>
      </c>
      <c r="AV179" t="s" s="0">
        <v>81</v>
      </c>
      <c r="AW179" t="s" s="0">
        <v>4378</v>
      </c>
      <c r="AX179" t="s" s="0">
        <v>4379</v>
      </c>
      <c r="AY179" t="s" s="0">
        <v>143</v>
      </c>
      <c r="AZ179" t="s" s="0">
        <v>103</v>
      </c>
      <c r="BA179" t="s" s="0">
        <v>4375</v>
      </c>
      <c r="BB179" t="s" s="0">
        <v>81</v>
      </c>
      <c r="BC179" t="s" s="0">
        <v>81</v>
      </c>
      <c r="BD179" t="s" s="0">
        <v>81</v>
      </c>
      <c r="BE179" t="s" s="0">
        <v>81</v>
      </c>
      <c r="BF179" t="s" s="0">
        <v>81</v>
      </c>
      <c r="BG179" t="s" s="0">
        <v>81</v>
      </c>
      <c r="BH179" t="s" s="0">
        <v>81</v>
      </c>
      <c r="BI179" t="s" s="0">
        <v>4380</v>
      </c>
      <c r="BJ179" t="s" s="0">
        <v>4381</v>
      </c>
      <c r="BK179" t="s" s="354">
        <f>HYPERLINK("http://dx.doi.org/10.1016/j.compmedimag.2026.102730","http://dx.doi.org/10.1016/j.compmedimag.2026.102730")</f>
        <v>4382</v>
      </c>
      <c r="BL179" t="s" s="0">
        <v>81</v>
      </c>
      <c r="BM179" t="s" s="0">
        <v>81</v>
      </c>
      <c r="BN179" t="s" s="0">
        <v>874</v>
      </c>
      <c r="BO179" t="s" s="0">
        <v>4383</v>
      </c>
      <c r="BP179" t="s" s="0">
        <v>4384</v>
      </c>
      <c r="BQ179" t="s" s="0">
        <v>4385</v>
      </c>
      <c r="BR179" t="s" s="0">
        <v>4386</v>
      </c>
      <c r="BS179" t="s" s="0">
        <v>4387</v>
      </c>
      <c r="BT179" t="s" s="355">
        <f>HYPERLINK("https://www.webofscience.com/wos/woscc/full-record/WOS:001702833500001","View Record in Web of Science")</f>
        <v>114</v>
      </c>
      <c r="BU179" t="s" s="0">
        <v>81</v>
      </c>
      <c r="BV179" t="s" s="0">
        <v>81</v>
      </c>
      <c r="BW179" t="s" s="0">
        <v>81</v>
      </c>
      <c r="BX179" t="s" s="0">
        <v>116</v>
      </c>
    </row>
    <row r="180">
      <c r="A180" t="s" s="0">
        <v>77</v>
      </c>
      <c r="B180" t="s" s="0">
        <v>77</v>
      </c>
      <c r="C180" t="s" s="0">
        <v>97</v>
      </c>
      <c r="D180" t="s" s="0">
        <v>77</v>
      </c>
      <c r="E180" t="s" s="0">
        <v>4388</v>
      </c>
      <c r="F180" t="s" s="0">
        <v>4389</v>
      </c>
      <c r="G180" t="s" s="0">
        <v>4390</v>
      </c>
      <c r="H180" t="s" s="0">
        <v>81</v>
      </c>
      <c r="I180" t="s" s="0">
        <v>238</v>
      </c>
      <c r="J180" t="s" s="0">
        <v>4391</v>
      </c>
      <c r="K180" t="s" s="0">
        <v>4392</v>
      </c>
      <c r="L180" t="s" s="0">
        <v>4393</v>
      </c>
      <c r="M180" t="s" s="0">
        <v>4394</v>
      </c>
      <c r="N180" t="s" s="0">
        <v>4395</v>
      </c>
      <c r="O180" t="s" s="0">
        <v>4396</v>
      </c>
      <c r="P180" t="s" s="0">
        <v>4397</v>
      </c>
      <c r="Q180" t="s" s="0">
        <v>87</v>
      </c>
      <c r="R180" t="s" s="0">
        <v>81</v>
      </c>
      <c r="S180" t="s" s="0">
        <v>81</v>
      </c>
      <c r="T180" t="s" s="0">
        <v>81</v>
      </c>
      <c r="U180" t="s" s="0">
        <v>81</v>
      </c>
      <c r="V180" t="s" s="0">
        <v>4398</v>
      </c>
      <c r="W180" t="s" s="0">
        <v>4399</v>
      </c>
      <c r="X180" t="s" s="0">
        <v>81</v>
      </c>
      <c r="Y180" t="s" s="0">
        <v>81</v>
      </c>
      <c r="Z180" t="s" s="0">
        <v>90</v>
      </c>
      <c r="AA180" t="s" s="0">
        <v>91</v>
      </c>
      <c r="AB180" t="s" s="0">
        <v>81</v>
      </c>
      <c r="AC180" t="s" s="0">
        <v>81</v>
      </c>
      <c r="AD180" t="s" s="0">
        <v>81</v>
      </c>
      <c r="AE180" t="s" s="0">
        <v>81</v>
      </c>
      <c r="AF180" t="s" s="0">
        <v>81</v>
      </c>
      <c r="AG180" t="s" s="0">
        <v>4400</v>
      </c>
      <c r="AH180" t="s" s="0">
        <v>4401</v>
      </c>
      <c r="AI180" t="s" s="0">
        <v>4402</v>
      </c>
      <c r="AJ180" t="s" s="0">
        <v>81</v>
      </c>
      <c r="AK180" t="s" s="0">
        <v>81</v>
      </c>
      <c r="AL180" t="s" s="0">
        <v>343</v>
      </c>
      <c r="AM180" t="s" s="0">
        <v>196</v>
      </c>
      <c r="AN180" t="s" s="0">
        <v>133</v>
      </c>
      <c r="AO180" t="s" s="0">
        <v>97</v>
      </c>
      <c r="AP180" t="s" s="0">
        <v>381</v>
      </c>
      <c r="AQ180" t="s" s="0">
        <v>136</v>
      </c>
      <c r="AR180" t="s" s="0">
        <v>137</v>
      </c>
      <c r="AS180" t="s" s="0">
        <v>138</v>
      </c>
      <c r="AT180" t="s" s="0">
        <v>4403</v>
      </c>
      <c r="AU180" t="s" s="0">
        <v>4404</v>
      </c>
      <c r="AV180" t="s" s="0">
        <v>81</v>
      </c>
      <c r="AW180" t="s" s="0">
        <v>4399</v>
      </c>
      <c r="AX180" t="s" s="0">
        <v>4405</v>
      </c>
      <c r="AY180" t="s" s="0">
        <v>184</v>
      </c>
      <c r="AZ180" t="s" s="0">
        <v>185</v>
      </c>
      <c r="BA180" t="s" s="0">
        <v>1912</v>
      </c>
      <c r="BB180" t="s" s="0">
        <v>81</v>
      </c>
      <c r="BC180" t="s" s="0">
        <v>81</v>
      </c>
      <c r="BD180" t="s" s="0">
        <v>81</v>
      </c>
      <c r="BE180" t="s" s="0">
        <v>81</v>
      </c>
      <c r="BF180" t="s" s="0">
        <v>81</v>
      </c>
      <c r="BG180" t="s" s="0">
        <v>81</v>
      </c>
      <c r="BH180" t="s" s="0">
        <v>81</v>
      </c>
      <c r="BI180" t="s" s="0">
        <v>4406</v>
      </c>
      <c r="BJ180" t="s" s="0">
        <v>4407</v>
      </c>
      <c r="BK180" t="s" s="356">
        <f>HYPERLINK("http://dx.doi.org/10.1016/j.smhl.2024.100478","http://dx.doi.org/10.1016/j.smhl.2024.100478")</f>
        <v>4408</v>
      </c>
      <c r="BL180" t="s" s="0">
        <v>81</v>
      </c>
      <c r="BM180" t="s" s="0">
        <v>4409</v>
      </c>
      <c r="BN180" t="s" s="0">
        <v>486</v>
      </c>
      <c r="BO180" t="s" s="0">
        <v>1963</v>
      </c>
      <c r="BP180" t="s" s="0">
        <v>1963</v>
      </c>
      <c r="BQ180" t="s" s="0">
        <v>4410</v>
      </c>
      <c r="BR180" t="s" s="0">
        <v>4411</v>
      </c>
      <c r="BS180" t="s" s="0">
        <v>4412</v>
      </c>
      <c r="BT180" t="s" s="357">
        <f>HYPERLINK("https://www.webofscience.com/wos/woscc/full-record/WOS:001612143600023","View Record in Web of Science")</f>
        <v>114</v>
      </c>
      <c r="BU180" t="s" s="0">
        <v>233</v>
      </c>
      <c r="BV180" t="s" s="0">
        <v>81</v>
      </c>
      <c r="BW180" t="s" s="0">
        <v>81</v>
      </c>
      <c r="BX180" t="s" s="0">
        <v>116</v>
      </c>
    </row>
    <row r="181">
      <c r="A181" t="s" s="0">
        <v>77</v>
      </c>
      <c r="B181" t="s" s="0">
        <v>77</v>
      </c>
      <c r="C181" t="s" s="0">
        <v>77</v>
      </c>
      <c r="D181" t="s" s="0">
        <v>77</v>
      </c>
      <c r="E181" t="s" s="0">
        <v>4413</v>
      </c>
      <c r="F181" t="s" s="0">
        <v>4414</v>
      </c>
      <c r="G181" t="s" s="0">
        <v>4415</v>
      </c>
      <c r="H181" t="s" s="0">
        <v>81</v>
      </c>
      <c r="I181" t="s" s="0">
        <v>82</v>
      </c>
      <c r="J181" t="s" s="0">
        <v>4416</v>
      </c>
      <c r="K181" t="s" s="0">
        <v>4417</v>
      </c>
      <c r="L181" t="s" s="0">
        <v>4418</v>
      </c>
      <c r="M181" t="s" s="0">
        <v>4419</v>
      </c>
      <c r="N181" t="s" s="0">
        <v>4420</v>
      </c>
      <c r="O181" t="s" s="0">
        <v>4421</v>
      </c>
      <c r="P181" t="s" s="0">
        <v>4422</v>
      </c>
      <c r="Q181" t="s" s="0">
        <v>87</v>
      </c>
      <c r="R181" t="s" s="0">
        <v>81</v>
      </c>
      <c r="S181" t="s" s="0">
        <v>81</v>
      </c>
      <c r="T181" t="s" s="0">
        <v>81</v>
      </c>
      <c r="U181" t="s" s="0">
        <v>81</v>
      </c>
      <c r="V181" t="s" s="0">
        <v>4423</v>
      </c>
      <c r="W181" t="s" s="0">
        <v>4424</v>
      </c>
      <c r="X181" t="s" s="0">
        <v>81</v>
      </c>
      <c r="Y181" t="s" s="0">
        <v>81</v>
      </c>
      <c r="Z181" t="s" s="0">
        <v>90</v>
      </c>
      <c r="AA181" t="s" s="0">
        <v>91</v>
      </c>
      <c r="AB181" t="s" s="0">
        <v>81</v>
      </c>
      <c r="AC181" t="s" s="0">
        <v>81</v>
      </c>
      <c r="AD181" t="s" s="0">
        <v>81</v>
      </c>
      <c r="AE181" t="s" s="0">
        <v>81</v>
      </c>
      <c r="AF181" t="s" s="0">
        <v>81</v>
      </c>
      <c r="AG181" t="s" s="0">
        <v>81</v>
      </c>
      <c r="AH181" t="s" s="0">
        <v>4425</v>
      </c>
      <c r="AI181" t="s" s="0">
        <v>81</v>
      </c>
      <c r="AJ181" t="s" s="0">
        <v>81</v>
      </c>
      <c r="AK181" t="s" s="0">
        <v>81</v>
      </c>
      <c r="AL181" t="s" s="0">
        <v>1607</v>
      </c>
      <c r="AM181" t="s" s="0">
        <v>77</v>
      </c>
      <c r="AN181" t="s" s="0">
        <v>77</v>
      </c>
      <c r="AO181" t="s" s="0">
        <v>77</v>
      </c>
      <c r="AP181" t="s" s="0">
        <v>77</v>
      </c>
      <c r="AQ181" t="s" s="0">
        <v>915</v>
      </c>
      <c r="AR181" t="s" s="0">
        <v>916</v>
      </c>
      <c r="AS181" t="s" s="0">
        <v>917</v>
      </c>
      <c r="AT181" t="s" s="0">
        <v>4426</v>
      </c>
      <c r="AU181" t="s" s="0">
        <v>81</v>
      </c>
      <c r="AV181" t="s" s="0">
        <v>81</v>
      </c>
      <c r="AW181" t="s" s="0">
        <v>4427</v>
      </c>
      <c r="AX181" t="s" s="0">
        <v>4428</v>
      </c>
      <c r="AY181" t="s" s="0">
        <v>4429</v>
      </c>
      <c r="AZ181" t="s" s="0">
        <v>103</v>
      </c>
      <c r="BA181" t="s" s="0">
        <v>261</v>
      </c>
      <c r="BB181" t="s" s="0">
        <v>97</v>
      </c>
      <c r="BC181" t="s" s="0">
        <v>81</v>
      </c>
      <c r="BD181" t="s" s="0">
        <v>81</v>
      </c>
      <c r="BE181" t="s" s="0">
        <v>81</v>
      </c>
      <c r="BF181" t="s" s="0">
        <v>81</v>
      </c>
      <c r="BG181" t="s" s="0">
        <v>81</v>
      </c>
      <c r="BH181" t="s" s="0">
        <v>81</v>
      </c>
      <c r="BI181" t="s" s="0">
        <v>4430</v>
      </c>
      <c r="BJ181" t="s" s="0">
        <v>4431</v>
      </c>
      <c r="BK181" t="s" s="358">
        <f>HYPERLINK("http://dx.doi.org/10.1038/s41746-026-02782-4","http://dx.doi.org/10.1038/s41746-026-02782-4")</f>
        <v>4432</v>
      </c>
      <c r="BL181" t="s" s="0">
        <v>81</v>
      </c>
      <c r="BM181" t="s" s="0">
        <v>81</v>
      </c>
      <c r="BN181" t="s" s="0">
        <v>191</v>
      </c>
      <c r="BO181" t="s" s="0">
        <v>792</v>
      </c>
      <c r="BP181" t="s" s="0">
        <v>792</v>
      </c>
      <c r="BQ181" t="s" s="0">
        <v>4433</v>
      </c>
      <c r="BR181" t="s" s="0">
        <v>4434</v>
      </c>
      <c r="BS181" t="s" s="0">
        <v>4435</v>
      </c>
      <c r="BT181" t="s" s="359">
        <f>HYPERLINK("https://www.webofscience.com/wos/woscc/full-record/WOS:001854058100001","View Record in Web of Science")</f>
        <v>114</v>
      </c>
      <c r="BU181" t="s" s="0">
        <v>301</v>
      </c>
      <c r="BV181" t="s" s="0">
        <v>81</v>
      </c>
      <c r="BW181" t="s" s="0">
        <v>81</v>
      </c>
      <c r="BX181" t="s" s="0">
        <v>116</v>
      </c>
    </row>
    <row r="182">
      <c r="A182" t="s" s="0">
        <v>77</v>
      </c>
      <c r="B182" t="s" s="0">
        <v>77</v>
      </c>
      <c r="C182" t="s" s="0">
        <v>77</v>
      </c>
      <c r="D182" t="s" s="0">
        <v>77</v>
      </c>
      <c r="E182" t="s" s="0">
        <v>4436</v>
      </c>
      <c r="F182" t="s" s="0">
        <v>4437</v>
      </c>
      <c r="G182" t="s" s="0">
        <v>4438</v>
      </c>
      <c r="H182" t="s" s="0">
        <v>81</v>
      </c>
      <c r="I182" t="s" s="0">
        <v>82</v>
      </c>
      <c r="J182" t="s" s="0">
        <v>4439</v>
      </c>
      <c r="K182" t="s" s="0">
        <v>4440</v>
      </c>
      <c r="L182" t="s" s="0">
        <v>4441</v>
      </c>
      <c r="M182" t="s" s="0">
        <v>4441</v>
      </c>
      <c r="N182" t="s" s="0">
        <v>4442</v>
      </c>
      <c r="O182" t="s" s="0">
        <v>4443</v>
      </c>
      <c r="P182" t="s" s="0">
        <v>4444</v>
      </c>
      <c r="Q182" t="s" s="0">
        <v>87</v>
      </c>
      <c r="R182" t="s" s="0">
        <v>81</v>
      </c>
      <c r="S182" t="s" s="0">
        <v>81</v>
      </c>
      <c r="T182" t="s" s="0">
        <v>81</v>
      </c>
      <c r="U182" t="s" s="0">
        <v>81</v>
      </c>
      <c r="V182" t="s" s="0">
        <v>4445</v>
      </c>
      <c r="W182" t="s" s="0">
        <v>4446</v>
      </c>
      <c r="X182" t="s" s="0">
        <v>81</v>
      </c>
      <c r="Y182" t="s" s="0">
        <v>81</v>
      </c>
      <c r="Z182" t="s" s="0">
        <v>90</v>
      </c>
      <c r="AA182" t="s" s="0">
        <v>91</v>
      </c>
      <c r="AB182" t="s" s="0">
        <v>81</v>
      </c>
      <c r="AC182" t="s" s="0">
        <v>81</v>
      </c>
      <c r="AD182" t="s" s="0">
        <v>81</v>
      </c>
      <c r="AE182" t="s" s="0">
        <v>81</v>
      </c>
      <c r="AF182" t="s" s="0">
        <v>81</v>
      </c>
      <c r="AG182" t="s" s="0">
        <v>4447</v>
      </c>
      <c r="AH182" t="s" s="0">
        <v>4448</v>
      </c>
      <c r="AI182" t="s" s="0">
        <v>4449</v>
      </c>
      <c r="AJ182" t="s" s="0">
        <v>4450</v>
      </c>
      <c r="AK182" t="s" s="0">
        <v>81</v>
      </c>
      <c r="AL182" t="s" s="0">
        <v>1635</v>
      </c>
      <c r="AM182" t="s" s="0">
        <v>97</v>
      </c>
      <c r="AN182" t="s" s="0">
        <v>97</v>
      </c>
      <c r="AO182" t="s" s="0">
        <v>77</v>
      </c>
      <c r="AP182" t="s" s="0">
        <v>156</v>
      </c>
      <c r="AQ182" t="s" s="0">
        <v>284</v>
      </c>
      <c r="AR182" t="s" s="0">
        <v>285</v>
      </c>
      <c r="AS182" t="s" s="0">
        <v>286</v>
      </c>
      <c r="AT182" t="s" s="0">
        <v>81</v>
      </c>
      <c r="AU182" t="s" s="0">
        <v>4451</v>
      </c>
      <c r="AV182" t="s" s="0">
        <v>81</v>
      </c>
      <c r="AW182" t="s" s="0">
        <v>4452</v>
      </c>
      <c r="AX182" t="s" s="0">
        <v>4453</v>
      </c>
      <c r="AY182" t="s" s="0">
        <v>4454</v>
      </c>
      <c r="AZ182" t="s" s="0">
        <v>290</v>
      </c>
      <c r="BA182" t="s" s="0">
        <v>104</v>
      </c>
      <c r="BB182" t="s" s="0">
        <v>104</v>
      </c>
      <c r="BC182" t="s" s="0">
        <v>81</v>
      </c>
      <c r="BD182" t="s" s="0">
        <v>81</v>
      </c>
      <c r="BE182" t="s" s="0">
        <v>81</v>
      </c>
      <c r="BF182" t="s" s="0">
        <v>81</v>
      </c>
      <c r="BG182" t="s" s="0">
        <v>81</v>
      </c>
      <c r="BH182" t="s" s="0">
        <v>81</v>
      </c>
      <c r="BI182" t="s" s="0">
        <v>4455</v>
      </c>
      <c r="BJ182" t="s" s="0">
        <v>4456</v>
      </c>
      <c r="BK182" t="s" s="360">
        <f>HYPERLINK("http://dx.doi.org/10.3390/jcm14144934","http://dx.doi.org/10.3390/jcm14144934")</f>
        <v>4457</v>
      </c>
      <c r="BL182" t="s" s="0">
        <v>81</v>
      </c>
      <c r="BM182" t="s" s="0">
        <v>81</v>
      </c>
      <c r="BN182" t="s" s="0">
        <v>104</v>
      </c>
      <c r="BO182" t="s" s="0">
        <v>296</v>
      </c>
      <c r="BP182" t="s" s="0">
        <v>297</v>
      </c>
      <c r="BQ182" t="s" s="0">
        <v>4458</v>
      </c>
      <c r="BR182" t="s" s="0">
        <v>4459</v>
      </c>
      <c r="BS182" t="s" s="0">
        <v>4460</v>
      </c>
      <c r="BT182" t="s" s="361">
        <f>HYPERLINK("https://www.webofscience.com/wos/woscc/full-record/WOS:001535757400001","View Record in Web of Science")</f>
        <v>114</v>
      </c>
      <c r="BU182" t="s" s="0">
        <v>4461</v>
      </c>
      <c r="BV182" t="s" s="0">
        <v>81</v>
      </c>
      <c r="BW182" t="s" s="0">
        <v>81</v>
      </c>
      <c r="BX182" t="s" s="0">
        <v>116</v>
      </c>
    </row>
    <row r="183">
      <c r="A183" t="s" s="0">
        <v>77</v>
      </c>
      <c r="B183" t="s" s="0">
        <v>77</v>
      </c>
      <c r="C183" t="s" s="0">
        <v>77</v>
      </c>
      <c r="D183" t="s" s="0">
        <v>77</v>
      </c>
      <c r="E183" t="s" s="0">
        <v>4462</v>
      </c>
      <c r="F183" t="s" s="0">
        <v>4463</v>
      </c>
      <c r="G183" t="s" s="0">
        <v>4464</v>
      </c>
      <c r="H183" t="s" s="0">
        <v>81</v>
      </c>
      <c r="I183" t="s" s="0">
        <v>528</v>
      </c>
      <c r="J183" t="s" s="0">
        <v>4465</v>
      </c>
      <c r="K183" t="s" s="0">
        <v>4466</v>
      </c>
      <c r="L183" t="s" s="0">
        <v>4467</v>
      </c>
      <c r="M183" t="s" s="0">
        <v>1850</v>
      </c>
      <c r="N183" t="s" s="0">
        <v>4468</v>
      </c>
      <c r="O183" t="s" s="0">
        <v>4469</v>
      </c>
      <c r="P183" t="s" s="0">
        <v>4470</v>
      </c>
      <c r="Q183" t="s" s="0">
        <v>87</v>
      </c>
      <c r="R183" t="s" s="0">
        <v>81</v>
      </c>
      <c r="S183" t="s" s="0">
        <v>81</v>
      </c>
      <c r="T183" t="s" s="0">
        <v>81</v>
      </c>
      <c r="U183" t="s" s="0">
        <v>81</v>
      </c>
      <c r="V183" t="s" s="0">
        <v>4471</v>
      </c>
      <c r="W183" t="s" s="0">
        <v>4472</v>
      </c>
      <c r="X183" t="s" s="0">
        <v>81</v>
      </c>
      <c r="Y183" t="s" s="0">
        <v>81</v>
      </c>
      <c r="Z183" t="s" s="0">
        <v>90</v>
      </c>
      <c r="AA183" t="s" s="0">
        <v>91</v>
      </c>
      <c r="AB183" t="s" s="0">
        <v>81</v>
      </c>
      <c r="AC183" t="s" s="0">
        <v>81</v>
      </c>
      <c r="AD183" t="s" s="0">
        <v>81</v>
      </c>
      <c r="AE183" t="s" s="0">
        <v>81</v>
      </c>
      <c r="AF183" t="s" s="0">
        <v>81</v>
      </c>
      <c r="AG183" t="s" s="0">
        <v>4473</v>
      </c>
      <c r="AH183" t="s" s="0">
        <v>81</v>
      </c>
      <c r="AI183" t="s" s="0">
        <v>4474</v>
      </c>
      <c r="AJ183" t="s" s="0">
        <v>4475</v>
      </c>
      <c r="AK183" t="s" s="0">
        <v>81</v>
      </c>
      <c r="AL183" t="s" s="0">
        <v>542</v>
      </c>
      <c r="AM183" t="s" s="0">
        <v>234</v>
      </c>
      <c r="AN183" t="s" s="0">
        <v>234</v>
      </c>
      <c r="AO183" t="s" s="0">
        <v>77</v>
      </c>
      <c r="AP183" t="s" s="0">
        <v>211</v>
      </c>
      <c r="AQ183" t="s" s="0">
        <v>284</v>
      </c>
      <c r="AR183" t="s" s="0">
        <v>285</v>
      </c>
      <c r="AS183" t="s" s="0">
        <v>286</v>
      </c>
      <c r="AT183" t="s" s="0">
        <v>81</v>
      </c>
      <c r="AU183" t="s" s="0">
        <v>4476</v>
      </c>
      <c r="AV183" t="s" s="0">
        <v>81</v>
      </c>
      <c r="AW183" t="s" s="0">
        <v>4477</v>
      </c>
      <c r="AX183" t="s" s="0">
        <v>4478</v>
      </c>
      <c r="AY183" t="s" s="0">
        <v>557</v>
      </c>
      <c r="AZ183" t="s" s="0">
        <v>260</v>
      </c>
      <c r="BA183" t="s" s="0">
        <v>191</v>
      </c>
      <c r="BB183" t="s" s="0">
        <v>196</v>
      </c>
      <c r="BC183" t="s" s="0">
        <v>81</v>
      </c>
      <c r="BD183" t="s" s="0">
        <v>81</v>
      </c>
      <c r="BE183" t="s" s="0">
        <v>81</v>
      </c>
      <c r="BF183" t="s" s="0">
        <v>81</v>
      </c>
      <c r="BG183" t="s" s="0">
        <v>81</v>
      </c>
      <c r="BH183" t="s" s="0">
        <v>81</v>
      </c>
      <c r="BI183" t="s" s="0">
        <v>484</v>
      </c>
      <c r="BJ183" t="s" s="0">
        <v>4479</v>
      </c>
      <c r="BK183" t="s" s="362">
        <f>HYPERLINK("http://dx.doi.org/10.3390/healthcare11030410","http://dx.doi.org/10.3390/healthcare11030410")</f>
        <v>4480</v>
      </c>
      <c r="BL183" t="s" s="0">
        <v>81</v>
      </c>
      <c r="BM183" t="s" s="0">
        <v>81</v>
      </c>
      <c r="BN183" t="s" s="0">
        <v>176</v>
      </c>
      <c r="BO183" t="s" s="0">
        <v>4481</v>
      </c>
      <c r="BP183" t="s" s="0">
        <v>4482</v>
      </c>
      <c r="BQ183" t="s" s="0">
        <v>4483</v>
      </c>
      <c r="BR183" t="s" s="0">
        <v>4484</v>
      </c>
      <c r="BS183" t="s" s="0">
        <v>4485</v>
      </c>
      <c r="BT183" t="s" s="363">
        <f>HYPERLINK("https://www.webofscience.com/wos/woscc/full-record/WOS:000930253100001","View Record in Web of Science")</f>
        <v>114</v>
      </c>
      <c r="BU183" t="s" s="0">
        <v>301</v>
      </c>
      <c r="BV183" t="s" s="0">
        <v>81</v>
      </c>
      <c r="BW183" t="s" s="0">
        <v>81</v>
      </c>
      <c r="BX183" t="s" s="0">
        <v>116</v>
      </c>
    </row>
    <row r="184">
      <c r="A184" t="s" s="0">
        <v>77</v>
      </c>
      <c r="B184" t="s" s="0">
        <v>77</v>
      </c>
      <c r="C184" t="s" s="0">
        <v>77</v>
      </c>
      <c r="D184" t="s" s="0">
        <v>77</v>
      </c>
      <c r="E184" t="s" s="0">
        <v>4486</v>
      </c>
      <c r="F184" t="s" s="0">
        <v>4487</v>
      </c>
      <c r="G184" t="s" s="0">
        <v>4488</v>
      </c>
      <c r="H184" t="s" s="0">
        <v>81</v>
      </c>
      <c r="I184" t="s" s="0">
        <v>589</v>
      </c>
      <c r="J184" t="s" s="0">
        <v>4489</v>
      </c>
      <c r="K184" t="s" s="0">
        <v>4490</v>
      </c>
      <c r="L184" t="s" s="0">
        <v>81</v>
      </c>
      <c r="M184" t="s" s="0">
        <v>81</v>
      </c>
      <c r="N184" t="s" s="0">
        <v>81</v>
      </c>
      <c r="O184" t="s" s="0">
        <v>4491</v>
      </c>
      <c r="P184" t="s" s="0">
        <v>4492</v>
      </c>
      <c r="Q184" t="s" s="0">
        <v>87</v>
      </c>
      <c r="R184" t="s" s="0">
        <v>81</v>
      </c>
      <c r="S184" t="s" s="0">
        <v>81</v>
      </c>
      <c r="T184" t="s" s="0">
        <v>81</v>
      </c>
      <c r="U184" t="s" s="0">
        <v>81</v>
      </c>
      <c r="V184" t="s" s="0">
        <v>4493</v>
      </c>
      <c r="W184" t="s" s="0">
        <v>4494</v>
      </c>
      <c r="X184" t="s" s="0">
        <v>81</v>
      </c>
      <c r="Y184" t="s" s="0">
        <v>81</v>
      </c>
      <c r="Z184" t="s" s="0">
        <v>90</v>
      </c>
      <c r="AA184" t="s" s="0">
        <v>91</v>
      </c>
      <c r="AB184" t="s" s="0">
        <v>81</v>
      </c>
      <c r="AC184" t="s" s="0">
        <v>81</v>
      </c>
      <c r="AD184" t="s" s="0">
        <v>81</v>
      </c>
      <c r="AE184" t="s" s="0">
        <v>81</v>
      </c>
      <c r="AF184" t="s" s="0">
        <v>81</v>
      </c>
      <c r="AG184" t="s" s="0">
        <v>4495</v>
      </c>
      <c r="AH184" t="s" s="0">
        <v>81</v>
      </c>
      <c r="AI184" t="s" s="0">
        <v>4496</v>
      </c>
      <c r="AJ184" t="s" s="0">
        <v>4497</v>
      </c>
      <c r="AK184" t="s" s="0">
        <v>81</v>
      </c>
      <c r="AL184" t="s" s="0">
        <v>697</v>
      </c>
      <c r="AM184" t="s" s="0">
        <v>77</v>
      </c>
      <c r="AN184" t="s" s="0">
        <v>77</v>
      </c>
      <c r="AO184" t="s" s="0">
        <v>133</v>
      </c>
      <c r="AP184" t="s" s="0">
        <v>133</v>
      </c>
      <c r="AQ184" t="s" s="0">
        <v>1809</v>
      </c>
      <c r="AR184" t="s" s="0">
        <v>1810</v>
      </c>
      <c r="AS184" t="s" s="0">
        <v>1811</v>
      </c>
      <c r="AT184" t="s" s="0">
        <v>4498</v>
      </c>
      <c r="AU184" t="s" s="0">
        <v>81</v>
      </c>
      <c r="AV184" t="s" s="0">
        <v>81</v>
      </c>
      <c r="AW184" t="s" s="0">
        <v>4499</v>
      </c>
      <c r="AX184" t="s" s="0">
        <v>4500</v>
      </c>
      <c r="AY184" t="s" s="0">
        <v>103</v>
      </c>
      <c r="AZ184" t="s" s="0">
        <v>103</v>
      </c>
      <c r="BA184" t="s" s="0">
        <v>109</v>
      </c>
      <c r="BB184" t="s" s="0">
        <v>81</v>
      </c>
      <c r="BC184" t="s" s="0">
        <v>81</v>
      </c>
      <c r="BD184" t="s" s="0">
        <v>81</v>
      </c>
      <c r="BE184" t="s" s="0">
        <v>81</v>
      </c>
      <c r="BF184" t="s" s="0">
        <v>81</v>
      </c>
      <c r="BG184" t="s" s="0">
        <v>81</v>
      </c>
      <c r="BH184" t="s" s="0">
        <v>81</v>
      </c>
      <c r="BI184" t="s" s="0">
        <v>4501</v>
      </c>
      <c r="BJ184" t="s" s="0">
        <v>4502</v>
      </c>
      <c r="BK184" t="s" s="364">
        <f>HYPERLINK("http://dx.doi.org/10.1177/16094069251404344","http://dx.doi.org/10.1177/16094069251404344")</f>
        <v>4503</v>
      </c>
      <c r="BL184" t="s" s="0">
        <v>81</v>
      </c>
      <c r="BM184" t="s" s="0">
        <v>81</v>
      </c>
      <c r="BN184" t="s" s="0">
        <v>211</v>
      </c>
      <c r="BO184" t="s" s="0">
        <v>3207</v>
      </c>
      <c r="BP184" t="s" s="0">
        <v>3208</v>
      </c>
      <c r="BQ184" t="s" s="0">
        <v>4504</v>
      </c>
      <c r="BR184" t="s" s="0">
        <v>81</v>
      </c>
      <c r="BS184" t="s" s="0">
        <v>4505</v>
      </c>
      <c r="BT184" t="s" s="365">
        <f>HYPERLINK("https://www.webofscience.com/wos/woscc/full-record/WOS:001657825900001","View Record in Web of Science")</f>
        <v>114</v>
      </c>
      <c r="BU184" t="s" s="0">
        <v>301</v>
      </c>
      <c r="BV184" t="s" s="0">
        <v>81</v>
      </c>
      <c r="BW184" t="s" s="0">
        <v>81</v>
      </c>
      <c r="BX184" t="s" s="0">
        <v>116</v>
      </c>
    </row>
    <row r="185">
      <c r="A185" t="s" s="0">
        <v>156</v>
      </c>
      <c r="B185" t="s" s="0">
        <v>77</v>
      </c>
      <c r="C185" t="s" s="0">
        <v>133</v>
      </c>
      <c r="D185" t="s" s="0">
        <v>77</v>
      </c>
      <c r="E185" t="s" s="0">
        <v>4506</v>
      </c>
      <c r="F185" t="s" s="0">
        <v>4507</v>
      </c>
      <c r="G185" t="s" s="0">
        <v>4508</v>
      </c>
      <c r="H185" t="s" s="0">
        <v>81</v>
      </c>
      <c r="I185" t="s" s="0">
        <v>82</v>
      </c>
      <c r="J185" t="s" s="0">
        <v>4509</v>
      </c>
      <c r="K185" t="s" s="0">
        <v>4510</v>
      </c>
      <c r="L185" t="s" s="0">
        <v>81</v>
      </c>
      <c r="M185" t="s" s="0">
        <v>81</v>
      </c>
      <c r="N185" t="s" s="0">
        <v>81</v>
      </c>
      <c r="O185" t="s" s="0">
        <v>4511</v>
      </c>
      <c r="P185" t="s" s="0">
        <v>4512</v>
      </c>
      <c r="Q185" t="s" s="0">
        <v>87</v>
      </c>
      <c r="R185" t="s" s="0">
        <v>81</v>
      </c>
      <c r="S185" t="s" s="0">
        <v>81</v>
      </c>
      <c r="T185" t="s" s="0">
        <v>81</v>
      </c>
      <c r="U185" t="s" s="0">
        <v>81</v>
      </c>
      <c r="V185" t="s" s="0">
        <v>4513</v>
      </c>
      <c r="W185" t="s" s="0">
        <v>4514</v>
      </c>
      <c r="X185" t="s" s="0">
        <v>81</v>
      </c>
      <c r="Y185" t="s" s="0">
        <v>81</v>
      </c>
      <c r="Z185" t="s" s="0">
        <v>90</v>
      </c>
      <c r="AA185" t="s" s="0">
        <v>91</v>
      </c>
      <c r="AB185" t="s" s="0">
        <v>81</v>
      </c>
      <c r="AC185" t="s" s="0">
        <v>81</v>
      </c>
      <c r="AD185" t="s" s="0">
        <v>81</v>
      </c>
      <c r="AE185" t="s" s="0">
        <v>81</v>
      </c>
      <c r="AF185" t="s" s="0">
        <v>81</v>
      </c>
      <c r="AG185" t="s" s="0">
        <v>81</v>
      </c>
      <c r="AH185" t="s" s="0">
        <v>4515</v>
      </c>
      <c r="AI185" t="s" s="0">
        <v>4516</v>
      </c>
      <c r="AJ185" t="s" s="0">
        <v>4517</v>
      </c>
      <c r="AK185" t="s" s="0">
        <v>81</v>
      </c>
      <c r="AL185" t="s" s="0">
        <v>1607</v>
      </c>
      <c r="AM185" t="s" s="0">
        <v>1047</v>
      </c>
      <c r="AN185" t="s" s="0">
        <v>4518</v>
      </c>
      <c r="AO185" t="s" s="0">
        <v>196</v>
      </c>
      <c r="AP185" t="s" s="0">
        <v>1254</v>
      </c>
      <c r="AQ185" t="s" s="0">
        <v>3734</v>
      </c>
      <c r="AR185" t="s" s="0">
        <v>604</v>
      </c>
      <c r="AS185" t="s" s="0">
        <v>3735</v>
      </c>
      <c r="AT185" t="s" s="0">
        <v>4519</v>
      </c>
      <c r="AU185" t="s" s="0">
        <v>4520</v>
      </c>
      <c r="AV185" t="s" s="0">
        <v>81</v>
      </c>
      <c r="AW185" t="s" s="0">
        <v>4521</v>
      </c>
      <c r="AX185" t="s" s="0">
        <v>4522</v>
      </c>
      <c r="AY185" t="s" s="0">
        <v>4523</v>
      </c>
      <c r="AZ185" t="s" s="0">
        <v>220</v>
      </c>
      <c r="BA185" t="s" s="0">
        <v>4524</v>
      </c>
      <c r="BB185" t="s" s="0">
        <v>156</v>
      </c>
      <c r="BC185" t="s" s="0">
        <v>81</v>
      </c>
      <c r="BD185" t="s" s="0">
        <v>81</v>
      </c>
      <c r="BE185" t="s" s="0">
        <v>81</v>
      </c>
      <c r="BF185" t="s" s="0">
        <v>81</v>
      </c>
      <c r="BG185" t="s" s="0">
        <v>4525</v>
      </c>
      <c r="BH185" t="s" s="0">
        <v>4526</v>
      </c>
      <c r="BI185" t="s" s="0">
        <v>81</v>
      </c>
      <c r="BJ185" t="s" s="0">
        <v>4527</v>
      </c>
      <c r="BK185" t="s" s="366">
        <f>HYPERLINK("http://dx.doi.org/10.1097/XCS.0000000000000242","http://dx.doi.org/10.1097/XCS.0000000000000242")</f>
        <v>4528</v>
      </c>
      <c r="BL185" t="s" s="0">
        <v>81</v>
      </c>
      <c r="BM185" t="s" s="0">
        <v>81</v>
      </c>
      <c r="BN185" t="s" s="0">
        <v>381</v>
      </c>
      <c r="BO185" t="s" s="0">
        <v>4529</v>
      </c>
      <c r="BP185" t="s" s="0">
        <v>4529</v>
      </c>
      <c r="BQ185" t="s" s="0">
        <v>4530</v>
      </c>
      <c r="BR185" t="s" s="0">
        <v>4531</v>
      </c>
      <c r="BS185" t="s" s="0">
        <v>4532</v>
      </c>
      <c r="BT185" t="s" s="367">
        <f>HYPERLINK("https://www.webofscience.com/wos/woscc/full-record/WOS:000825796900017","View Record in Web of Science")</f>
        <v>114</v>
      </c>
      <c r="BU185" t="s" s="0">
        <v>233</v>
      </c>
      <c r="BV185" t="s" s="0">
        <v>81</v>
      </c>
      <c r="BW185" t="s" s="0">
        <v>81</v>
      </c>
      <c r="BX185" t="s" s="0">
        <v>116</v>
      </c>
    </row>
    <row r="186">
      <c r="A186" t="s" s="0">
        <v>77</v>
      </c>
      <c r="B186" t="s" s="0">
        <v>77</v>
      </c>
      <c r="C186" t="s" s="0">
        <v>77</v>
      </c>
      <c r="D186" t="s" s="0">
        <v>77</v>
      </c>
      <c r="E186" t="s" s="0">
        <v>4533</v>
      </c>
      <c r="F186" t="s" s="0">
        <v>4534</v>
      </c>
      <c r="G186" t="s" s="0">
        <v>4535</v>
      </c>
      <c r="H186" t="s" s="0">
        <v>81</v>
      </c>
      <c r="I186" t="s" s="0">
        <v>82</v>
      </c>
      <c r="J186" t="s" s="0">
        <v>4536</v>
      </c>
      <c r="K186" t="s" s="0">
        <v>4537</v>
      </c>
      <c r="L186" t="s" s="0">
        <v>81</v>
      </c>
      <c r="M186" t="s" s="0">
        <v>81</v>
      </c>
      <c r="N186" t="s" s="0">
        <v>81</v>
      </c>
      <c r="O186" t="s" s="0">
        <v>4538</v>
      </c>
      <c r="P186" t="s" s="0">
        <v>4539</v>
      </c>
      <c r="Q186" t="s" s="0">
        <v>87</v>
      </c>
      <c r="R186" t="s" s="0">
        <v>81</v>
      </c>
      <c r="S186" t="s" s="0">
        <v>81</v>
      </c>
      <c r="T186" t="s" s="0">
        <v>81</v>
      </c>
      <c r="U186" t="s" s="0">
        <v>81</v>
      </c>
      <c r="V186" t="s" s="0">
        <v>4540</v>
      </c>
      <c r="W186" t="s" s="0">
        <v>89</v>
      </c>
      <c r="X186" t="s" s="0">
        <v>81</v>
      </c>
      <c r="Y186" t="s" s="0">
        <v>81</v>
      </c>
      <c r="Z186" t="s" s="0">
        <v>90</v>
      </c>
      <c r="AA186" t="s" s="0">
        <v>91</v>
      </c>
      <c r="AB186" t="s" s="0">
        <v>81</v>
      </c>
      <c r="AC186" t="s" s="0">
        <v>81</v>
      </c>
      <c r="AD186" t="s" s="0">
        <v>81</v>
      </c>
      <c r="AE186" t="s" s="0">
        <v>81</v>
      </c>
      <c r="AF186" t="s" s="0">
        <v>81</v>
      </c>
      <c r="AG186" t="s" s="0">
        <v>4541</v>
      </c>
      <c r="AH186" t="s" s="0">
        <v>4542</v>
      </c>
      <c r="AI186" t="s" s="0">
        <v>4543</v>
      </c>
      <c r="AJ186" t="s" s="0">
        <v>4544</v>
      </c>
      <c r="AK186" t="s" s="0">
        <v>81</v>
      </c>
      <c r="AL186" t="s" s="0">
        <v>696</v>
      </c>
      <c r="AM186" t="s" s="0">
        <v>156</v>
      </c>
      <c r="AN186" t="s" s="0">
        <v>156</v>
      </c>
      <c r="AO186" t="s" s="0">
        <v>175</v>
      </c>
      <c r="AP186" t="s" s="0">
        <v>316</v>
      </c>
      <c r="AQ186" t="s" s="0">
        <v>98</v>
      </c>
      <c r="AR186" t="s" s="0">
        <v>99</v>
      </c>
      <c r="AS186" t="s" s="0">
        <v>100</v>
      </c>
      <c r="AT186" t="s" s="0">
        <v>101</v>
      </c>
      <c r="AU186" t="s" s="0">
        <v>81</v>
      </c>
      <c r="AV186" t="s" s="0">
        <v>81</v>
      </c>
      <c r="AW186" t="s" s="0">
        <v>89</v>
      </c>
      <c r="AX186" t="s" s="0">
        <v>102</v>
      </c>
      <c r="AY186" t="s" s="0">
        <v>290</v>
      </c>
      <c r="AZ186" t="s" s="0">
        <v>290</v>
      </c>
      <c r="BA186" t="s" s="0">
        <v>486</v>
      </c>
      <c r="BB186" t="s" s="0">
        <v>81</v>
      </c>
      <c r="BC186" t="s" s="0">
        <v>81</v>
      </c>
      <c r="BD186" t="s" s="0">
        <v>81</v>
      </c>
      <c r="BE186" t="s" s="0">
        <v>81</v>
      </c>
      <c r="BF186" t="s" s="0">
        <v>81</v>
      </c>
      <c r="BG186" t="s" s="0">
        <v>4545</v>
      </c>
      <c r="BH186" t="s" s="0">
        <v>4546</v>
      </c>
      <c r="BI186" t="s" s="0">
        <v>81</v>
      </c>
      <c r="BJ186" t="s" s="0">
        <v>4547</v>
      </c>
      <c r="BK186" t="s" s="368">
        <f>HYPERLINK("http://dx.doi.org/10.1109/ACCESS.2025.3608083","http://dx.doi.org/10.1109/ACCESS.2025.3608083")</f>
        <v>4548</v>
      </c>
      <c r="BL186" t="s" s="0">
        <v>81</v>
      </c>
      <c r="BM186" t="s" s="0">
        <v>81</v>
      </c>
      <c r="BN186" t="s" s="0">
        <v>291</v>
      </c>
      <c r="BO186" t="s" s="0">
        <v>110</v>
      </c>
      <c r="BP186" t="s" s="0">
        <v>111</v>
      </c>
      <c r="BQ186" t="s" s="0">
        <v>4549</v>
      </c>
      <c r="BR186" t="s" s="0">
        <v>81</v>
      </c>
      <c r="BS186" t="s" s="0">
        <v>4550</v>
      </c>
      <c r="BT186" t="s" s="369">
        <f>HYPERLINK("https://www.webofscience.com/wos/woscc/full-record/WOS:001574191400001","View Record in Web of Science")</f>
        <v>114</v>
      </c>
      <c r="BU186" t="s" s="0">
        <v>301</v>
      </c>
      <c r="BV186" t="s" s="0">
        <v>81</v>
      </c>
      <c r="BW186" t="s" s="0">
        <v>81</v>
      </c>
      <c r="BX186" t="s" s="0">
        <v>116</v>
      </c>
    </row>
    <row r="187">
      <c r="A187" t="s" s="0">
        <v>77</v>
      </c>
      <c r="B187" t="s" s="0">
        <v>77</v>
      </c>
      <c r="C187" t="s" s="0">
        <v>175</v>
      </c>
      <c r="D187" t="s" s="0">
        <v>77</v>
      </c>
      <c r="E187" t="s" s="0">
        <v>4551</v>
      </c>
      <c r="F187" t="s" s="0">
        <v>4552</v>
      </c>
      <c r="G187" t="s" s="0">
        <v>4553</v>
      </c>
      <c r="H187" t="s" s="0">
        <v>81</v>
      </c>
      <c r="I187" t="s" s="0">
        <v>82</v>
      </c>
      <c r="J187" t="s" s="0">
        <v>4554</v>
      </c>
      <c r="K187" t="s" s="0">
        <v>4555</v>
      </c>
      <c r="L187" t="s" s="0">
        <v>81</v>
      </c>
      <c r="M187" t="s" s="0">
        <v>81</v>
      </c>
      <c r="N187" t="s" s="0">
        <v>81</v>
      </c>
      <c r="O187" t="s" s="0">
        <v>4556</v>
      </c>
      <c r="P187" t="s" s="0">
        <v>4557</v>
      </c>
      <c r="Q187" t="s" s="0">
        <v>87</v>
      </c>
      <c r="R187" t="s" s="0">
        <v>81</v>
      </c>
      <c r="S187" t="s" s="0">
        <v>81</v>
      </c>
      <c r="T187" t="s" s="0">
        <v>81</v>
      </c>
      <c r="U187" t="s" s="0">
        <v>81</v>
      </c>
      <c r="V187" t="s" s="0">
        <v>4558</v>
      </c>
      <c r="W187" t="s" s="0">
        <v>3220</v>
      </c>
      <c r="X187" t="s" s="0">
        <v>81</v>
      </c>
      <c r="Y187" t="s" s="0">
        <v>81</v>
      </c>
      <c r="Z187" t="s" s="0">
        <v>90</v>
      </c>
      <c r="AA187" t="s" s="0">
        <v>91</v>
      </c>
      <c r="AB187" t="s" s="0">
        <v>81</v>
      </c>
      <c r="AC187" t="s" s="0">
        <v>81</v>
      </c>
      <c r="AD187" t="s" s="0">
        <v>81</v>
      </c>
      <c r="AE187" t="s" s="0">
        <v>81</v>
      </c>
      <c r="AF187" t="s" s="0">
        <v>81</v>
      </c>
      <c r="AG187" t="s" s="0">
        <v>4559</v>
      </c>
      <c r="AH187" t="s" s="0">
        <v>4560</v>
      </c>
      <c r="AI187" t="s" s="0">
        <v>81</v>
      </c>
      <c r="AJ187" t="s" s="0">
        <v>4561</v>
      </c>
      <c r="AK187" t="s" s="0">
        <v>81</v>
      </c>
      <c r="AL187" t="s" s="0">
        <v>734</v>
      </c>
      <c r="AM187" t="s" s="0">
        <v>261</v>
      </c>
      <c r="AN187" t="s" s="0">
        <v>211</v>
      </c>
      <c r="AO187" t="s" s="0">
        <v>196</v>
      </c>
      <c r="AP187" t="s" s="0">
        <v>486</v>
      </c>
      <c r="AQ187" t="s" s="0">
        <v>1608</v>
      </c>
      <c r="AR187" t="s" s="0">
        <v>1609</v>
      </c>
      <c r="AS187" t="s" s="0">
        <v>1610</v>
      </c>
      <c r="AT187" t="s" s="0">
        <v>3225</v>
      </c>
      <c r="AU187" t="s" s="0">
        <v>3226</v>
      </c>
      <c r="AV187" t="s" s="0">
        <v>81</v>
      </c>
      <c r="AW187" t="s" s="0">
        <v>3227</v>
      </c>
      <c r="AX187" t="s" s="0">
        <v>3228</v>
      </c>
      <c r="AY187" t="s" s="0">
        <v>615</v>
      </c>
      <c r="AZ187" t="s" s="0">
        <v>290</v>
      </c>
      <c r="BA187" t="s" s="0">
        <v>397</v>
      </c>
      <c r="BB187" t="s" s="0">
        <v>81</v>
      </c>
      <c r="BC187" t="s" s="0">
        <v>81</v>
      </c>
      <c r="BD187" t="s" s="0">
        <v>81</v>
      </c>
      <c r="BE187" t="s" s="0">
        <v>81</v>
      </c>
      <c r="BF187" t="s" s="0">
        <v>81</v>
      </c>
      <c r="BG187" t="s" s="0">
        <v>81</v>
      </c>
      <c r="BH187" t="s" s="0">
        <v>81</v>
      </c>
      <c r="BI187" t="s" s="0">
        <v>4562</v>
      </c>
      <c r="BJ187" t="s" s="0">
        <v>4563</v>
      </c>
      <c r="BK187" t="s" s="370">
        <f>HYPERLINK("http://dx.doi.org/10.1016/j.cmpb.2025.108653","http://dx.doi.org/10.1016/j.cmpb.2025.108653")</f>
        <v>4564</v>
      </c>
      <c r="BL187" t="s" s="0">
        <v>81</v>
      </c>
      <c r="BM187" t="s" s="0">
        <v>1029</v>
      </c>
      <c r="BN187" t="s" s="0">
        <v>486</v>
      </c>
      <c r="BO187" t="s" s="0">
        <v>3234</v>
      </c>
      <c r="BP187" t="s" s="0">
        <v>3235</v>
      </c>
      <c r="BQ187" t="s" s="0">
        <v>4565</v>
      </c>
      <c r="BR187" t="s" s="0">
        <v>4566</v>
      </c>
      <c r="BS187" t="s" s="0">
        <v>4567</v>
      </c>
      <c r="BT187" t="s" s="371">
        <f>HYPERLINK("https://www.webofscience.com/wos/woscc/full-record/WOS:001428785600001","View Record in Web of Science")</f>
        <v>114</v>
      </c>
      <c r="BU187" t="s" s="0">
        <v>1055</v>
      </c>
      <c r="BV187" t="s" s="0">
        <v>81</v>
      </c>
      <c r="BW187" t="s" s="0">
        <v>81</v>
      </c>
      <c r="BX187" t="s" s="0">
        <v>116</v>
      </c>
    </row>
    <row r="188">
      <c r="A188" t="s" s="0">
        <v>77</v>
      </c>
      <c r="B188" t="s" s="0">
        <v>77</v>
      </c>
      <c r="C188" t="s" s="0">
        <v>77</v>
      </c>
      <c r="D188" t="s" s="0">
        <v>77</v>
      </c>
      <c r="E188" t="s" s="0">
        <v>4568</v>
      </c>
      <c r="F188" t="s" s="0">
        <v>4569</v>
      </c>
      <c r="G188" t="s" s="0">
        <v>4570</v>
      </c>
      <c r="H188" t="s" s="0">
        <v>81</v>
      </c>
      <c r="I188" t="s" s="0">
        <v>82</v>
      </c>
      <c r="J188" t="s" s="0">
        <v>4571</v>
      </c>
      <c r="K188" t="s" s="0">
        <v>4572</v>
      </c>
      <c r="L188" t="s" s="0">
        <v>3080</v>
      </c>
      <c r="M188" t="s" s="0">
        <v>833</v>
      </c>
      <c r="N188" t="s" s="0">
        <v>4573</v>
      </c>
      <c r="O188" t="s" s="0">
        <v>4574</v>
      </c>
      <c r="P188" t="s" s="0">
        <v>4575</v>
      </c>
      <c r="Q188" t="s" s="0">
        <v>87</v>
      </c>
      <c r="R188" t="s" s="0">
        <v>81</v>
      </c>
      <c r="S188" t="s" s="0">
        <v>81</v>
      </c>
      <c r="T188" t="s" s="0">
        <v>81</v>
      </c>
      <c r="U188" t="s" s="0">
        <v>81</v>
      </c>
      <c r="V188" t="s" s="0">
        <v>4576</v>
      </c>
      <c r="W188" t="s" s="0">
        <v>279</v>
      </c>
      <c r="X188" t="s" s="0">
        <v>81</v>
      </c>
      <c r="Y188" t="s" s="0">
        <v>81</v>
      </c>
      <c r="Z188" t="s" s="0">
        <v>90</v>
      </c>
      <c r="AA188" t="s" s="0">
        <v>91</v>
      </c>
      <c r="AB188" t="s" s="0">
        <v>81</v>
      </c>
      <c r="AC188" t="s" s="0">
        <v>81</v>
      </c>
      <c r="AD188" t="s" s="0">
        <v>81</v>
      </c>
      <c r="AE188" t="s" s="0">
        <v>81</v>
      </c>
      <c r="AF188" t="s" s="0">
        <v>81</v>
      </c>
      <c r="AG188" t="s" s="0">
        <v>4577</v>
      </c>
      <c r="AH188" t="s" s="0">
        <v>4578</v>
      </c>
      <c r="AI188" t="s" s="0">
        <v>4579</v>
      </c>
      <c r="AJ188" t="s" s="0">
        <v>4580</v>
      </c>
      <c r="AK188" t="s" s="0">
        <v>81</v>
      </c>
      <c r="AL188" t="s" s="0">
        <v>4581</v>
      </c>
      <c r="AM188" t="s" s="0">
        <v>97</v>
      </c>
      <c r="AN188" t="s" s="0">
        <v>97</v>
      </c>
      <c r="AO188" t="s" s="0">
        <v>77</v>
      </c>
      <c r="AP188" t="s" s="0">
        <v>77</v>
      </c>
      <c r="AQ188" t="s" s="0">
        <v>284</v>
      </c>
      <c r="AR188" t="s" s="0">
        <v>285</v>
      </c>
      <c r="AS188" t="s" s="0">
        <v>286</v>
      </c>
      <c r="AT188" t="s" s="0">
        <v>81</v>
      </c>
      <c r="AU188" t="s" s="0">
        <v>287</v>
      </c>
      <c r="AV188" t="s" s="0">
        <v>81</v>
      </c>
      <c r="AW188" t="s" s="0">
        <v>279</v>
      </c>
      <c r="AX188" t="s" s="0">
        <v>288</v>
      </c>
      <c r="AY188" t="s" s="0">
        <v>4582</v>
      </c>
      <c r="AZ188" t="s" s="0">
        <v>103</v>
      </c>
      <c r="BA188" t="s" s="0">
        <v>925</v>
      </c>
      <c r="BB188" t="s" s="0">
        <v>104</v>
      </c>
      <c r="BC188" t="s" s="0">
        <v>81</v>
      </c>
      <c r="BD188" t="s" s="0">
        <v>81</v>
      </c>
      <c r="BE188" t="s" s="0">
        <v>81</v>
      </c>
      <c r="BF188" t="s" s="0">
        <v>81</v>
      </c>
      <c r="BG188" t="s" s="0">
        <v>81</v>
      </c>
      <c r="BH188" t="s" s="0">
        <v>81</v>
      </c>
      <c r="BI188" t="s" s="0">
        <v>4583</v>
      </c>
      <c r="BJ188" t="s" s="0">
        <v>4584</v>
      </c>
      <c r="BK188" t="s" s="372">
        <f>HYPERLINK("http://dx.doi.org/10.3390/diagnostics16142226","http://dx.doi.org/10.3390/diagnostics16142226")</f>
        <v>4585</v>
      </c>
      <c r="BL188" t="s" s="0">
        <v>81</v>
      </c>
      <c r="BM188" t="s" s="0">
        <v>81</v>
      </c>
      <c r="BN188" t="s" s="0">
        <v>671</v>
      </c>
      <c r="BO188" t="s" s="0">
        <v>296</v>
      </c>
      <c r="BP188" t="s" s="0">
        <v>297</v>
      </c>
      <c r="BQ188" t="s" s="0">
        <v>4586</v>
      </c>
      <c r="BR188" t="s" s="0">
        <v>4587</v>
      </c>
      <c r="BS188" t="s" s="0">
        <v>4588</v>
      </c>
      <c r="BT188" t="s" s="373">
        <f>HYPERLINK("https://www.webofscience.com/wos/woscc/full-record/WOS:001833274300001","View Record in Web of Science")</f>
        <v>114</v>
      </c>
      <c r="BU188" t="s" s="0">
        <v>301</v>
      </c>
      <c r="BV188" t="s" s="0">
        <v>81</v>
      </c>
      <c r="BW188" t="s" s="0">
        <v>81</v>
      </c>
      <c r="BX188" t="s" s="0">
        <v>116</v>
      </c>
    </row>
    <row r="189">
      <c r="A189" t="s" s="0">
        <v>77</v>
      </c>
      <c r="B189" t="s" s="0">
        <v>77</v>
      </c>
      <c r="C189" t="s" s="0">
        <v>77</v>
      </c>
      <c r="D189" t="s" s="0">
        <v>77</v>
      </c>
      <c r="E189" t="s" s="0">
        <v>4589</v>
      </c>
      <c r="F189" t="s" s="0">
        <v>4590</v>
      </c>
      <c r="G189" t="s" s="0">
        <v>4591</v>
      </c>
      <c r="H189" t="s" s="0">
        <v>81</v>
      </c>
      <c r="I189" t="s" s="0">
        <v>82</v>
      </c>
      <c r="J189" t="s" s="0">
        <v>4592</v>
      </c>
      <c r="K189" t="s" s="0">
        <v>4593</v>
      </c>
      <c r="L189" t="s" s="0">
        <v>4594</v>
      </c>
      <c r="M189" t="s" s="0">
        <v>4595</v>
      </c>
      <c r="N189" t="s" s="0">
        <v>4596</v>
      </c>
      <c r="O189" t="s" s="0">
        <v>4597</v>
      </c>
      <c r="P189" t="s" s="0">
        <v>4598</v>
      </c>
      <c r="Q189" t="s" s="0">
        <v>87</v>
      </c>
      <c r="R189" t="s" s="0">
        <v>81</v>
      </c>
      <c r="S189" t="s" s="0">
        <v>4599</v>
      </c>
      <c r="T189" t="s" s="0">
        <v>81</v>
      </c>
      <c r="U189" t="s" s="0">
        <v>81</v>
      </c>
      <c r="V189" t="s" s="0">
        <v>4600</v>
      </c>
      <c r="W189" t="s" s="0">
        <v>4601</v>
      </c>
      <c r="X189" t="s" s="0">
        <v>81</v>
      </c>
      <c r="Y189" t="s" s="0">
        <v>81</v>
      </c>
      <c r="Z189" t="s" s="0">
        <v>90</v>
      </c>
      <c r="AA189" t="s" s="0">
        <v>91</v>
      </c>
      <c r="AB189" t="s" s="0">
        <v>81</v>
      </c>
      <c r="AC189" t="s" s="0">
        <v>81</v>
      </c>
      <c r="AD189" t="s" s="0">
        <v>81</v>
      </c>
      <c r="AE189" t="s" s="0">
        <v>81</v>
      </c>
      <c r="AF189" t="s" s="0">
        <v>81</v>
      </c>
      <c r="AG189" t="s" s="0">
        <v>4602</v>
      </c>
      <c r="AH189" t="s" s="0">
        <v>81</v>
      </c>
      <c r="AI189" t="s" s="0">
        <v>4603</v>
      </c>
      <c r="AJ189" t="s" s="0">
        <v>4604</v>
      </c>
      <c r="AK189" t="s" s="0">
        <v>81</v>
      </c>
      <c r="AL189" t="s" s="0">
        <v>176</v>
      </c>
      <c r="AM189" t="s" s="0">
        <v>97</v>
      </c>
      <c r="AN189" t="s" s="0">
        <v>97</v>
      </c>
      <c r="AO189" t="s" s="0">
        <v>156</v>
      </c>
      <c r="AP189" t="s" s="0">
        <v>133</v>
      </c>
      <c r="AQ189" t="s" s="0">
        <v>4605</v>
      </c>
      <c r="AR189" t="s" s="0">
        <v>4606</v>
      </c>
      <c r="AS189" t="s" s="0">
        <v>4607</v>
      </c>
      <c r="AT189" t="s" s="0">
        <v>4608</v>
      </c>
      <c r="AU189" t="s" s="0">
        <v>81</v>
      </c>
      <c r="AV189" t="s" s="0">
        <v>81</v>
      </c>
      <c r="AW189" t="s" s="0">
        <v>4609</v>
      </c>
      <c r="AX189" t="s" s="0">
        <v>4610</v>
      </c>
      <c r="AY189" t="s" s="0">
        <v>149</v>
      </c>
      <c r="AZ189" t="s" s="0">
        <v>290</v>
      </c>
      <c r="BA189" t="s" s="0">
        <v>104</v>
      </c>
      <c r="BB189" t="s" s="0">
        <v>211</v>
      </c>
      <c r="BC189" t="s" s="0">
        <v>81</v>
      </c>
      <c r="BD189" t="s" s="0">
        <v>81</v>
      </c>
      <c r="BE189" t="s" s="0">
        <v>81</v>
      </c>
      <c r="BF189" t="s" s="0">
        <v>81</v>
      </c>
      <c r="BG189" t="s" s="0">
        <v>81</v>
      </c>
      <c r="BH189" t="s" s="0">
        <v>81</v>
      </c>
      <c r="BI189" t="s" s="0">
        <v>344</v>
      </c>
      <c r="BJ189" t="s" s="0">
        <v>4611</v>
      </c>
      <c r="BK189" t="s" s="374">
        <f>HYPERLINK("http://dx.doi.org/10.1167/tvst.14.10.31","http://dx.doi.org/10.1167/tvst.14.10.31")</f>
        <v>4612</v>
      </c>
      <c r="BL189" t="s" s="0">
        <v>81</v>
      </c>
      <c r="BM189" t="s" s="0">
        <v>81</v>
      </c>
      <c r="BN189" t="s" s="0">
        <v>191</v>
      </c>
      <c r="BO189" t="s" s="0">
        <v>3745</v>
      </c>
      <c r="BP189" t="s" s="0">
        <v>3745</v>
      </c>
      <c r="BQ189" t="s" s="0">
        <v>4613</v>
      </c>
      <c r="BR189" t="s" s="0">
        <v>4614</v>
      </c>
      <c r="BS189" t="s" s="0">
        <v>4615</v>
      </c>
      <c r="BT189" t="s" s="375">
        <f>HYPERLINK("https://www.webofscience.com/wos/woscc/full-record/WOS:001631855600001","View Record in Web of Science")</f>
        <v>114</v>
      </c>
      <c r="BU189" t="s" s="0">
        <v>115</v>
      </c>
      <c r="BV189" t="s" s="0">
        <v>81</v>
      </c>
      <c r="BW189" t="s" s="0">
        <v>81</v>
      </c>
      <c r="BX189" t="s" s="0">
        <v>116</v>
      </c>
    </row>
    <row r="190">
      <c r="A190" t="s" s="0">
        <v>77</v>
      </c>
      <c r="B190" t="s" s="0">
        <v>77</v>
      </c>
      <c r="C190" t="s" s="0">
        <v>175</v>
      </c>
      <c r="D190" t="s" s="0">
        <v>77</v>
      </c>
      <c r="E190" t="s" s="0">
        <v>4616</v>
      </c>
      <c r="F190" t="s" s="0">
        <v>4617</v>
      </c>
      <c r="G190" t="s" s="0">
        <v>4618</v>
      </c>
      <c r="H190" t="s" s="0">
        <v>81</v>
      </c>
      <c r="I190" t="s" s="0">
        <v>82</v>
      </c>
      <c r="J190" t="s" s="0">
        <v>4619</v>
      </c>
      <c r="K190" t="s" s="0">
        <v>4620</v>
      </c>
      <c r="L190" t="s" s="0">
        <v>4621</v>
      </c>
      <c r="M190" t="s" s="0">
        <v>4621</v>
      </c>
      <c r="N190" t="s" s="0">
        <v>4622</v>
      </c>
      <c r="O190" t="s" s="0">
        <v>4623</v>
      </c>
      <c r="P190" t="s" s="0">
        <v>4624</v>
      </c>
      <c r="Q190" t="s" s="0">
        <v>87</v>
      </c>
      <c r="R190" t="s" s="0">
        <v>81</v>
      </c>
      <c r="S190" t="s" s="0">
        <v>81</v>
      </c>
      <c r="T190" t="s" s="0">
        <v>81</v>
      </c>
      <c r="U190" t="s" s="0">
        <v>81</v>
      </c>
      <c r="V190" t="s" s="0">
        <v>4625</v>
      </c>
      <c r="W190" t="s" s="0">
        <v>279</v>
      </c>
      <c r="X190" t="s" s="0">
        <v>81</v>
      </c>
      <c r="Y190" t="s" s="0">
        <v>81</v>
      </c>
      <c r="Z190" t="s" s="0">
        <v>90</v>
      </c>
      <c r="AA190" t="s" s="0">
        <v>91</v>
      </c>
      <c r="AB190" t="s" s="0">
        <v>81</v>
      </c>
      <c r="AC190" t="s" s="0">
        <v>81</v>
      </c>
      <c r="AD190" t="s" s="0">
        <v>81</v>
      </c>
      <c r="AE190" t="s" s="0">
        <v>81</v>
      </c>
      <c r="AF190" t="s" s="0">
        <v>81</v>
      </c>
      <c r="AG190" t="s" s="0">
        <v>4626</v>
      </c>
      <c r="AH190" t="s" s="0">
        <v>4627</v>
      </c>
      <c r="AI190" t="s" s="0">
        <v>4628</v>
      </c>
      <c r="AJ190" t="s" s="0">
        <v>4629</v>
      </c>
      <c r="AK190" t="s" s="0">
        <v>81</v>
      </c>
      <c r="AL190" t="s" s="0">
        <v>2422</v>
      </c>
      <c r="AM190" t="s" s="0">
        <v>367</v>
      </c>
      <c r="AN190" t="s" s="0">
        <v>295</v>
      </c>
      <c r="AO190" t="s" s="0">
        <v>156</v>
      </c>
      <c r="AP190" t="s" s="0">
        <v>671</v>
      </c>
      <c r="AQ190" t="s" s="0">
        <v>284</v>
      </c>
      <c r="AR190" t="s" s="0">
        <v>285</v>
      </c>
      <c r="AS190" t="s" s="0">
        <v>286</v>
      </c>
      <c r="AT190" t="s" s="0">
        <v>81</v>
      </c>
      <c r="AU190" t="s" s="0">
        <v>287</v>
      </c>
      <c r="AV190" t="s" s="0">
        <v>81</v>
      </c>
      <c r="AW190" t="s" s="0">
        <v>279</v>
      </c>
      <c r="AX190" t="s" s="0">
        <v>288</v>
      </c>
      <c r="AY190" t="s" s="0">
        <v>1183</v>
      </c>
      <c r="AZ190" t="s" s="0">
        <v>185</v>
      </c>
      <c r="BA190" t="s" s="0">
        <v>104</v>
      </c>
      <c r="BB190" t="s" s="0">
        <v>135</v>
      </c>
      <c r="BC190" t="s" s="0">
        <v>81</v>
      </c>
      <c r="BD190" t="s" s="0">
        <v>81</v>
      </c>
      <c r="BE190" t="s" s="0">
        <v>81</v>
      </c>
      <c r="BF190" t="s" s="0">
        <v>81</v>
      </c>
      <c r="BG190" t="s" s="0">
        <v>81</v>
      </c>
      <c r="BH190" t="s" s="0">
        <v>81</v>
      </c>
      <c r="BI190" t="s" s="0">
        <v>4630</v>
      </c>
      <c r="BJ190" t="s" s="0">
        <v>4631</v>
      </c>
      <c r="BK190" t="s" s="376">
        <f>HYPERLINK("http://dx.doi.org/10.3390/diagnostics14232675","http://dx.doi.org/10.3390/diagnostics14232675")</f>
        <v>4632</v>
      </c>
      <c r="BL190" t="s" s="0">
        <v>81</v>
      </c>
      <c r="BM190" t="s" s="0">
        <v>81</v>
      </c>
      <c r="BN190" t="s" s="0">
        <v>1254</v>
      </c>
      <c r="BO190" t="s" s="0">
        <v>296</v>
      </c>
      <c r="BP190" t="s" s="0">
        <v>297</v>
      </c>
      <c r="BQ190" t="s" s="0">
        <v>4633</v>
      </c>
      <c r="BR190" t="s" s="0">
        <v>4634</v>
      </c>
      <c r="BS190" t="s" s="0">
        <v>4635</v>
      </c>
      <c r="BT190" t="s" s="377">
        <f>HYPERLINK("https://www.webofscience.com/wos/woscc/full-record/WOS:001376970800001","View Record in Web of Science")</f>
        <v>114</v>
      </c>
      <c r="BU190" t="s" s="0">
        <v>301</v>
      </c>
      <c r="BV190" t="s" s="0">
        <v>81</v>
      </c>
      <c r="BW190" t="s" s="0">
        <v>81</v>
      </c>
      <c r="BX190" t="s" s="0">
        <v>116</v>
      </c>
    </row>
    <row r="191">
      <c r="A191" t="s" s="0">
        <v>77</v>
      </c>
      <c r="B191" t="s" s="0">
        <v>77</v>
      </c>
      <c r="C191" t="s" s="0">
        <v>316</v>
      </c>
      <c r="D191" t="s" s="0">
        <v>77</v>
      </c>
      <c r="E191" t="s" s="0">
        <v>4636</v>
      </c>
      <c r="F191" t="s" s="0">
        <v>4637</v>
      </c>
      <c r="G191" t="s" s="0">
        <v>4638</v>
      </c>
      <c r="H191" t="s" s="0">
        <v>81</v>
      </c>
      <c r="I191" t="s" s="0">
        <v>82</v>
      </c>
      <c r="J191" t="s" s="0">
        <v>4639</v>
      </c>
      <c r="K191" t="s" s="0">
        <v>4640</v>
      </c>
      <c r="L191" t="s" s="0">
        <v>4641</v>
      </c>
      <c r="M191" t="s" s="0">
        <v>4642</v>
      </c>
      <c r="N191" t="s" s="0">
        <v>4643</v>
      </c>
      <c r="O191" t="s" s="0">
        <v>4644</v>
      </c>
      <c r="P191" t="s" s="0">
        <v>4645</v>
      </c>
      <c r="Q191" t="s" s="0">
        <v>87</v>
      </c>
      <c r="R191" t="s" s="0">
        <v>81</v>
      </c>
      <c r="S191" t="s" s="0">
        <v>81</v>
      </c>
      <c r="T191" t="s" s="0">
        <v>81</v>
      </c>
      <c r="U191" t="s" s="0">
        <v>81</v>
      </c>
      <c r="V191" t="s" s="0">
        <v>4646</v>
      </c>
      <c r="W191" t="s" s="0">
        <v>910</v>
      </c>
      <c r="X191" t="s" s="0">
        <v>81</v>
      </c>
      <c r="Y191" t="s" s="0">
        <v>81</v>
      </c>
      <c r="Z191" t="s" s="0">
        <v>90</v>
      </c>
      <c r="AA191" t="s" s="0">
        <v>91</v>
      </c>
      <c r="AB191" t="s" s="0">
        <v>81</v>
      </c>
      <c r="AC191" t="s" s="0">
        <v>81</v>
      </c>
      <c r="AD191" t="s" s="0">
        <v>81</v>
      </c>
      <c r="AE191" t="s" s="0">
        <v>81</v>
      </c>
      <c r="AF191" t="s" s="0">
        <v>81</v>
      </c>
      <c r="AG191" t="s" s="0">
        <v>4647</v>
      </c>
      <c r="AH191" t="s" s="0">
        <v>4648</v>
      </c>
      <c r="AI191" t="s" s="0">
        <v>4649</v>
      </c>
      <c r="AJ191" t="s" s="0">
        <v>4650</v>
      </c>
      <c r="AK191" t="s" s="0">
        <v>81</v>
      </c>
      <c r="AL191" t="s" s="0">
        <v>734</v>
      </c>
      <c r="AM191" t="s" s="0">
        <v>295</v>
      </c>
      <c r="AN191" t="s" s="0">
        <v>295</v>
      </c>
      <c r="AO191" t="s" s="0">
        <v>156</v>
      </c>
      <c r="AP191" t="s" s="0">
        <v>222</v>
      </c>
      <c r="AQ191" t="s" s="0">
        <v>915</v>
      </c>
      <c r="AR191" t="s" s="0">
        <v>916</v>
      </c>
      <c r="AS191" t="s" s="0">
        <v>917</v>
      </c>
      <c r="AT191" t="s" s="0">
        <v>918</v>
      </c>
      <c r="AU191" t="s" s="0">
        <v>81</v>
      </c>
      <c r="AV191" t="s" s="0">
        <v>81</v>
      </c>
      <c r="AW191" t="s" s="0">
        <v>919</v>
      </c>
      <c r="AX191" t="s" s="0">
        <v>920</v>
      </c>
      <c r="AY191" t="s" s="0">
        <v>4310</v>
      </c>
      <c r="AZ191" t="s" s="0">
        <v>185</v>
      </c>
      <c r="BA191" t="s" s="0">
        <v>104</v>
      </c>
      <c r="BB191" t="s" s="0">
        <v>97</v>
      </c>
      <c r="BC191" t="s" s="0">
        <v>81</v>
      </c>
      <c r="BD191" t="s" s="0">
        <v>81</v>
      </c>
      <c r="BE191" t="s" s="0">
        <v>81</v>
      </c>
      <c r="BF191" t="s" s="0">
        <v>81</v>
      </c>
      <c r="BG191" t="s" s="0">
        <v>81</v>
      </c>
      <c r="BH191" t="s" s="0">
        <v>81</v>
      </c>
      <c r="BI191" t="s" s="0">
        <v>4651</v>
      </c>
      <c r="BJ191" t="s" s="0">
        <v>4652</v>
      </c>
      <c r="BK191" t="s" s="378">
        <f>HYPERLINK("http://dx.doi.org/10.1038/s41598-024-58121-8","http://dx.doi.org/10.1038/s41598-024-58121-8")</f>
        <v>4653</v>
      </c>
      <c r="BL191" t="s" s="0">
        <v>81</v>
      </c>
      <c r="BM191" t="s" s="0">
        <v>81</v>
      </c>
      <c r="BN191" t="s" s="0">
        <v>134</v>
      </c>
      <c r="BO191" t="s" s="0">
        <v>926</v>
      </c>
      <c r="BP191" t="s" s="0">
        <v>927</v>
      </c>
      <c r="BQ191" t="s" s="0">
        <v>4654</v>
      </c>
      <c r="BR191" t="s" s="0">
        <v>4655</v>
      </c>
      <c r="BS191" t="s" s="0">
        <v>4656</v>
      </c>
      <c r="BT191" t="s" s="379">
        <f>HYPERLINK("https://www.webofscience.com/wos/woscc/full-record/WOS:001273086800060","View Record in Web of Science")</f>
        <v>114</v>
      </c>
      <c r="BU191" t="s" s="0">
        <v>301</v>
      </c>
      <c r="BV191" t="s" s="0">
        <v>81</v>
      </c>
      <c r="BW191" t="s" s="0">
        <v>81</v>
      </c>
      <c r="BX191" t="s" s="0">
        <v>116</v>
      </c>
    </row>
    <row r="192">
      <c r="A192" t="s" s="0">
        <v>77</v>
      </c>
      <c r="B192" t="s" s="0">
        <v>77</v>
      </c>
      <c r="C192" t="s" s="0">
        <v>97</v>
      </c>
      <c r="D192" t="s" s="0">
        <v>77</v>
      </c>
      <c r="E192" t="s" s="0">
        <v>4657</v>
      </c>
      <c r="F192" t="s" s="0">
        <v>4658</v>
      </c>
      <c r="G192" t="s" s="0">
        <v>4659</v>
      </c>
      <c r="H192" t="s" s="0">
        <v>81</v>
      </c>
      <c r="I192" t="s" s="0">
        <v>82</v>
      </c>
      <c r="J192" t="s" s="0">
        <v>4660</v>
      </c>
      <c r="K192" t="s" s="0">
        <v>4661</v>
      </c>
      <c r="L192" t="s" s="0">
        <v>4662</v>
      </c>
      <c r="M192" t="s" s="0">
        <v>4663</v>
      </c>
      <c r="N192" t="s" s="0">
        <v>4664</v>
      </c>
      <c r="O192" t="s" s="0">
        <v>4665</v>
      </c>
      <c r="P192" t="s" s="0">
        <v>4666</v>
      </c>
      <c r="Q192" t="s" s="0">
        <v>87</v>
      </c>
      <c r="R192" t="s" s="0">
        <v>81</v>
      </c>
      <c r="S192" t="s" s="0">
        <v>81</v>
      </c>
      <c r="T192" t="s" s="0">
        <v>81</v>
      </c>
      <c r="U192" t="s" s="0">
        <v>81</v>
      </c>
      <c r="V192" t="s" s="0">
        <v>4667</v>
      </c>
      <c r="W192" t="s" s="0">
        <v>4668</v>
      </c>
      <c r="X192" t="s" s="0">
        <v>81</v>
      </c>
      <c r="Y192" t="s" s="0">
        <v>81</v>
      </c>
      <c r="Z192" t="s" s="0">
        <v>90</v>
      </c>
      <c r="AA192" t="s" s="0">
        <v>91</v>
      </c>
      <c r="AB192" t="s" s="0">
        <v>81</v>
      </c>
      <c r="AC192" t="s" s="0">
        <v>81</v>
      </c>
      <c r="AD192" t="s" s="0">
        <v>81</v>
      </c>
      <c r="AE192" t="s" s="0">
        <v>81</v>
      </c>
      <c r="AF192" t="s" s="0">
        <v>81</v>
      </c>
      <c r="AG192" t="s" s="0">
        <v>4669</v>
      </c>
      <c r="AH192" t="s" s="0">
        <v>4670</v>
      </c>
      <c r="AI192" t="s" s="0">
        <v>4671</v>
      </c>
      <c r="AJ192" t="s" s="0">
        <v>4672</v>
      </c>
      <c r="AK192" t="s" s="0">
        <v>81</v>
      </c>
      <c r="AL192" t="s" s="0">
        <v>4518</v>
      </c>
      <c r="AM192" t="s" s="0">
        <v>196</v>
      </c>
      <c r="AN192" t="s" s="0">
        <v>196</v>
      </c>
      <c r="AO192" t="s" s="0">
        <v>156</v>
      </c>
      <c r="AP192" t="s" s="0">
        <v>295</v>
      </c>
      <c r="AQ192" t="s" s="0">
        <v>177</v>
      </c>
      <c r="AR192" t="s" s="0">
        <v>178</v>
      </c>
      <c r="AS192" t="s" s="0">
        <v>179</v>
      </c>
      <c r="AT192" t="s" s="0">
        <v>4673</v>
      </c>
      <c r="AU192" t="s" s="0">
        <v>4674</v>
      </c>
      <c r="AV192" t="s" s="0">
        <v>81</v>
      </c>
      <c r="AW192" t="s" s="0">
        <v>4675</v>
      </c>
      <c r="AX192" t="s" s="0">
        <v>4676</v>
      </c>
      <c r="AY192" t="s" s="0">
        <v>190</v>
      </c>
      <c r="AZ192" t="s" s="0">
        <v>185</v>
      </c>
      <c r="BA192" t="s" s="0">
        <v>2880</v>
      </c>
      <c r="BB192" t="s" s="0">
        <v>81</v>
      </c>
      <c r="BC192" t="s" s="0">
        <v>81</v>
      </c>
      <c r="BD192" t="s" s="0">
        <v>81</v>
      </c>
      <c r="BE192" t="s" s="0">
        <v>81</v>
      </c>
      <c r="BF192" t="s" s="0">
        <v>81</v>
      </c>
      <c r="BG192" t="s" s="0">
        <v>81</v>
      </c>
      <c r="BH192" t="s" s="0">
        <v>81</v>
      </c>
      <c r="BI192" t="s" s="0">
        <v>4677</v>
      </c>
      <c r="BJ192" t="s" s="0">
        <v>4678</v>
      </c>
      <c r="BK192" t="s" s="380">
        <f>HYPERLINK("http://dx.doi.org/10.1016/j.compbiolchem.2023.107990","http://dx.doi.org/10.1016/j.compbiolchem.2023.107990")</f>
        <v>4679</v>
      </c>
      <c r="BL192" t="s" s="0">
        <v>81</v>
      </c>
      <c r="BM192" t="s" s="0">
        <v>190</v>
      </c>
      <c r="BN192" t="s" s="0">
        <v>486</v>
      </c>
      <c r="BO192" t="s" s="0">
        <v>4680</v>
      </c>
      <c r="BP192" t="s" s="0">
        <v>4681</v>
      </c>
      <c r="BQ192" t="s" s="0">
        <v>4682</v>
      </c>
      <c r="BR192" t="s" s="0">
        <v>4683</v>
      </c>
      <c r="BS192" t="s" s="0">
        <v>4684</v>
      </c>
      <c r="BT192" t="s" s="381">
        <f>HYPERLINK("https://www.webofscience.com/wos/woscc/full-record/WOS:001125321300001","View Record in Web of Science")</f>
        <v>114</v>
      </c>
      <c r="BU192" t="s" s="0">
        <v>81</v>
      </c>
      <c r="BV192" t="s" s="0">
        <v>81</v>
      </c>
      <c r="BW192" t="s" s="0">
        <v>81</v>
      </c>
      <c r="BX192" t="s" s="0">
        <v>116</v>
      </c>
    </row>
    <row r="193">
      <c r="A193" t="s" s="0">
        <v>77</v>
      </c>
      <c r="B193" t="s" s="0">
        <v>77</v>
      </c>
      <c r="C193" t="s" s="0">
        <v>97</v>
      </c>
      <c r="D193" t="s" s="0">
        <v>77</v>
      </c>
      <c r="E193" t="s" s="0">
        <v>4685</v>
      </c>
      <c r="F193" t="s" s="0">
        <v>4686</v>
      </c>
      <c r="G193" t="s" s="0">
        <v>4687</v>
      </c>
      <c r="H193" t="s" s="0">
        <v>81</v>
      </c>
      <c r="I193" t="s" s="0">
        <v>82</v>
      </c>
      <c r="J193" t="s" s="0">
        <v>4688</v>
      </c>
      <c r="K193" t="s" s="0">
        <v>4689</v>
      </c>
      <c r="L193" t="s" s="0">
        <v>4690</v>
      </c>
      <c r="M193" t="s" s="0">
        <v>4691</v>
      </c>
      <c r="N193" t="s" s="0">
        <v>4690</v>
      </c>
      <c r="O193" t="s" s="0">
        <v>4692</v>
      </c>
      <c r="P193" t="s" s="0">
        <v>4693</v>
      </c>
      <c r="Q193" t="s" s="0">
        <v>87</v>
      </c>
      <c r="R193" t="s" s="0">
        <v>81</v>
      </c>
      <c r="S193" t="s" s="0">
        <v>81</v>
      </c>
      <c r="T193" t="s" s="0">
        <v>81</v>
      </c>
      <c r="U193" t="s" s="0">
        <v>81</v>
      </c>
      <c r="V193" t="s" s="0">
        <v>4694</v>
      </c>
      <c r="W193" t="s" s="0">
        <v>4695</v>
      </c>
      <c r="X193" t="s" s="0">
        <v>81</v>
      </c>
      <c r="Y193" t="s" s="0">
        <v>81</v>
      </c>
      <c r="Z193" t="s" s="0">
        <v>90</v>
      </c>
      <c r="AA193" t="s" s="0">
        <v>91</v>
      </c>
      <c r="AB193" t="s" s="0">
        <v>81</v>
      </c>
      <c r="AC193" t="s" s="0">
        <v>81</v>
      </c>
      <c r="AD193" t="s" s="0">
        <v>81</v>
      </c>
      <c r="AE193" t="s" s="0">
        <v>81</v>
      </c>
      <c r="AF193" t="s" s="0">
        <v>81</v>
      </c>
      <c r="AG193" t="s" s="0">
        <v>4696</v>
      </c>
      <c r="AH193" t="s" s="0">
        <v>4697</v>
      </c>
      <c r="AI193" t="s" s="0">
        <v>4698</v>
      </c>
      <c r="AJ193" t="s" s="0">
        <v>4699</v>
      </c>
      <c r="AK193" t="s" s="0">
        <v>81</v>
      </c>
      <c r="AL193" t="s" s="0">
        <v>1442</v>
      </c>
      <c r="AM193" t="s" s="0">
        <v>156</v>
      </c>
      <c r="AN193" t="s" s="0">
        <v>156</v>
      </c>
      <c r="AO193" t="s" s="0">
        <v>196</v>
      </c>
      <c r="AP193" t="s" s="0">
        <v>291</v>
      </c>
      <c r="AQ193" t="s" s="0">
        <v>726</v>
      </c>
      <c r="AR193" t="s" s="0">
        <v>727</v>
      </c>
      <c r="AS193" t="s" s="0">
        <v>728</v>
      </c>
      <c r="AT193" t="s" s="0">
        <v>4700</v>
      </c>
      <c r="AU193" t="s" s="0">
        <v>4701</v>
      </c>
      <c r="AV193" t="s" s="0">
        <v>81</v>
      </c>
      <c r="AW193" t="s" s="0">
        <v>4702</v>
      </c>
      <c r="AX193" t="s" s="0">
        <v>4703</v>
      </c>
      <c r="AY193" t="s" s="0">
        <v>1869</v>
      </c>
      <c r="AZ193" t="s" s="0">
        <v>290</v>
      </c>
      <c r="BA193" t="s" s="0">
        <v>344</v>
      </c>
      <c r="BB193" t="s" s="0">
        <v>133</v>
      </c>
      <c r="BC193" t="s" s="0">
        <v>81</v>
      </c>
      <c r="BD193" t="s" s="0">
        <v>81</v>
      </c>
      <c r="BE193" t="s" s="0">
        <v>81</v>
      </c>
      <c r="BF193" t="s" s="0">
        <v>81</v>
      </c>
      <c r="BG193" t="s" s="0">
        <v>81</v>
      </c>
      <c r="BH193" t="s" s="0">
        <v>81</v>
      </c>
      <c r="BI193" t="s" s="0">
        <v>4704</v>
      </c>
      <c r="BJ193" t="s" s="0">
        <v>4705</v>
      </c>
      <c r="BK193" t="s" s="382">
        <f>HYPERLINK("http://dx.doi.org/10.1111/jep.70216","http://dx.doi.org/10.1111/jep.70216")</f>
        <v>4706</v>
      </c>
      <c r="BL193" t="s" s="0">
        <v>81</v>
      </c>
      <c r="BM193" t="s" s="0">
        <v>81</v>
      </c>
      <c r="BN193" t="s" s="0">
        <v>381</v>
      </c>
      <c r="BO193" t="s" s="0">
        <v>4707</v>
      </c>
      <c r="BP193" t="s" s="0">
        <v>4708</v>
      </c>
      <c r="BQ193" t="s" s="0">
        <v>4709</v>
      </c>
      <c r="BR193" t="s" s="0">
        <v>4710</v>
      </c>
      <c r="BS193" t="s" s="0">
        <v>4711</v>
      </c>
      <c r="BT193" t="s" s="383">
        <f>HYPERLINK("https://www.webofscience.com/wos/woscc/full-record/WOS:001561313900042","View Record in Web of Science")</f>
        <v>114</v>
      </c>
      <c r="BU193" t="s" s="0">
        <v>155</v>
      </c>
      <c r="BV193" t="s" s="0">
        <v>81</v>
      </c>
      <c r="BW193" t="s" s="0">
        <v>81</v>
      </c>
      <c r="BX193" t="s" s="0">
        <v>116</v>
      </c>
    </row>
    <row r="194">
      <c r="A194" t="s" s="0">
        <v>77</v>
      </c>
      <c r="B194" t="s" s="0">
        <v>77</v>
      </c>
      <c r="C194" t="s" s="0">
        <v>77</v>
      </c>
      <c r="D194" t="s" s="0">
        <v>77</v>
      </c>
      <c r="E194" t="s" s="0">
        <v>4712</v>
      </c>
      <c r="F194" t="s" s="0">
        <v>4713</v>
      </c>
      <c r="G194" t="s" s="0">
        <v>4714</v>
      </c>
      <c r="H194" t="s" s="0">
        <v>81</v>
      </c>
      <c r="I194" t="s" s="0">
        <v>528</v>
      </c>
      <c r="J194" t="s" s="0">
        <v>4715</v>
      </c>
      <c r="K194" t="s" s="0">
        <v>4716</v>
      </c>
      <c r="L194" t="s" s="0">
        <v>4717</v>
      </c>
      <c r="M194" t="s" s="0">
        <v>4718</v>
      </c>
      <c r="N194" t="s" s="0">
        <v>4719</v>
      </c>
      <c r="O194" t="s" s="0">
        <v>4720</v>
      </c>
      <c r="P194" t="s" s="0">
        <v>4721</v>
      </c>
      <c r="Q194" t="s" s="0">
        <v>87</v>
      </c>
      <c r="R194" t="s" s="0">
        <v>81</v>
      </c>
      <c r="S194" t="s" s="0">
        <v>81</v>
      </c>
      <c r="T194" t="s" s="0">
        <v>81</v>
      </c>
      <c r="U194" t="s" s="0">
        <v>81</v>
      </c>
      <c r="V194" t="s" s="0">
        <v>4722</v>
      </c>
      <c r="W194" t="s" s="0">
        <v>4723</v>
      </c>
      <c r="X194" t="s" s="0">
        <v>81</v>
      </c>
      <c r="Y194" t="s" s="0">
        <v>81</v>
      </c>
      <c r="Z194" t="s" s="0">
        <v>90</v>
      </c>
      <c r="AA194" t="s" s="0">
        <v>91</v>
      </c>
      <c r="AB194" t="s" s="0">
        <v>81</v>
      </c>
      <c r="AC194" t="s" s="0">
        <v>81</v>
      </c>
      <c r="AD194" t="s" s="0">
        <v>81</v>
      </c>
      <c r="AE194" t="s" s="0">
        <v>81</v>
      </c>
      <c r="AF194" t="s" s="0">
        <v>81</v>
      </c>
      <c r="AG194" t="s" s="0">
        <v>4724</v>
      </c>
      <c r="AH194" t="s" s="0">
        <v>81</v>
      </c>
      <c r="AI194" t="s" s="0">
        <v>81</v>
      </c>
      <c r="AJ194" t="s" s="0">
        <v>81</v>
      </c>
      <c r="AK194" t="s" s="0">
        <v>81</v>
      </c>
      <c r="AL194" t="s" s="0">
        <v>1684</v>
      </c>
      <c r="AM194" t="s" s="0">
        <v>77</v>
      </c>
      <c r="AN194" t="s" s="0">
        <v>97</v>
      </c>
      <c r="AO194" t="s" s="0">
        <v>234</v>
      </c>
      <c r="AP194" t="s" s="0">
        <v>234</v>
      </c>
      <c r="AQ194" t="s" s="0">
        <v>1344</v>
      </c>
      <c r="AR194" t="s" s="0">
        <v>1345</v>
      </c>
      <c r="AS194" t="s" s="0">
        <v>1346</v>
      </c>
      <c r="AT194" t="s" s="0">
        <v>4725</v>
      </c>
      <c r="AU194" t="s" s="0">
        <v>4726</v>
      </c>
      <c r="AV194" t="s" s="0">
        <v>81</v>
      </c>
      <c r="AW194" t="s" s="0">
        <v>4727</v>
      </c>
      <c r="AX194" t="s" s="0">
        <v>4728</v>
      </c>
      <c r="AY194" t="s" s="0">
        <v>3366</v>
      </c>
      <c r="AZ194" t="s" s="0">
        <v>103</v>
      </c>
      <c r="BA194" t="s" s="0">
        <v>4729</v>
      </c>
      <c r="BB194" t="s" s="0">
        <v>81</v>
      </c>
      <c r="BC194" t="s" s="0">
        <v>81</v>
      </c>
      <c r="BD194" t="s" s="0">
        <v>81</v>
      </c>
      <c r="BE194" t="s" s="0">
        <v>81</v>
      </c>
      <c r="BF194" t="s" s="0">
        <v>81</v>
      </c>
      <c r="BG194" t="s" s="0">
        <v>81</v>
      </c>
      <c r="BH194" t="s" s="0">
        <v>81</v>
      </c>
      <c r="BI194" t="s" s="0">
        <v>4730</v>
      </c>
      <c r="BJ194" t="s" s="0">
        <v>4731</v>
      </c>
      <c r="BK194" t="s" s="384">
        <f>HYPERLINK("http://dx.doi.org/10.1016/j.socscimed.2026.119270","http://dx.doi.org/10.1016/j.socscimed.2026.119270")</f>
        <v>4732</v>
      </c>
      <c r="BL194" t="s" s="0">
        <v>81</v>
      </c>
      <c r="BM194" t="s" s="0">
        <v>81</v>
      </c>
      <c r="BN194" t="s" s="0">
        <v>381</v>
      </c>
      <c r="BO194" t="s" s="0">
        <v>4733</v>
      </c>
      <c r="BP194" t="s" s="0">
        <v>4734</v>
      </c>
      <c r="BQ194" t="s" s="0">
        <v>4735</v>
      </c>
      <c r="BR194" t="s" s="0">
        <v>4736</v>
      </c>
      <c r="BS194" t="s" s="0">
        <v>4737</v>
      </c>
      <c r="BT194" t="s" s="385">
        <f>HYPERLINK("https://www.webofscience.com/wos/woscc/full-record/WOS:001745121300001","View Record in Web of Science")</f>
        <v>114</v>
      </c>
      <c r="BU194" t="s" s="0">
        <v>81</v>
      </c>
      <c r="BV194" t="s" s="0">
        <v>81</v>
      </c>
      <c r="BW194" t="s" s="0">
        <v>81</v>
      </c>
      <c r="BX194" t="s" s="0">
        <v>116</v>
      </c>
    </row>
    <row r="195">
      <c r="A195" t="s" s="0">
        <v>77</v>
      </c>
      <c r="B195" t="s" s="0">
        <v>77</v>
      </c>
      <c r="C195" t="s" s="0">
        <v>156</v>
      </c>
      <c r="D195" t="s" s="0">
        <v>77</v>
      </c>
      <c r="E195" t="s" s="0">
        <v>4738</v>
      </c>
      <c r="F195" t="s" s="0">
        <v>4739</v>
      </c>
      <c r="G195" t="s" s="0">
        <v>4740</v>
      </c>
      <c r="H195" t="s" s="0">
        <v>81</v>
      </c>
      <c r="I195" t="s" s="0">
        <v>82</v>
      </c>
      <c r="J195" t="s" s="0">
        <v>4741</v>
      </c>
      <c r="K195" t="s" s="0">
        <v>4742</v>
      </c>
      <c r="L195" t="s" s="0">
        <v>81</v>
      </c>
      <c r="M195" t="s" s="0">
        <v>81</v>
      </c>
      <c r="N195" t="s" s="0">
        <v>81</v>
      </c>
      <c r="O195" t="s" s="0">
        <v>4743</v>
      </c>
      <c r="P195" t="s" s="0">
        <v>4744</v>
      </c>
      <c r="Q195" t="s" s="0">
        <v>87</v>
      </c>
      <c r="R195" t="s" s="0">
        <v>81</v>
      </c>
      <c r="S195" t="s" s="0">
        <v>81</v>
      </c>
      <c r="T195" t="s" s="0">
        <v>81</v>
      </c>
      <c r="U195" t="s" s="0">
        <v>81</v>
      </c>
      <c r="V195" t="s" s="0">
        <v>4745</v>
      </c>
      <c r="W195" t="s" s="0">
        <v>4746</v>
      </c>
      <c r="X195" t="s" s="0">
        <v>81</v>
      </c>
      <c r="Y195" t="s" s="0">
        <v>81</v>
      </c>
      <c r="Z195" t="s" s="0">
        <v>90</v>
      </c>
      <c r="AA195" t="s" s="0">
        <v>91</v>
      </c>
      <c r="AB195" t="s" s="0">
        <v>81</v>
      </c>
      <c r="AC195" t="s" s="0">
        <v>81</v>
      </c>
      <c r="AD195" t="s" s="0">
        <v>81</v>
      </c>
      <c r="AE195" t="s" s="0">
        <v>81</v>
      </c>
      <c r="AF195" t="s" s="0">
        <v>81</v>
      </c>
      <c r="AG195" t="s" s="0">
        <v>4747</v>
      </c>
      <c r="AH195" t="s" s="0">
        <v>81</v>
      </c>
      <c r="AI195" t="s" s="0">
        <v>4748</v>
      </c>
      <c r="AJ195" t="s" s="0">
        <v>4749</v>
      </c>
      <c r="AK195" t="s" s="0">
        <v>81</v>
      </c>
      <c r="AL195" t="s" s="0">
        <v>295</v>
      </c>
      <c r="AM195" t="s" s="0">
        <v>486</v>
      </c>
      <c r="AN195" t="s" s="0">
        <v>486</v>
      </c>
      <c r="AO195" t="s" s="0">
        <v>381</v>
      </c>
      <c r="AP195" t="s" s="0">
        <v>104</v>
      </c>
      <c r="AQ195" t="s" s="0">
        <v>3734</v>
      </c>
      <c r="AR195" t="s" s="0">
        <v>604</v>
      </c>
      <c r="AS195" t="s" s="0">
        <v>3735</v>
      </c>
      <c r="AT195" t="s" s="0">
        <v>4750</v>
      </c>
      <c r="AU195" t="s" s="0">
        <v>4751</v>
      </c>
      <c r="AV195" t="s" s="0">
        <v>81</v>
      </c>
      <c r="AW195" t="s" s="0">
        <v>4746</v>
      </c>
      <c r="AX195" t="s" s="0">
        <v>4752</v>
      </c>
      <c r="AY195" t="s" s="0">
        <v>4753</v>
      </c>
      <c r="AZ195" t="s" s="0">
        <v>290</v>
      </c>
      <c r="BA195" t="s" s="0">
        <v>4754</v>
      </c>
      <c r="BB195" t="s" s="0">
        <v>210</v>
      </c>
      <c r="BC195" t="s" s="0">
        <v>81</v>
      </c>
      <c r="BD195" t="s" s="0">
        <v>81</v>
      </c>
      <c r="BE195" t="s" s="0">
        <v>81</v>
      </c>
      <c r="BF195" t="s" s="0">
        <v>81</v>
      </c>
      <c r="BG195" t="s" s="0">
        <v>81</v>
      </c>
      <c r="BH195" t="s" s="0">
        <v>81</v>
      </c>
      <c r="BI195" t="s" s="0">
        <v>4755</v>
      </c>
      <c r="BJ195" t="s" s="0">
        <v>4756</v>
      </c>
      <c r="BK195" t="s" s="386">
        <f>HYPERLINK("http://dx.doi.org/10.1097/MD.0000000000042667","http://dx.doi.org/10.1097/MD.0000000000042667")</f>
        <v>4757</v>
      </c>
      <c r="BL195" t="s" s="0">
        <v>81</v>
      </c>
      <c r="BM195" t="s" s="0">
        <v>81</v>
      </c>
      <c r="BN195" t="s" s="0">
        <v>104</v>
      </c>
      <c r="BO195" t="s" s="0">
        <v>296</v>
      </c>
      <c r="BP195" t="s" s="0">
        <v>297</v>
      </c>
      <c r="BQ195" t="s" s="0">
        <v>4758</v>
      </c>
      <c r="BR195" t="s" s="0">
        <v>4759</v>
      </c>
      <c r="BS195" t="s" s="0">
        <v>4760</v>
      </c>
      <c r="BT195" t="s" s="387">
        <f>HYPERLINK("https://www.webofscience.com/wos/woscc/full-record/WOS:001498916000013","View Record in Web of Science")</f>
        <v>114</v>
      </c>
      <c r="BU195" t="s" s="0">
        <v>301</v>
      </c>
      <c r="BV195" t="s" s="0">
        <v>81</v>
      </c>
      <c r="BW195" t="s" s="0">
        <v>81</v>
      </c>
      <c r="BX195" t="s" s="0">
        <v>116</v>
      </c>
    </row>
    <row r="196">
      <c r="A196" t="s" s="0">
        <v>175</v>
      </c>
      <c r="B196" t="s" s="0">
        <v>77</v>
      </c>
      <c r="C196" t="s" s="0">
        <v>316</v>
      </c>
      <c r="D196" t="s" s="0">
        <v>77</v>
      </c>
      <c r="E196" t="s" s="0">
        <v>4761</v>
      </c>
      <c r="F196" t="s" s="0">
        <v>4762</v>
      </c>
      <c r="G196" t="s" s="0">
        <v>4763</v>
      </c>
      <c r="H196" t="s" s="0">
        <v>81</v>
      </c>
      <c r="I196" t="s" s="0">
        <v>82</v>
      </c>
      <c r="J196" t="s" s="0">
        <v>4764</v>
      </c>
      <c r="K196" t="s" s="0">
        <v>4765</v>
      </c>
      <c r="L196" t="s" s="0">
        <v>81</v>
      </c>
      <c r="M196" t="s" s="0">
        <v>81</v>
      </c>
      <c r="N196" t="s" s="0">
        <v>4766</v>
      </c>
      <c r="O196" t="s" s="0">
        <v>4767</v>
      </c>
      <c r="P196" t="s" s="0">
        <v>4768</v>
      </c>
      <c r="Q196" t="s" s="0">
        <v>87</v>
      </c>
      <c r="R196" t="s" s="0">
        <v>81</v>
      </c>
      <c r="S196" t="s" s="0">
        <v>81</v>
      </c>
      <c r="T196" t="s" s="0">
        <v>81</v>
      </c>
      <c r="U196" t="s" s="0">
        <v>81</v>
      </c>
      <c r="V196" t="s" s="0">
        <v>4769</v>
      </c>
      <c r="W196" t="s" s="0">
        <v>3058</v>
      </c>
      <c r="X196" t="s" s="0">
        <v>81</v>
      </c>
      <c r="Y196" t="s" s="0">
        <v>81</v>
      </c>
      <c r="Z196" t="s" s="0">
        <v>90</v>
      </c>
      <c r="AA196" t="s" s="0">
        <v>91</v>
      </c>
      <c r="AB196" t="s" s="0">
        <v>81</v>
      </c>
      <c r="AC196" t="s" s="0">
        <v>81</v>
      </c>
      <c r="AD196" t="s" s="0">
        <v>81</v>
      </c>
      <c r="AE196" t="s" s="0">
        <v>81</v>
      </c>
      <c r="AF196" t="s" s="0">
        <v>81</v>
      </c>
      <c r="AG196" t="s" s="0">
        <v>4770</v>
      </c>
      <c r="AH196" t="s" s="0">
        <v>4771</v>
      </c>
      <c r="AI196" t="s" s="0">
        <v>4772</v>
      </c>
      <c r="AJ196" t="s" s="0">
        <v>4773</v>
      </c>
      <c r="AK196" t="s" s="0">
        <v>81</v>
      </c>
      <c r="AL196" t="s" s="0">
        <v>1049</v>
      </c>
      <c r="AM196" t="s" s="0">
        <v>104</v>
      </c>
      <c r="AN196" t="s" s="0">
        <v>367</v>
      </c>
      <c r="AO196" t="s" s="0">
        <v>175</v>
      </c>
      <c r="AP196" t="s" s="0">
        <v>210</v>
      </c>
      <c r="AQ196" t="s" s="0">
        <v>3061</v>
      </c>
      <c r="AR196" t="s" s="0">
        <v>3062</v>
      </c>
      <c r="AS196" t="s" s="0">
        <v>3063</v>
      </c>
      <c r="AT196" t="s" s="0">
        <v>3064</v>
      </c>
      <c r="AU196" t="s" s="0">
        <v>3065</v>
      </c>
      <c r="AV196" t="s" s="0">
        <v>81</v>
      </c>
      <c r="AW196" t="s" s="0">
        <v>3066</v>
      </c>
      <c r="AX196" t="s" s="0">
        <v>3067</v>
      </c>
      <c r="AY196" t="s" s="0">
        <v>4774</v>
      </c>
      <c r="AZ196" t="s" s="0">
        <v>185</v>
      </c>
      <c r="BA196" t="s" s="0">
        <v>228</v>
      </c>
      <c r="BB196" t="s" s="0">
        <v>81</v>
      </c>
      <c r="BC196" t="s" s="0">
        <v>81</v>
      </c>
      <c r="BD196" t="s" s="0">
        <v>81</v>
      </c>
      <c r="BE196" t="s" s="0">
        <v>81</v>
      </c>
      <c r="BF196" t="s" s="0">
        <v>81</v>
      </c>
      <c r="BG196" t="s" s="0">
        <v>81</v>
      </c>
      <c r="BH196" t="s" s="0">
        <v>81</v>
      </c>
      <c r="BI196" t="s" s="0">
        <v>4775</v>
      </c>
      <c r="BJ196" t="s" s="0">
        <v>4776</v>
      </c>
      <c r="BK196" t="s" s="388">
        <f>HYPERLINK("http://dx.doi.org/10.2196/51706","http://dx.doi.org/10.2196/51706")</f>
        <v>4777</v>
      </c>
      <c r="BL196" t="s" s="0">
        <v>81</v>
      </c>
      <c r="BM196" t="s" s="0">
        <v>81</v>
      </c>
      <c r="BN196" t="s" s="0">
        <v>874</v>
      </c>
      <c r="BO196" t="s" s="0">
        <v>792</v>
      </c>
      <c r="BP196" t="s" s="0">
        <v>792</v>
      </c>
      <c r="BQ196" t="s" s="0">
        <v>4778</v>
      </c>
      <c r="BR196" t="s" s="0">
        <v>4779</v>
      </c>
      <c r="BS196" t="s" s="0">
        <v>4780</v>
      </c>
      <c r="BT196" t="s" s="389">
        <f>HYPERLINK("https://www.webofscience.com/wos/woscc/full-record/WOS:001305996500003","View Record in Web of Science")</f>
        <v>114</v>
      </c>
      <c r="BU196" t="s" s="0">
        <v>301</v>
      </c>
      <c r="BV196" t="s" s="0">
        <v>81</v>
      </c>
      <c r="BW196" t="s" s="0">
        <v>81</v>
      </c>
      <c r="BX196" t="s" s="0">
        <v>116</v>
      </c>
    </row>
    <row r="197">
      <c r="A197" t="s" s="0">
        <v>77</v>
      </c>
      <c r="B197" t="s" s="0">
        <v>77</v>
      </c>
      <c r="C197" t="s" s="0">
        <v>77</v>
      </c>
      <c r="D197" t="s" s="0">
        <v>77</v>
      </c>
      <c r="E197" t="s" s="0">
        <v>4781</v>
      </c>
      <c r="F197" t="s" s="0">
        <v>4782</v>
      </c>
      <c r="G197" t="s" s="0">
        <v>4783</v>
      </c>
      <c r="H197" t="s" s="0">
        <v>81</v>
      </c>
      <c r="I197" t="s" s="0">
        <v>82</v>
      </c>
      <c r="J197" t="s" s="0">
        <v>4784</v>
      </c>
      <c r="K197" t="s" s="0">
        <v>4785</v>
      </c>
      <c r="L197" t="s" s="0">
        <v>81</v>
      </c>
      <c r="M197" t="s" s="0">
        <v>81</v>
      </c>
      <c r="N197" t="s" s="0">
        <v>81</v>
      </c>
      <c r="O197" t="s" s="0">
        <v>4786</v>
      </c>
      <c r="P197" t="s" s="0">
        <v>4787</v>
      </c>
      <c r="Q197" t="s" s="0">
        <v>87</v>
      </c>
      <c r="R197" t="s" s="0">
        <v>81</v>
      </c>
      <c r="S197" t="s" s="0">
        <v>81</v>
      </c>
      <c r="T197" t="s" s="0">
        <v>81</v>
      </c>
      <c r="U197" t="s" s="0">
        <v>81</v>
      </c>
      <c r="V197" t="s" s="0">
        <v>4788</v>
      </c>
      <c r="W197" t="s" s="0">
        <v>4789</v>
      </c>
      <c r="X197" t="s" s="0">
        <v>81</v>
      </c>
      <c r="Y197" t="s" s="0">
        <v>81</v>
      </c>
      <c r="Z197" t="s" s="0">
        <v>90</v>
      </c>
      <c r="AA197" t="s" s="0">
        <v>91</v>
      </c>
      <c r="AB197" t="s" s="0">
        <v>81</v>
      </c>
      <c r="AC197" t="s" s="0">
        <v>81</v>
      </c>
      <c r="AD197" t="s" s="0">
        <v>81</v>
      </c>
      <c r="AE197" t="s" s="0">
        <v>81</v>
      </c>
      <c r="AF197" t="s" s="0">
        <v>81</v>
      </c>
      <c r="AG197" t="s" s="0">
        <v>4790</v>
      </c>
      <c r="AH197" t="s" s="0">
        <v>4791</v>
      </c>
      <c r="AI197" t="s" s="0">
        <v>4792</v>
      </c>
      <c r="AJ197" t="s" s="0">
        <v>4793</v>
      </c>
      <c r="AK197" t="s" s="0">
        <v>81</v>
      </c>
      <c r="AL197" t="s" s="0">
        <v>874</v>
      </c>
      <c r="AM197" t="s" s="0">
        <v>77</v>
      </c>
      <c r="AN197" t="s" s="0">
        <v>77</v>
      </c>
      <c r="AO197" t="s" s="0">
        <v>77</v>
      </c>
      <c r="AP197" t="s" s="0">
        <v>77</v>
      </c>
      <c r="AQ197" t="s" s="0">
        <v>1809</v>
      </c>
      <c r="AR197" t="s" s="0">
        <v>1810</v>
      </c>
      <c r="AS197" t="s" s="0">
        <v>1811</v>
      </c>
      <c r="AT197" t="s" s="0">
        <v>4794</v>
      </c>
      <c r="AU197" t="s" s="0">
        <v>4795</v>
      </c>
      <c r="AV197" t="s" s="0">
        <v>81</v>
      </c>
      <c r="AW197" t="s" s="0">
        <v>4796</v>
      </c>
      <c r="AX197" t="s" s="0">
        <v>4797</v>
      </c>
      <c r="AY197" t="s" s="0">
        <v>4798</v>
      </c>
      <c r="AZ197" t="s" s="0">
        <v>103</v>
      </c>
      <c r="BA197" t="s" s="0">
        <v>399</v>
      </c>
      <c r="BB197" t="s" s="0">
        <v>234</v>
      </c>
      <c r="BC197" t="s" s="0">
        <v>81</v>
      </c>
      <c r="BD197" t="s" s="0">
        <v>81</v>
      </c>
      <c r="BE197" t="s" s="0">
        <v>81</v>
      </c>
      <c r="BF197" t="s" s="0">
        <v>81</v>
      </c>
      <c r="BG197" t="s" s="0">
        <v>4799</v>
      </c>
      <c r="BH197" t="s" s="0">
        <v>4800</v>
      </c>
      <c r="BI197" t="s" s="0">
        <v>81</v>
      </c>
      <c r="BJ197" t="s" s="0">
        <v>4801</v>
      </c>
      <c r="BK197" t="s" s="390">
        <f>HYPERLINK("http://dx.doi.org/10.1177/08927790261441731","http://dx.doi.org/10.1177/08927790261441731")</f>
        <v>4802</v>
      </c>
      <c r="BL197" t="s" s="0">
        <v>81</v>
      </c>
      <c r="BM197" t="s" s="0">
        <v>948</v>
      </c>
      <c r="BN197" t="s" s="0">
        <v>381</v>
      </c>
      <c r="BO197" t="s" s="0">
        <v>2334</v>
      </c>
      <c r="BP197" t="s" s="0">
        <v>2334</v>
      </c>
      <c r="BQ197" t="s" s="0">
        <v>4803</v>
      </c>
      <c r="BR197" t="s" s="0">
        <v>4804</v>
      </c>
      <c r="BS197" t="s" s="0">
        <v>4805</v>
      </c>
      <c r="BT197" t="s" s="391">
        <f>HYPERLINK("https://www.webofscience.com/wos/woscc/full-record/WOS:001740678800001","View Record in Web of Science")</f>
        <v>114</v>
      </c>
      <c r="BU197" t="s" s="0">
        <v>81</v>
      </c>
      <c r="BV197" t="s" s="0">
        <v>81</v>
      </c>
      <c r="BW197" t="s" s="0">
        <v>81</v>
      </c>
      <c r="BX197" t="s" s="0">
        <v>116</v>
      </c>
    </row>
    <row r="198">
      <c r="A198" t="s" s="0">
        <v>77</v>
      </c>
      <c r="B198" t="s" s="0">
        <v>77</v>
      </c>
      <c r="C198" t="s" s="0">
        <v>77</v>
      </c>
      <c r="D198" t="s" s="0">
        <v>77</v>
      </c>
      <c r="E198" t="s" s="0">
        <v>4806</v>
      </c>
      <c r="F198" t="s" s="0">
        <v>4807</v>
      </c>
      <c r="G198" t="s" s="0">
        <v>4808</v>
      </c>
      <c r="H198" t="s" s="0">
        <v>81</v>
      </c>
      <c r="I198" t="s" s="0">
        <v>82</v>
      </c>
      <c r="J198" t="s" s="0">
        <v>4809</v>
      </c>
      <c r="K198" t="s" s="0">
        <v>4810</v>
      </c>
      <c r="L198" t="s" s="0">
        <v>4811</v>
      </c>
      <c r="M198" t="s" s="0">
        <v>4812</v>
      </c>
      <c r="N198" t="s" s="0">
        <v>4813</v>
      </c>
      <c r="O198" t="s" s="0">
        <v>4814</v>
      </c>
      <c r="P198" t="s" s="0">
        <v>4815</v>
      </c>
      <c r="Q198" t="s" s="0">
        <v>87</v>
      </c>
      <c r="R198" t="s" s="0">
        <v>81</v>
      </c>
      <c r="S198" t="s" s="0">
        <v>81</v>
      </c>
      <c r="T198" t="s" s="0">
        <v>81</v>
      </c>
      <c r="U198" t="s" s="0">
        <v>81</v>
      </c>
      <c r="V198" t="s" s="0">
        <v>4816</v>
      </c>
      <c r="W198" t="s" s="0">
        <v>4817</v>
      </c>
      <c r="X198" t="s" s="0">
        <v>81</v>
      </c>
      <c r="Y198" t="s" s="0">
        <v>81</v>
      </c>
      <c r="Z198" t="s" s="0">
        <v>90</v>
      </c>
      <c r="AA198" t="s" s="0">
        <v>91</v>
      </c>
      <c r="AB198" t="s" s="0">
        <v>81</v>
      </c>
      <c r="AC198" t="s" s="0">
        <v>81</v>
      </c>
      <c r="AD198" t="s" s="0">
        <v>81</v>
      </c>
      <c r="AE198" t="s" s="0">
        <v>81</v>
      </c>
      <c r="AF198" t="s" s="0">
        <v>81</v>
      </c>
      <c r="AG198" t="s" s="0">
        <v>4818</v>
      </c>
      <c r="AH198" t="s" s="0">
        <v>81</v>
      </c>
      <c r="AI198" t="s" s="0">
        <v>4819</v>
      </c>
      <c r="AJ198" t="s" s="0">
        <v>81</v>
      </c>
      <c r="AK198" t="s" s="0">
        <v>81</v>
      </c>
      <c r="AL198" t="s" s="0">
        <v>109</v>
      </c>
      <c r="AM198" t="s" s="0">
        <v>97</v>
      </c>
      <c r="AN198" t="s" s="0">
        <v>97</v>
      </c>
      <c r="AO198" t="s" s="0">
        <v>196</v>
      </c>
      <c r="AP198" t="s" s="0">
        <v>196</v>
      </c>
      <c r="AQ198" t="s" s="0">
        <v>4820</v>
      </c>
      <c r="AR198" t="s" s="0">
        <v>4821</v>
      </c>
      <c r="AS198" t="s" s="0">
        <v>4822</v>
      </c>
      <c r="AT198" t="s" s="0">
        <v>4823</v>
      </c>
      <c r="AU198" t="s" s="0">
        <v>4824</v>
      </c>
      <c r="AV198" t="s" s="0">
        <v>81</v>
      </c>
      <c r="AW198" t="s" s="0">
        <v>4825</v>
      </c>
      <c r="AX198" t="s" s="0">
        <v>4826</v>
      </c>
      <c r="AY198" t="s" s="0">
        <v>103</v>
      </c>
      <c r="AZ198" t="s" s="0">
        <v>103</v>
      </c>
      <c r="BA198" t="s" s="0">
        <v>109</v>
      </c>
      <c r="BB198" t="s" s="0">
        <v>97</v>
      </c>
      <c r="BC198" t="s" s="0">
        <v>81</v>
      </c>
      <c r="BD198" t="s" s="0">
        <v>81</v>
      </c>
      <c r="BE198" t="s" s="0">
        <v>81</v>
      </c>
      <c r="BF198" t="s" s="0">
        <v>81</v>
      </c>
      <c r="BG198" t="s" s="0">
        <v>81</v>
      </c>
      <c r="BH198" t="s" s="0">
        <v>81</v>
      </c>
      <c r="BI198" t="s" s="0">
        <v>81</v>
      </c>
      <c r="BJ198" t="s" s="0">
        <v>4827</v>
      </c>
      <c r="BK198" t="s" s="392">
        <f>HYPERLINK("http://dx.doi.org/10.2463/mrms.mp.2025-0107","http://dx.doi.org/10.2463/mrms.mp.2025-0107")</f>
        <v>4828</v>
      </c>
      <c r="BL198" t="s" s="0">
        <v>81</v>
      </c>
      <c r="BM198" t="s" s="0">
        <v>2108</v>
      </c>
      <c r="BN198" t="s" s="0">
        <v>191</v>
      </c>
      <c r="BO198" t="s" s="0">
        <v>738</v>
      </c>
      <c r="BP198" t="s" s="0">
        <v>738</v>
      </c>
      <c r="BQ198" t="s" s="0">
        <v>4829</v>
      </c>
      <c r="BR198" t="s" s="0">
        <v>4830</v>
      </c>
      <c r="BS198" t="s" s="0">
        <v>4831</v>
      </c>
      <c r="BT198" t="s" s="393">
        <f>HYPERLINK("https://www.webofscience.com/wos/woscc/full-record/WOS:001687016400001","View Record in Web of Science")</f>
        <v>114</v>
      </c>
      <c r="BU198" t="s" s="0">
        <v>301</v>
      </c>
      <c r="BV198" t="s" s="0">
        <v>81</v>
      </c>
      <c r="BW198" t="s" s="0">
        <v>81</v>
      </c>
      <c r="BX198" t="s" s="0">
        <v>116</v>
      </c>
    </row>
    <row r="199">
      <c r="A199" t="s" s="0">
        <v>77</v>
      </c>
      <c r="B199" t="s" s="0">
        <v>77</v>
      </c>
      <c r="C199" t="s" s="0">
        <v>77</v>
      </c>
      <c r="D199" t="s" s="0">
        <v>77</v>
      </c>
      <c r="E199" t="s" s="0">
        <v>4832</v>
      </c>
      <c r="F199" t="s" s="0">
        <v>4833</v>
      </c>
      <c r="G199" t="s" s="0">
        <v>4834</v>
      </c>
      <c r="H199" t="s" s="0">
        <v>81</v>
      </c>
      <c r="I199" t="s" s="0">
        <v>82</v>
      </c>
      <c r="J199" t="s" s="0">
        <v>4835</v>
      </c>
      <c r="K199" t="s" s="0">
        <v>4836</v>
      </c>
      <c r="L199" t="s" s="0">
        <v>81</v>
      </c>
      <c r="M199" t="s" s="0">
        <v>81</v>
      </c>
      <c r="N199" t="s" s="0">
        <v>81</v>
      </c>
      <c r="O199" t="s" s="0">
        <v>4837</v>
      </c>
      <c r="P199" t="s" s="0">
        <v>4838</v>
      </c>
      <c r="Q199" t="s" s="0">
        <v>87</v>
      </c>
      <c r="R199" t="s" s="0">
        <v>81</v>
      </c>
      <c r="S199" t="s" s="0">
        <v>81</v>
      </c>
      <c r="T199" t="s" s="0">
        <v>81</v>
      </c>
      <c r="U199" t="s" s="0">
        <v>81</v>
      </c>
      <c r="V199" t="s" s="0">
        <v>4839</v>
      </c>
      <c r="W199" t="s" s="0">
        <v>1313</v>
      </c>
      <c r="X199" t="s" s="0">
        <v>81</v>
      </c>
      <c r="Y199" t="s" s="0">
        <v>81</v>
      </c>
      <c r="Z199" t="s" s="0">
        <v>90</v>
      </c>
      <c r="AA199" t="s" s="0">
        <v>91</v>
      </c>
      <c r="AB199" t="s" s="0">
        <v>81</v>
      </c>
      <c r="AC199" t="s" s="0">
        <v>81</v>
      </c>
      <c r="AD199" t="s" s="0">
        <v>81</v>
      </c>
      <c r="AE199" t="s" s="0">
        <v>81</v>
      </c>
      <c r="AF199" t="s" s="0">
        <v>81</v>
      </c>
      <c r="AG199" t="s" s="0">
        <v>81</v>
      </c>
      <c r="AH199" t="s" s="0">
        <v>4840</v>
      </c>
      <c r="AI199" t="s" s="0">
        <v>4841</v>
      </c>
      <c r="AJ199" t="s" s="0">
        <v>4842</v>
      </c>
      <c r="AK199" t="s" s="0">
        <v>81</v>
      </c>
      <c r="AL199" t="s" s="0">
        <v>1912</v>
      </c>
      <c r="AM199" t="s" s="0">
        <v>196</v>
      </c>
      <c r="AN199" t="s" s="0">
        <v>196</v>
      </c>
      <c r="AO199" t="s" s="0">
        <v>77</v>
      </c>
      <c r="AP199" t="s" s="0">
        <v>97</v>
      </c>
      <c r="AQ199" t="s" s="0">
        <v>1317</v>
      </c>
      <c r="AR199" t="s" s="0">
        <v>1318</v>
      </c>
      <c r="AS199" t="s" s="0">
        <v>1319</v>
      </c>
      <c r="AT199" t="s" s="0">
        <v>81</v>
      </c>
      <c r="AU199" t="s" s="0">
        <v>1320</v>
      </c>
      <c r="AV199" t="s" s="0">
        <v>81</v>
      </c>
      <c r="AW199" t="s" s="0">
        <v>1313</v>
      </c>
      <c r="AX199" t="s" s="0">
        <v>1321</v>
      </c>
      <c r="AY199" t="s" s="0">
        <v>290</v>
      </c>
      <c r="AZ199" t="s" s="0">
        <v>290</v>
      </c>
      <c r="BA199" t="s" s="0">
        <v>295</v>
      </c>
      <c r="BB199" t="s" s="0">
        <v>133</v>
      </c>
      <c r="BC199" t="s" s="0">
        <v>81</v>
      </c>
      <c r="BD199" t="s" s="0">
        <v>81</v>
      </c>
      <c r="BE199" t="s" s="0">
        <v>81</v>
      </c>
      <c r="BF199" t="s" s="0">
        <v>81</v>
      </c>
      <c r="BG199" t="s" s="0">
        <v>81</v>
      </c>
      <c r="BH199" t="s" s="0">
        <v>81</v>
      </c>
      <c r="BI199" t="s" s="0">
        <v>4843</v>
      </c>
      <c r="BJ199" t="s" s="0">
        <v>4844</v>
      </c>
      <c r="BK199" t="s" s="394">
        <f>HYPERLINK("http://dx.doi.org/10.1371/journal.pone.0322607","http://dx.doi.org/10.1371/journal.pone.0322607")</f>
        <v>4845</v>
      </c>
      <c r="BL199" t="s" s="0">
        <v>81</v>
      </c>
      <c r="BM199" t="s" s="0">
        <v>81</v>
      </c>
      <c r="BN199" t="s" s="0">
        <v>874</v>
      </c>
      <c r="BO199" t="s" s="0">
        <v>926</v>
      </c>
      <c r="BP199" t="s" s="0">
        <v>927</v>
      </c>
      <c r="BQ199" t="s" s="0">
        <v>4846</v>
      </c>
      <c r="BR199" t="s" s="0">
        <v>4847</v>
      </c>
      <c r="BS199" t="s" s="0">
        <v>4848</v>
      </c>
      <c r="BT199" t="s" s="395">
        <f>HYPERLINK("https://www.webofscience.com/wos/woscc/full-record/WOS:001494468100014","View Record in Web of Science")</f>
        <v>114</v>
      </c>
      <c r="BU199" t="s" s="0">
        <v>301</v>
      </c>
      <c r="BV199" t="s" s="0">
        <v>81</v>
      </c>
      <c r="BW199" t="s" s="0">
        <v>81</v>
      </c>
      <c r="BX199" t="s" s="0">
        <v>116</v>
      </c>
    </row>
    <row r="200">
      <c r="A200" t="s" s="0">
        <v>77</v>
      </c>
      <c r="B200" t="s" s="0">
        <v>77</v>
      </c>
      <c r="C200" t="s" s="0">
        <v>77</v>
      </c>
      <c r="D200" t="s" s="0">
        <v>77</v>
      </c>
      <c r="E200" t="s" s="0">
        <v>4849</v>
      </c>
      <c r="F200" t="s" s="0">
        <v>4850</v>
      </c>
      <c r="G200" t="s" s="0">
        <v>4851</v>
      </c>
      <c r="H200" t="s" s="0">
        <v>81</v>
      </c>
      <c r="I200" t="s" s="0">
        <v>82</v>
      </c>
      <c r="J200" t="s" s="0">
        <v>4852</v>
      </c>
      <c r="K200" t="s" s="0">
        <v>4853</v>
      </c>
      <c r="L200" t="s" s="0">
        <v>81</v>
      </c>
      <c r="M200" t="s" s="0">
        <v>81</v>
      </c>
      <c r="N200" t="s" s="0">
        <v>81</v>
      </c>
      <c r="O200" t="s" s="0">
        <v>4854</v>
      </c>
      <c r="P200" t="s" s="0">
        <v>4855</v>
      </c>
      <c r="Q200" t="s" s="0">
        <v>87</v>
      </c>
      <c r="R200" t="s" s="0">
        <v>81</v>
      </c>
      <c r="S200" t="s" s="0">
        <v>81</v>
      </c>
      <c r="T200" t="s" s="0">
        <v>81</v>
      </c>
      <c r="U200" t="s" s="0">
        <v>81</v>
      </c>
      <c r="V200" t="s" s="0">
        <v>4856</v>
      </c>
      <c r="W200" t="s" s="0">
        <v>4857</v>
      </c>
      <c r="X200" t="s" s="0">
        <v>81</v>
      </c>
      <c r="Y200" t="s" s="0">
        <v>81</v>
      </c>
      <c r="Z200" t="s" s="0">
        <v>90</v>
      </c>
      <c r="AA200" t="s" s="0">
        <v>91</v>
      </c>
      <c r="AB200" t="s" s="0">
        <v>81</v>
      </c>
      <c r="AC200" t="s" s="0">
        <v>81</v>
      </c>
      <c r="AD200" t="s" s="0">
        <v>81</v>
      </c>
      <c r="AE200" t="s" s="0">
        <v>81</v>
      </c>
      <c r="AF200" t="s" s="0">
        <v>81</v>
      </c>
      <c r="AG200" t="s" s="0">
        <v>4858</v>
      </c>
      <c r="AH200" t="s" s="0">
        <v>81</v>
      </c>
      <c r="AI200" t="s" s="0">
        <v>4859</v>
      </c>
      <c r="AJ200" t="s" s="0">
        <v>4860</v>
      </c>
      <c r="AK200" t="s" s="0">
        <v>81</v>
      </c>
      <c r="AL200" t="s" s="0">
        <v>295</v>
      </c>
      <c r="AM200" t="s" s="0">
        <v>156</v>
      </c>
      <c r="AN200" t="s" s="0">
        <v>196</v>
      </c>
      <c r="AO200" t="s" s="0">
        <v>156</v>
      </c>
      <c r="AP200" t="s" s="0">
        <v>156</v>
      </c>
      <c r="AQ200" t="s" s="0">
        <v>98</v>
      </c>
      <c r="AR200" t="s" s="0">
        <v>99</v>
      </c>
      <c r="AS200" t="s" s="0">
        <v>100</v>
      </c>
      <c r="AT200" t="s" s="0">
        <v>4861</v>
      </c>
      <c r="AU200" t="s" s="0">
        <v>4862</v>
      </c>
      <c r="AV200" t="s" s="0">
        <v>81</v>
      </c>
      <c r="AW200" t="s" s="0">
        <v>4863</v>
      </c>
      <c r="AX200" t="s" s="0">
        <v>4864</v>
      </c>
      <c r="AY200" t="s" s="0">
        <v>2108</v>
      </c>
      <c r="AZ200" t="s" s="0">
        <v>103</v>
      </c>
      <c r="BA200" t="s" s="0">
        <v>4581</v>
      </c>
      <c r="BB200" t="s" s="0">
        <v>97</v>
      </c>
      <c r="BC200" t="s" s="0">
        <v>81</v>
      </c>
      <c r="BD200" t="s" s="0">
        <v>81</v>
      </c>
      <c r="BE200" t="s" s="0">
        <v>81</v>
      </c>
      <c r="BF200" t="s" s="0">
        <v>81</v>
      </c>
      <c r="BG200" t="s" s="0">
        <v>4865</v>
      </c>
      <c r="BH200" t="s" s="0">
        <v>4866</v>
      </c>
      <c r="BI200" t="s" s="0">
        <v>81</v>
      </c>
      <c r="BJ200" t="s" s="0">
        <v>4867</v>
      </c>
      <c r="BK200" t="s" s="396">
        <f>HYPERLINK("http://dx.doi.org/10.1109/TCE.2026.3651019","http://dx.doi.org/10.1109/TCE.2026.3651019")</f>
        <v>4868</v>
      </c>
      <c r="BL200" t="s" s="0">
        <v>81</v>
      </c>
      <c r="BM200" t="s" s="0">
        <v>81</v>
      </c>
      <c r="BN200" t="s" s="0">
        <v>381</v>
      </c>
      <c r="BO200" t="s" s="0">
        <v>1124</v>
      </c>
      <c r="BP200" t="s" s="0">
        <v>1125</v>
      </c>
      <c r="BQ200" t="s" s="0">
        <v>4869</v>
      </c>
      <c r="BR200" t="s" s="0">
        <v>81</v>
      </c>
      <c r="BS200" t="s" s="0">
        <v>4870</v>
      </c>
      <c r="BT200" t="s" s="397">
        <f>HYPERLINK("https://www.webofscience.com/wos/woscc/full-record/WOS:001723038400002","View Record in Web of Science")</f>
        <v>114</v>
      </c>
      <c r="BU200" t="s" s="0">
        <v>81</v>
      </c>
      <c r="BV200" t="s" s="0">
        <v>81</v>
      </c>
      <c r="BW200" t="s" s="0">
        <v>81</v>
      </c>
      <c r="BX200" t="s" s="0">
        <v>116</v>
      </c>
    </row>
    <row r="201">
      <c r="A201" t="s" s="0">
        <v>77</v>
      </c>
      <c r="B201" t="s" s="0">
        <v>77</v>
      </c>
      <c r="C201" t="s" s="0">
        <v>77</v>
      </c>
      <c r="D201" t="s" s="0">
        <v>77</v>
      </c>
      <c r="E201" t="s" s="0">
        <v>4871</v>
      </c>
      <c r="F201" t="s" s="0">
        <v>4872</v>
      </c>
      <c r="G201" t="s" s="0">
        <v>4873</v>
      </c>
      <c r="H201" t="s" s="0">
        <v>81</v>
      </c>
      <c r="I201" t="s" s="0">
        <v>238</v>
      </c>
      <c r="J201" t="s" s="0">
        <v>4874</v>
      </c>
      <c r="K201" t="s" s="0">
        <v>4875</v>
      </c>
      <c r="L201" t="s" s="0">
        <v>4876</v>
      </c>
      <c r="M201" t="s" s="0">
        <v>4877</v>
      </c>
      <c r="N201" t="s" s="0">
        <v>4878</v>
      </c>
      <c r="O201" t="s" s="0">
        <v>4879</v>
      </c>
      <c r="P201" t="s" s="0">
        <v>4880</v>
      </c>
      <c r="Q201" t="s" s="0">
        <v>87</v>
      </c>
      <c r="R201" t="s" s="0">
        <v>81</v>
      </c>
      <c r="S201" t="s" s="0">
        <v>81</v>
      </c>
      <c r="T201" t="s" s="0">
        <v>81</v>
      </c>
      <c r="U201" t="s" s="0">
        <v>81</v>
      </c>
      <c r="V201" t="s" s="0">
        <v>4881</v>
      </c>
      <c r="W201" t="s" s="0">
        <v>4882</v>
      </c>
      <c r="X201" t="s" s="0">
        <v>81</v>
      </c>
      <c r="Y201" t="s" s="0">
        <v>81</v>
      </c>
      <c r="Z201" t="s" s="0">
        <v>90</v>
      </c>
      <c r="AA201" t="s" s="0">
        <v>91</v>
      </c>
      <c r="AB201" t="s" s="0">
        <v>81</v>
      </c>
      <c r="AC201" t="s" s="0">
        <v>81</v>
      </c>
      <c r="AD201" t="s" s="0">
        <v>81</v>
      </c>
      <c r="AE201" t="s" s="0">
        <v>81</v>
      </c>
      <c r="AF201" t="s" s="0">
        <v>81</v>
      </c>
      <c r="AG201" t="s" s="0">
        <v>4883</v>
      </c>
      <c r="AH201" t="s" s="0">
        <v>81</v>
      </c>
      <c r="AI201" t="s" s="0">
        <v>81</v>
      </c>
      <c r="AJ201" t="s" s="0">
        <v>81</v>
      </c>
      <c r="AK201" t="s" s="0">
        <v>81</v>
      </c>
      <c r="AL201" t="s" s="0">
        <v>874</v>
      </c>
      <c r="AM201" t="s" s="0">
        <v>77</v>
      </c>
      <c r="AN201" t="s" s="0">
        <v>77</v>
      </c>
      <c r="AO201" t="s" s="0">
        <v>97</v>
      </c>
      <c r="AP201" t="s" s="0">
        <v>97</v>
      </c>
      <c r="AQ201" t="s" s="0">
        <v>1654</v>
      </c>
      <c r="AR201" t="s" s="0">
        <v>1345</v>
      </c>
      <c r="AS201" t="s" s="0">
        <v>1655</v>
      </c>
      <c r="AT201" t="s" s="0">
        <v>81</v>
      </c>
      <c r="AU201" t="s" s="0">
        <v>4884</v>
      </c>
      <c r="AV201" t="s" s="0">
        <v>81</v>
      </c>
      <c r="AW201" t="s" s="0">
        <v>4885</v>
      </c>
      <c r="AX201" t="s" s="0">
        <v>4886</v>
      </c>
      <c r="AY201" t="s" s="0">
        <v>849</v>
      </c>
      <c r="AZ201" t="s" s="0">
        <v>103</v>
      </c>
      <c r="BA201" t="s" s="0">
        <v>175</v>
      </c>
      <c r="BB201" t="s" s="0">
        <v>316</v>
      </c>
      <c r="BC201" t="s" s="0">
        <v>81</v>
      </c>
      <c r="BD201" t="s" s="0">
        <v>81</v>
      </c>
      <c r="BE201" t="s" s="0">
        <v>81</v>
      </c>
      <c r="BF201" t="s" s="0">
        <v>81</v>
      </c>
      <c r="BG201" t="s" s="0">
        <v>81</v>
      </c>
      <c r="BH201" t="s" s="0">
        <v>81</v>
      </c>
      <c r="BI201" t="s" s="0">
        <v>4887</v>
      </c>
      <c r="BJ201" t="s" s="0">
        <v>4888</v>
      </c>
      <c r="BK201" t="s" s="398">
        <f>HYPERLINK("http://dx.doi.org/10.1093/haschl/qxag128","http://dx.doi.org/10.1093/haschl/qxag128")</f>
        <v>4889</v>
      </c>
      <c r="BL201" t="s" s="0">
        <v>81</v>
      </c>
      <c r="BM201" t="s" s="0">
        <v>81</v>
      </c>
      <c r="BN201" t="s" s="0">
        <v>133</v>
      </c>
      <c r="BO201" t="s" s="0">
        <v>4481</v>
      </c>
      <c r="BP201" t="s" s="0">
        <v>4482</v>
      </c>
      <c r="BQ201" t="s" s="0">
        <v>4890</v>
      </c>
      <c r="BR201" t="s" s="0">
        <v>4891</v>
      </c>
      <c r="BS201" t="s" s="0">
        <v>4892</v>
      </c>
      <c r="BT201" t="s" s="399">
        <f>HYPERLINK("https://www.webofscience.com/wos/woscc/full-record/WOS:001783765500001","View Record in Web of Science")</f>
        <v>114</v>
      </c>
      <c r="BU201" t="s" s="0">
        <v>301</v>
      </c>
      <c r="BV201" t="s" s="0">
        <v>81</v>
      </c>
      <c r="BW201" t="s" s="0">
        <v>81</v>
      </c>
      <c r="BX201" t="s" s="0">
        <v>116</v>
      </c>
    </row>
    <row r="202">
      <c r="A202" t="s" s="0">
        <v>77</v>
      </c>
      <c r="B202" t="s" s="0">
        <v>77</v>
      </c>
      <c r="C202" t="s" s="0">
        <v>97</v>
      </c>
      <c r="D202" t="s" s="0">
        <v>77</v>
      </c>
      <c r="E202" t="s" s="0">
        <v>4893</v>
      </c>
      <c r="F202" t="s" s="0">
        <v>4894</v>
      </c>
      <c r="G202" t="s" s="0">
        <v>4895</v>
      </c>
      <c r="H202" t="s" s="0">
        <v>81</v>
      </c>
      <c r="I202" t="s" s="0">
        <v>82</v>
      </c>
      <c r="J202" t="s" s="0">
        <v>4896</v>
      </c>
      <c r="K202" t="s" s="0">
        <v>4897</v>
      </c>
      <c r="L202" t="s" s="0">
        <v>4898</v>
      </c>
      <c r="M202" t="s" s="0">
        <v>1575</v>
      </c>
      <c r="N202" t="s" s="0">
        <v>4899</v>
      </c>
      <c r="O202" t="s" s="0">
        <v>4900</v>
      </c>
      <c r="P202" t="s" s="0">
        <v>4901</v>
      </c>
      <c r="Q202" t="s" s="0">
        <v>87</v>
      </c>
      <c r="R202" t="s" s="0">
        <v>81</v>
      </c>
      <c r="S202" t="s" s="0">
        <v>81</v>
      </c>
      <c r="T202" t="s" s="0">
        <v>81</v>
      </c>
      <c r="U202" t="s" s="0">
        <v>81</v>
      </c>
      <c r="V202" t="s" s="0">
        <v>4902</v>
      </c>
      <c r="W202" t="s" s="0">
        <v>722</v>
      </c>
      <c r="X202" t="s" s="0">
        <v>81</v>
      </c>
      <c r="Y202" t="s" s="0">
        <v>81</v>
      </c>
      <c r="Z202" t="s" s="0">
        <v>90</v>
      </c>
      <c r="AA202" t="s" s="0">
        <v>91</v>
      </c>
      <c r="AB202" t="s" s="0">
        <v>81</v>
      </c>
      <c r="AC202" t="s" s="0">
        <v>81</v>
      </c>
      <c r="AD202" t="s" s="0">
        <v>81</v>
      </c>
      <c r="AE202" t="s" s="0">
        <v>81</v>
      </c>
      <c r="AF202" t="s" s="0">
        <v>81</v>
      </c>
      <c r="AG202" t="s" s="0">
        <v>4903</v>
      </c>
      <c r="AH202" t="s" s="0">
        <v>4904</v>
      </c>
      <c r="AI202" t="s" s="0">
        <v>4905</v>
      </c>
      <c r="AJ202" t="s" s="0">
        <v>4906</v>
      </c>
      <c r="AK202" t="s" s="0">
        <v>81</v>
      </c>
      <c r="AL202" t="s" s="0">
        <v>914</v>
      </c>
      <c r="AM202" t="s" s="0">
        <v>381</v>
      </c>
      <c r="AN202" t="s" s="0">
        <v>381</v>
      </c>
      <c r="AO202" t="s" s="0">
        <v>97</v>
      </c>
      <c r="AP202" t="s" s="0">
        <v>234</v>
      </c>
      <c r="AQ202" t="s" s="0">
        <v>726</v>
      </c>
      <c r="AR202" t="s" s="0">
        <v>727</v>
      </c>
      <c r="AS202" t="s" s="0">
        <v>728</v>
      </c>
      <c r="AT202" t="s" s="0">
        <v>729</v>
      </c>
      <c r="AU202" t="s" s="0">
        <v>730</v>
      </c>
      <c r="AV202" t="s" s="0">
        <v>81</v>
      </c>
      <c r="AW202" t="s" s="0">
        <v>731</v>
      </c>
      <c r="AX202" t="s" s="0">
        <v>732</v>
      </c>
      <c r="AY202" t="s" s="0">
        <v>2502</v>
      </c>
      <c r="AZ202" t="s" s="0">
        <v>290</v>
      </c>
      <c r="BA202" t="s" s="0">
        <v>734</v>
      </c>
      <c r="BB202" t="s" s="0">
        <v>175</v>
      </c>
      <c r="BC202" t="s" s="0">
        <v>81</v>
      </c>
      <c r="BD202" t="s" s="0">
        <v>81</v>
      </c>
      <c r="BE202" t="s" s="0">
        <v>81</v>
      </c>
      <c r="BF202" t="s" s="0">
        <v>81</v>
      </c>
      <c r="BG202" t="s" s="0">
        <v>4907</v>
      </c>
      <c r="BH202" t="s" s="0">
        <v>4908</v>
      </c>
      <c r="BI202" t="s" s="0">
        <v>81</v>
      </c>
      <c r="BJ202" t="s" s="0">
        <v>4909</v>
      </c>
      <c r="BK202" t="s" s="400">
        <f>HYPERLINK("http://dx.doi.org/10.1002/mp.17635","http://dx.doi.org/10.1002/mp.17635")</f>
        <v>4910</v>
      </c>
      <c r="BL202" t="s" s="0">
        <v>81</v>
      </c>
      <c r="BM202" t="s" s="0">
        <v>1029</v>
      </c>
      <c r="BN202" t="s" s="0">
        <v>104</v>
      </c>
      <c r="BO202" t="s" s="0">
        <v>738</v>
      </c>
      <c r="BP202" t="s" s="0">
        <v>738</v>
      </c>
      <c r="BQ202" t="s" s="0">
        <v>4911</v>
      </c>
      <c r="BR202" t="s" s="0">
        <v>4912</v>
      </c>
      <c r="BS202" t="s" s="0">
        <v>4913</v>
      </c>
      <c r="BT202" t="s" s="401">
        <f>HYPERLINK("https://www.webofscience.com/wos/woscc/full-record/WOS:001408184500001","View Record in Web of Science")</f>
        <v>114</v>
      </c>
      <c r="BU202" t="s" s="0">
        <v>4914</v>
      </c>
      <c r="BV202" t="s" s="0">
        <v>81</v>
      </c>
      <c r="BW202" t="s" s="0">
        <v>81</v>
      </c>
      <c r="BX202" t="s" s="0">
        <v>116</v>
      </c>
    </row>
    <row r="203">
      <c r="A203" t="s" s="0">
        <v>77</v>
      </c>
      <c r="B203" t="s" s="0">
        <v>77</v>
      </c>
      <c r="C203" t="s" s="0">
        <v>77</v>
      </c>
      <c r="D203" t="s" s="0">
        <v>77</v>
      </c>
      <c r="E203" t="s" s="0">
        <v>4915</v>
      </c>
      <c r="F203" t="s" s="0">
        <v>4916</v>
      </c>
      <c r="G203" t="s" s="0">
        <v>4917</v>
      </c>
      <c r="H203" t="s" s="0">
        <v>81</v>
      </c>
      <c r="I203" t="s" s="0">
        <v>82</v>
      </c>
      <c r="J203" t="s" s="0">
        <v>4918</v>
      </c>
      <c r="K203" t="s" s="0">
        <v>4919</v>
      </c>
      <c r="L203" t="s" s="0">
        <v>81</v>
      </c>
      <c r="M203" t="s" s="0">
        <v>81</v>
      </c>
      <c r="N203" t="s" s="0">
        <v>81</v>
      </c>
      <c r="O203" t="s" s="0">
        <v>4920</v>
      </c>
      <c r="P203" t="s" s="0">
        <v>4921</v>
      </c>
      <c r="Q203" t="s" s="0">
        <v>87</v>
      </c>
      <c r="R203" t="s" s="0">
        <v>81</v>
      </c>
      <c r="S203" t="s" s="0">
        <v>81</v>
      </c>
      <c r="T203" t="s" s="0">
        <v>81</v>
      </c>
      <c r="U203" t="s" s="0">
        <v>81</v>
      </c>
      <c r="V203" t="s" s="0">
        <v>4922</v>
      </c>
      <c r="W203" t="s" s="0">
        <v>4923</v>
      </c>
      <c r="X203" t="s" s="0">
        <v>81</v>
      </c>
      <c r="Y203" t="s" s="0">
        <v>81</v>
      </c>
      <c r="Z203" t="s" s="0">
        <v>90</v>
      </c>
      <c r="AA203" t="s" s="0">
        <v>91</v>
      </c>
      <c r="AB203" t="s" s="0">
        <v>81</v>
      </c>
      <c r="AC203" t="s" s="0">
        <v>81</v>
      </c>
      <c r="AD203" t="s" s="0">
        <v>81</v>
      </c>
      <c r="AE203" t="s" s="0">
        <v>81</v>
      </c>
      <c r="AF203" t="s" s="0">
        <v>81</v>
      </c>
      <c r="AG203" t="s" s="0">
        <v>4924</v>
      </c>
      <c r="AH203" t="s" s="0">
        <v>81</v>
      </c>
      <c r="AI203" t="s" s="0">
        <v>4925</v>
      </c>
      <c r="AJ203" t="s" s="0">
        <v>81</v>
      </c>
      <c r="AK203" t="s" s="0">
        <v>81</v>
      </c>
      <c r="AL203" t="s" s="0">
        <v>381</v>
      </c>
      <c r="AM203" t="s" s="0">
        <v>196</v>
      </c>
      <c r="AN203" t="s" s="0">
        <v>196</v>
      </c>
      <c r="AO203" t="s" s="0">
        <v>133</v>
      </c>
      <c r="AP203" t="s" s="0">
        <v>133</v>
      </c>
      <c r="AQ203" t="s" s="0">
        <v>428</v>
      </c>
      <c r="AR203" t="s" s="0">
        <v>429</v>
      </c>
      <c r="AS203" t="s" s="0">
        <v>430</v>
      </c>
      <c r="AT203" t="s" s="0">
        <v>4926</v>
      </c>
      <c r="AU203" t="s" s="0">
        <v>4927</v>
      </c>
      <c r="AV203" t="s" s="0">
        <v>81</v>
      </c>
      <c r="AW203" t="s" s="0">
        <v>4928</v>
      </c>
      <c r="AX203" t="s" s="0">
        <v>4929</v>
      </c>
      <c r="AY203" t="s" s="0">
        <v>948</v>
      </c>
      <c r="AZ203" t="s" s="0">
        <v>103</v>
      </c>
      <c r="BA203" t="s" s="0">
        <v>4930</v>
      </c>
      <c r="BB203" t="s" s="0">
        <v>81</v>
      </c>
      <c r="BC203" t="s" s="0">
        <v>81</v>
      </c>
      <c r="BD203" t="s" s="0">
        <v>81</v>
      </c>
      <c r="BE203" t="s" s="0">
        <v>81</v>
      </c>
      <c r="BF203" t="s" s="0">
        <v>81</v>
      </c>
      <c r="BG203" t="s" s="0">
        <v>81</v>
      </c>
      <c r="BH203" t="s" s="0">
        <v>81</v>
      </c>
      <c r="BI203" t="s" s="0">
        <v>4931</v>
      </c>
      <c r="BJ203" t="s" s="0">
        <v>4932</v>
      </c>
      <c r="BK203" t="s" s="402">
        <f>HYPERLINK("http://dx.doi.org/10.1016/j.clinimag.2026.110745","http://dx.doi.org/10.1016/j.clinimag.2026.110745")</f>
        <v>4933</v>
      </c>
      <c r="BL203" t="s" s="0">
        <v>81</v>
      </c>
      <c r="BM203" t="s" s="0">
        <v>2108</v>
      </c>
      <c r="BN203" t="s" s="0">
        <v>196</v>
      </c>
      <c r="BO203" t="s" s="0">
        <v>738</v>
      </c>
      <c r="BP203" t="s" s="0">
        <v>738</v>
      </c>
      <c r="BQ203" t="s" s="0">
        <v>4934</v>
      </c>
      <c r="BR203" t="s" s="0">
        <v>4935</v>
      </c>
      <c r="BS203" t="s" s="0">
        <v>4936</v>
      </c>
      <c r="BT203" t="s" s="403">
        <f>HYPERLINK("https://www.webofscience.com/wos/woscc/full-record/WOS:001689434500001","View Record in Web of Science")</f>
        <v>114</v>
      </c>
      <c r="BU203" t="s" s="0">
        <v>81</v>
      </c>
      <c r="BV203" t="s" s="0">
        <v>81</v>
      </c>
      <c r="BW203" t="s" s="0">
        <v>81</v>
      </c>
      <c r="BX203" t="s" s="0">
        <v>116</v>
      </c>
    </row>
    <row r="204">
      <c r="A204" t="s" s="0">
        <v>77</v>
      </c>
      <c r="B204" t="s" s="0">
        <v>77</v>
      </c>
      <c r="C204" t="s" s="0">
        <v>77</v>
      </c>
      <c r="D204" t="s" s="0">
        <v>77</v>
      </c>
      <c r="E204" t="s" s="0">
        <v>4937</v>
      </c>
      <c r="F204" t="s" s="0">
        <v>4938</v>
      </c>
      <c r="G204" t="s" s="0">
        <v>4939</v>
      </c>
      <c r="H204" t="s" s="0">
        <v>81</v>
      </c>
      <c r="I204" t="s" s="0">
        <v>82</v>
      </c>
      <c r="J204" t="s" s="0">
        <v>4940</v>
      </c>
      <c r="K204" t="s" s="0">
        <v>4941</v>
      </c>
      <c r="L204" t="s" s="0">
        <v>4942</v>
      </c>
      <c r="M204" t="s" s="0">
        <v>1850</v>
      </c>
      <c r="N204" t="s" s="0">
        <v>4943</v>
      </c>
      <c r="O204" t="s" s="0">
        <v>4944</v>
      </c>
      <c r="P204" t="s" s="0">
        <v>4945</v>
      </c>
      <c r="Q204" t="s" s="0">
        <v>87</v>
      </c>
      <c r="R204" t="s" s="0">
        <v>81</v>
      </c>
      <c r="S204" t="s" s="0">
        <v>81</v>
      </c>
      <c r="T204" t="s" s="0">
        <v>81</v>
      </c>
      <c r="U204" t="s" s="0">
        <v>81</v>
      </c>
      <c r="V204" t="s" s="0">
        <v>4946</v>
      </c>
      <c r="W204" t="s" s="0">
        <v>2070</v>
      </c>
      <c r="X204" t="s" s="0">
        <v>81</v>
      </c>
      <c r="Y204" t="s" s="0">
        <v>81</v>
      </c>
      <c r="Z204" t="s" s="0">
        <v>90</v>
      </c>
      <c r="AA204" t="s" s="0">
        <v>91</v>
      </c>
      <c r="AB204" t="s" s="0">
        <v>81</v>
      </c>
      <c r="AC204" t="s" s="0">
        <v>81</v>
      </c>
      <c r="AD204" t="s" s="0">
        <v>81</v>
      </c>
      <c r="AE204" t="s" s="0">
        <v>81</v>
      </c>
      <c r="AF204" t="s" s="0">
        <v>81</v>
      </c>
      <c r="AG204" t="s" s="0">
        <v>4947</v>
      </c>
      <c r="AH204" t="s" s="0">
        <v>81</v>
      </c>
      <c r="AI204" t="s" s="0">
        <v>4948</v>
      </c>
      <c r="AJ204" t="s" s="0">
        <v>4949</v>
      </c>
      <c r="AK204" t="s" s="0">
        <v>81</v>
      </c>
      <c r="AL204" t="s" s="0">
        <v>1785</v>
      </c>
      <c r="AM204" t="s" s="0">
        <v>316</v>
      </c>
      <c r="AN204" t="s" s="0">
        <v>316</v>
      </c>
      <c r="AO204" t="s" s="0">
        <v>175</v>
      </c>
      <c r="AP204" t="s" s="0">
        <v>291</v>
      </c>
      <c r="AQ204" t="s" s="0">
        <v>177</v>
      </c>
      <c r="AR204" t="s" s="0">
        <v>178</v>
      </c>
      <c r="AS204" t="s" s="0">
        <v>179</v>
      </c>
      <c r="AT204" t="s" s="0">
        <v>2073</v>
      </c>
      <c r="AU204" t="s" s="0">
        <v>2074</v>
      </c>
      <c r="AV204" t="s" s="0">
        <v>81</v>
      </c>
      <c r="AW204" t="s" s="0">
        <v>2075</v>
      </c>
      <c r="AX204" t="s" s="0">
        <v>2076</v>
      </c>
      <c r="AY204" t="s" s="0">
        <v>2108</v>
      </c>
      <c r="AZ204" t="s" s="0">
        <v>103</v>
      </c>
      <c r="BA204" t="s" s="0">
        <v>321</v>
      </c>
      <c r="BB204" t="s" s="0">
        <v>81</v>
      </c>
      <c r="BC204" t="s" s="0">
        <v>81</v>
      </c>
      <c r="BD204" t="s" s="0">
        <v>2974</v>
      </c>
      <c r="BE204" t="s" s="0">
        <v>81</v>
      </c>
      <c r="BF204" t="s" s="0">
        <v>81</v>
      </c>
      <c r="BG204" t="s" s="0">
        <v>81</v>
      </c>
      <c r="BH204" t="s" s="0">
        <v>81</v>
      </c>
      <c r="BI204" t="s" s="0">
        <v>4950</v>
      </c>
      <c r="BJ204" t="s" s="0">
        <v>4951</v>
      </c>
      <c r="BK204" t="s" s="404">
        <f>HYPERLINK("http://dx.doi.org/10.1016/j.bspc.2025.108426","http://dx.doi.org/10.1016/j.bspc.2025.108426")</f>
        <v>4952</v>
      </c>
      <c r="BL204" t="s" s="0">
        <v>81</v>
      </c>
      <c r="BM204" t="s" s="0">
        <v>1869</v>
      </c>
      <c r="BN204" t="s" s="0">
        <v>486</v>
      </c>
      <c r="BO204" t="s" s="0">
        <v>2082</v>
      </c>
      <c r="BP204" t="s" s="0">
        <v>1003</v>
      </c>
      <c r="BQ204" t="s" s="0">
        <v>4953</v>
      </c>
      <c r="BR204" t="s" s="0">
        <v>81</v>
      </c>
      <c r="BS204" t="s" s="0">
        <v>4954</v>
      </c>
      <c r="BT204" t="s" s="405">
        <f>HYPERLINK("https://www.webofscience.com/wos/woscc/full-record/WOS:001551462100001","View Record in Web of Science")</f>
        <v>114</v>
      </c>
      <c r="BU204" t="s" s="0">
        <v>1055</v>
      </c>
      <c r="BV204" t="s" s="0">
        <v>81</v>
      </c>
      <c r="BW204" t="s" s="0">
        <v>81</v>
      </c>
      <c r="BX204" t="s" s="0">
        <v>116</v>
      </c>
    </row>
    <row r="205">
      <c r="A205" t="s" s="0">
        <v>77</v>
      </c>
      <c r="B205" t="s" s="0">
        <v>77</v>
      </c>
      <c r="C205" t="s" s="0">
        <v>97</v>
      </c>
      <c r="D205" t="s" s="0">
        <v>77</v>
      </c>
      <c r="E205" t="s" s="0">
        <v>4955</v>
      </c>
      <c r="F205" t="s" s="0">
        <v>4956</v>
      </c>
      <c r="G205" t="s" s="0">
        <v>4957</v>
      </c>
      <c r="H205" t="s" s="0">
        <v>81</v>
      </c>
      <c r="I205" t="s" s="0">
        <v>82</v>
      </c>
      <c r="J205" t="s" s="0">
        <v>4958</v>
      </c>
      <c r="K205" t="s" s="0">
        <v>4959</v>
      </c>
      <c r="L205" t="s" s="0">
        <v>81</v>
      </c>
      <c r="M205" t="s" s="0">
        <v>81</v>
      </c>
      <c r="N205" t="s" s="0">
        <v>81</v>
      </c>
      <c r="O205" t="s" s="0">
        <v>4960</v>
      </c>
      <c r="P205" t="s" s="0">
        <v>4961</v>
      </c>
      <c r="Q205" t="s" s="0">
        <v>87</v>
      </c>
      <c r="R205" t="s" s="0">
        <v>81</v>
      </c>
      <c r="S205" t="s" s="0">
        <v>81</v>
      </c>
      <c r="T205" t="s" s="0">
        <v>81</v>
      </c>
      <c r="U205" t="s" s="0">
        <v>81</v>
      </c>
      <c r="V205" t="s" s="0">
        <v>4962</v>
      </c>
      <c r="W205" t="s" s="0">
        <v>4963</v>
      </c>
      <c r="X205" t="s" s="0">
        <v>81</v>
      </c>
      <c r="Y205" t="s" s="0">
        <v>81</v>
      </c>
      <c r="Z205" t="s" s="0">
        <v>90</v>
      </c>
      <c r="AA205" t="s" s="0">
        <v>91</v>
      </c>
      <c r="AB205" t="s" s="0">
        <v>81</v>
      </c>
      <c r="AC205" t="s" s="0">
        <v>81</v>
      </c>
      <c r="AD205" t="s" s="0">
        <v>81</v>
      </c>
      <c r="AE205" t="s" s="0">
        <v>81</v>
      </c>
      <c r="AF205" t="s" s="0">
        <v>81</v>
      </c>
      <c r="AG205" t="s" s="0">
        <v>4964</v>
      </c>
      <c r="AH205" t="s" s="0">
        <v>4965</v>
      </c>
      <c r="AI205" t="s" s="0">
        <v>4966</v>
      </c>
      <c r="AJ205" t="s" s="0">
        <v>4967</v>
      </c>
      <c r="AK205" t="s" s="0">
        <v>81</v>
      </c>
      <c r="AL205" t="s" s="0">
        <v>109</v>
      </c>
      <c r="AM205" t="s" s="0">
        <v>234</v>
      </c>
      <c r="AN205" t="s" s="0">
        <v>234</v>
      </c>
      <c r="AO205" t="s" s="0">
        <v>77</v>
      </c>
      <c r="AP205" t="s" s="0">
        <v>176</v>
      </c>
      <c r="AQ205" t="s" s="0">
        <v>212</v>
      </c>
      <c r="AR205" t="s" s="0">
        <v>429</v>
      </c>
      <c r="AS205" t="s" s="0">
        <v>784</v>
      </c>
      <c r="AT205" t="s" s="0">
        <v>4968</v>
      </c>
      <c r="AU205" t="s" s="0">
        <v>4969</v>
      </c>
      <c r="AV205" t="s" s="0">
        <v>81</v>
      </c>
      <c r="AW205" t="s" s="0">
        <v>4970</v>
      </c>
      <c r="AX205" t="s" s="0">
        <v>4971</v>
      </c>
      <c r="AY205" t="s" s="0">
        <v>3233</v>
      </c>
      <c r="AZ205" t="s" s="0">
        <v>260</v>
      </c>
      <c r="BA205" t="s" s="0">
        <v>210</v>
      </c>
      <c r="BB205" t="s" s="0">
        <v>97</v>
      </c>
      <c r="BC205" t="s" s="0">
        <v>81</v>
      </c>
      <c r="BD205" t="s" s="0">
        <v>81</v>
      </c>
      <c r="BE205" t="s" s="0">
        <v>81</v>
      </c>
      <c r="BF205" t="s" s="0">
        <v>81</v>
      </c>
      <c r="BG205" t="s" s="0">
        <v>1116</v>
      </c>
      <c r="BH205" t="s" s="0">
        <v>456</v>
      </c>
      <c r="BI205" t="s" s="0">
        <v>81</v>
      </c>
      <c r="BJ205" t="s" s="0">
        <v>4972</v>
      </c>
      <c r="BK205" t="s" s="406">
        <f>HYPERLINK("http://dx.doi.org/10.1007/s10700-022-09384-1","http://dx.doi.org/10.1007/s10700-022-09384-1")</f>
        <v>4973</v>
      </c>
      <c r="BL205" t="s" s="0">
        <v>81</v>
      </c>
      <c r="BM205" t="s" s="0">
        <v>3740</v>
      </c>
      <c r="BN205" t="s" s="0">
        <v>210</v>
      </c>
      <c r="BO205" t="s" s="0">
        <v>4974</v>
      </c>
      <c r="BP205" t="s" s="0">
        <v>4975</v>
      </c>
      <c r="BQ205" t="s" s="0">
        <v>4976</v>
      </c>
      <c r="BR205" t="s" s="0">
        <v>81</v>
      </c>
      <c r="BS205" t="s" s="0">
        <v>4977</v>
      </c>
      <c r="BT205" t="s" s="407">
        <f>HYPERLINK("https://www.webofscience.com/wos/woscc/full-record/WOS:000763214500001","View Record in Web of Science")</f>
        <v>114</v>
      </c>
      <c r="BU205" t="s" s="0">
        <v>81</v>
      </c>
      <c r="BV205" t="s" s="0">
        <v>81</v>
      </c>
      <c r="BW205" t="s" s="0">
        <v>81</v>
      </c>
      <c r="BX205" t="s" s="0">
        <v>116</v>
      </c>
    </row>
    <row r="206">
      <c r="A206" t="s" s="0">
        <v>77</v>
      </c>
      <c r="B206" t="s" s="0">
        <v>77</v>
      </c>
      <c r="C206" t="s" s="0">
        <v>77</v>
      </c>
      <c r="D206" t="s" s="0">
        <v>77</v>
      </c>
      <c r="E206" t="s" s="0">
        <v>4978</v>
      </c>
      <c r="F206" t="s" s="0">
        <v>4979</v>
      </c>
      <c r="G206" t="s" s="0">
        <v>4980</v>
      </c>
      <c r="H206" t="s" s="0">
        <v>81</v>
      </c>
      <c r="I206" t="s" s="0">
        <v>82</v>
      </c>
      <c r="J206" t="s" s="0">
        <v>4981</v>
      </c>
      <c r="K206" t="s" s="0">
        <v>4982</v>
      </c>
      <c r="L206" t="s" s="0">
        <v>81</v>
      </c>
      <c r="M206" t="s" s="0">
        <v>81</v>
      </c>
      <c r="N206" t="s" s="0">
        <v>81</v>
      </c>
      <c r="O206" t="s" s="0">
        <v>4983</v>
      </c>
      <c r="P206" t="s" s="0">
        <v>4984</v>
      </c>
      <c r="Q206" t="s" s="0">
        <v>87</v>
      </c>
      <c r="R206" t="s" s="0">
        <v>81</v>
      </c>
      <c r="S206" t="s" s="0">
        <v>81</v>
      </c>
      <c r="T206" t="s" s="0">
        <v>81</v>
      </c>
      <c r="U206" t="s" s="0">
        <v>81</v>
      </c>
      <c r="V206" t="s" s="0">
        <v>4985</v>
      </c>
      <c r="W206" t="s" s="0">
        <v>362</v>
      </c>
      <c r="X206" t="s" s="0">
        <v>81</v>
      </c>
      <c r="Y206" t="s" s="0">
        <v>81</v>
      </c>
      <c r="Z206" t="s" s="0">
        <v>90</v>
      </c>
      <c r="AA206" t="s" s="0">
        <v>91</v>
      </c>
      <c r="AB206" t="s" s="0">
        <v>81</v>
      </c>
      <c r="AC206" t="s" s="0">
        <v>81</v>
      </c>
      <c r="AD206" t="s" s="0">
        <v>81</v>
      </c>
      <c r="AE206" t="s" s="0">
        <v>81</v>
      </c>
      <c r="AF206" t="s" s="0">
        <v>81</v>
      </c>
      <c r="AG206" t="s" s="0">
        <v>4986</v>
      </c>
      <c r="AH206" t="s" s="0">
        <v>81</v>
      </c>
      <c r="AI206" t="s" s="0">
        <v>4987</v>
      </c>
      <c r="AJ206" t="s" s="0">
        <v>81</v>
      </c>
      <c r="AK206" t="s" s="0">
        <v>81</v>
      </c>
      <c r="AL206" t="s" s="0">
        <v>191</v>
      </c>
      <c r="AM206" t="s" s="0">
        <v>77</v>
      </c>
      <c r="AN206" t="s" s="0">
        <v>77</v>
      </c>
      <c r="AO206" t="s" s="0">
        <v>156</v>
      </c>
      <c r="AP206" t="s" s="0">
        <v>156</v>
      </c>
      <c r="AQ206" t="s" s="0">
        <v>368</v>
      </c>
      <c r="AR206" t="s" s="0">
        <v>369</v>
      </c>
      <c r="AS206" t="s" s="0">
        <v>370</v>
      </c>
      <c r="AT206" t="s" s="0">
        <v>81</v>
      </c>
      <c r="AU206" t="s" s="0">
        <v>371</v>
      </c>
      <c r="AV206" t="s" s="0">
        <v>81</v>
      </c>
      <c r="AW206" t="s" s="0">
        <v>372</v>
      </c>
      <c r="AX206" t="s" s="0">
        <v>373</v>
      </c>
      <c r="AY206" t="s" s="0">
        <v>670</v>
      </c>
      <c r="AZ206" t="s" s="0">
        <v>103</v>
      </c>
      <c r="BA206" t="s" s="0">
        <v>486</v>
      </c>
      <c r="BB206" t="s" s="0">
        <v>81</v>
      </c>
      <c r="BC206" t="s" s="0">
        <v>81</v>
      </c>
      <c r="BD206" t="s" s="0">
        <v>81</v>
      </c>
      <c r="BE206" t="s" s="0">
        <v>81</v>
      </c>
      <c r="BF206" t="s" s="0">
        <v>81</v>
      </c>
      <c r="BG206" t="s" s="0">
        <v>81</v>
      </c>
      <c r="BH206" t="s" s="0">
        <v>81</v>
      </c>
      <c r="BI206" t="s" s="0">
        <v>4988</v>
      </c>
      <c r="BJ206" t="s" s="0">
        <v>4989</v>
      </c>
      <c r="BK206" t="s" s="408">
        <f>HYPERLINK("http://dx.doi.org/10.3389/fmed.2026.1824069","http://dx.doi.org/10.3389/fmed.2026.1824069")</f>
        <v>4990</v>
      </c>
      <c r="BL206" t="s" s="0">
        <v>81</v>
      </c>
      <c r="BM206" t="s" s="0">
        <v>675</v>
      </c>
      <c r="BN206" t="s" s="0">
        <v>234</v>
      </c>
      <c r="BO206" t="s" s="0">
        <v>296</v>
      </c>
      <c r="BP206" t="s" s="0">
        <v>297</v>
      </c>
      <c r="BQ206" t="s" s="0">
        <v>4991</v>
      </c>
      <c r="BR206" t="s" s="0">
        <v>4992</v>
      </c>
      <c r="BS206" t="s" s="0">
        <v>4993</v>
      </c>
      <c r="BT206" t="s" s="409">
        <f>HYPERLINK("https://www.webofscience.com/wos/woscc/full-record/WOS:001784434600001","View Record in Web of Science")</f>
        <v>114</v>
      </c>
      <c r="BU206" t="s" s="0">
        <v>301</v>
      </c>
      <c r="BV206" t="s" s="0">
        <v>81</v>
      </c>
      <c r="BW206" t="s" s="0">
        <v>81</v>
      </c>
      <c r="BX206" t="s" s="0">
        <v>116</v>
      </c>
    </row>
    <row r="207">
      <c r="A207" t="s" s="0">
        <v>77</v>
      </c>
      <c r="B207" t="s" s="0">
        <v>77</v>
      </c>
      <c r="C207" t="s" s="0">
        <v>97</v>
      </c>
      <c r="D207" t="s" s="0">
        <v>77</v>
      </c>
      <c r="E207" t="s" s="0">
        <v>4994</v>
      </c>
      <c r="F207" t="s" s="0">
        <v>4995</v>
      </c>
      <c r="G207" t="s" s="0">
        <v>4996</v>
      </c>
      <c r="H207" t="s" s="0">
        <v>81</v>
      </c>
      <c r="I207" t="s" s="0">
        <v>82</v>
      </c>
      <c r="J207" t="s" s="0">
        <v>4997</v>
      </c>
      <c r="K207" t="s" s="0">
        <v>4998</v>
      </c>
      <c r="L207" t="s" s="0">
        <v>4999</v>
      </c>
      <c r="M207" t="s" s="0">
        <v>5000</v>
      </c>
      <c r="N207" t="s" s="0">
        <v>5001</v>
      </c>
      <c r="O207" t="s" s="0">
        <v>5002</v>
      </c>
      <c r="P207" t="s" s="0">
        <v>5003</v>
      </c>
      <c r="Q207" t="s" s="0">
        <v>87</v>
      </c>
      <c r="R207" t="s" s="0">
        <v>81</v>
      </c>
      <c r="S207" t="s" s="0">
        <v>81</v>
      </c>
      <c r="T207" t="s" s="0">
        <v>81</v>
      </c>
      <c r="U207" t="s" s="0">
        <v>81</v>
      </c>
      <c r="V207" t="s" s="0">
        <v>5004</v>
      </c>
      <c r="W207" t="s" s="0">
        <v>1954</v>
      </c>
      <c r="X207" t="s" s="0">
        <v>81</v>
      </c>
      <c r="Y207" t="s" s="0">
        <v>81</v>
      </c>
      <c r="Z207" t="s" s="0">
        <v>90</v>
      </c>
      <c r="AA207" t="s" s="0">
        <v>91</v>
      </c>
      <c r="AB207" t="s" s="0">
        <v>81</v>
      </c>
      <c r="AC207" t="s" s="0">
        <v>81</v>
      </c>
      <c r="AD207" t="s" s="0">
        <v>81</v>
      </c>
      <c r="AE207" t="s" s="0">
        <v>81</v>
      </c>
      <c r="AF207" t="s" s="0">
        <v>81</v>
      </c>
      <c r="AG207" t="s" s="0">
        <v>5005</v>
      </c>
      <c r="AH207" t="s" s="0">
        <v>81</v>
      </c>
      <c r="AI207" t="s" s="0">
        <v>5006</v>
      </c>
      <c r="AJ207" t="s" s="0">
        <v>5007</v>
      </c>
      <c r="AK207" t="s" s="0">
        <v>81</v>
      </c>
      <c r="AL207" t="s" s="0">
        <v>2447</v>
      </c>
      <c r="AM207" t="s" s="0">
        <v>234</v>
      </c>
      <c r="AN207" t="s" s="0">
        <v>234</v>
      </c>
      <c r="AO207" t="s" s="0">
        <v>77</v>
      </c>
      <c r="AP207" t="s" s="0">
        <v>175</v>
      </c>
      <c r="AQ207" t="s" s="0">
        <v>665</v>
      </c>
      <c r="AR207" t="s" s="0">
        <v>546</v>
      </c>
      <c r="AS207" t="s" s="0">
        <v>666</v>
      </c>
      <c r="AT207" t="s" s="0">
        <v>81</v>
      </c>
      <c r="AU207" t="s" s="0">
        <v>1957</v>
      </c>
      <c r="AV207" t="s" s="0">
        <v>81</v>
      </c>
      <c r="AW207" t="s" s="0">
        <v>1958</v>
      </c>
      <c r="AX207" t="s" s="0">
        <v>1959</v>
      </c>
      <c r="AY207" t="s" s="0">
        <v>5008</v>
      </c>
      <c r="AZ207" t="s" s="0">
        <v>290</v>
      </c>
      <c r="BA207" t="s" s="0">
        <v>109</v>
      </c>
      <c r="BB207" t="s" s="0">
        <v>97</v>
      </c>
      <c r="BC207" t="s" s="0">
        <v>81</v>
      </c>
      <c r="BD207" t="s" s="0">
        <v>81</v>
      </c>
      <c r="BE207" t="s" s="0">
        <v>81</v>
      </c>
      <c r="BF207" t="s" s="0">
        <v>81</v>
      </c>
      <c r="BG207" t="s" s="0">
        <v>81</v>
      </c>
      <c r="BH207" t="s" s="0">
        <v>81</v>
      </c>
      <c r="BI207" t="s" s="0">
        <v>5009</v>
      </c>
      <c r="BJ207" t="s" s="0">
        <v>5010</v>
      </c>
      <c r="BK207" t="s" s="410">
        <f>HYPERLINK("http://dx.doi.org/10.1186/s12911-025-03051-2","http://dx.doi.org/10.1186/s12911-025-03051-2")</f>
        <v>5011</v>
      </c>
      <c r="BL207" t="s" s="0">
        <v>81</v>
      </c>
      <c r="BM207" t="s" s="0">
        <v>81</v>
      </c>
      <c r="BN207" t="s" s="0">
        <v>210</v>
      </c>
      <c r="BO207" t="s" s="0">
        <v>1963</v>
      </c>
      <c r="BP207" t="s" s="0">
        <v>1963</v>
      </c>
      <c r="BQ207" t="s" s="0">
        <v>5012</v>
      </c>
      <c r="BR207" t="s" s="0">
        <v>5013</v>
      </c>
      <c r="BS207" t="s" s="0">
        <v>5014</v>
      </c>
      <c r="BT207" t="s" s="411">
        <f>HYPERLINK("https://www.webofscience.com/wos/woscc/full-record/WOS:001522890500026","View Record in Web of Science")</f>
        <v>114</v>
      </c>
      <c r="BU207" t="s" s="0">
        <v>301</v>
      </c>
      <c r="BV207" t="s" s="0">
        <v>81</v>
      </c>
      <c r="BW207" t="s" s="0">
        <v>81</v>
      </c>
      <c r="BX207" t="s" s="0">
        <v>116</v>
      </c>
    </row>
    <row r="208">
      <c r="A208" t="s" s="0">
        <v>77</v>
      </c>
      <c r="B208" t="s" s="0">
        <v>77</v>
      </c>
      <c r="C208" t="s" s="0">
        <v>77</v>
      </c>
      <c r="D208" t="s" s="0">
        <v>77</v>
      </c>
      <c r="E208" t="s" s="0">
        <v>5015</v>
      </c>
      <c r="F208" t="s" s="0">
        <v>5016</v>
      </c>
      <c r="G208" t="s" s="0">
        <v>5017</v>
      </c>
      <c r="H208" t="s" s="0">
        <v>81</v>
      </c>
      <c r="I208" t="s" s="0">
        <v>528</v>
      </c>
      <c r="J208" t="s" s="0">
        <v>5018</v>
      </c>
      <c r="K208" t="s" s="0">
        <v>5019</v>
      </c>
      <c r="L208" t="s" s="0">
        <v>81</v>
      </c>
      <c r="M208" t="s" s="0">
        <v>81</v>
      </c>
      <c r="N208" t="s" s="0">
        <v>81</v>
      </c>
      <c r="O208" t="s" s="0">
        <v>5020</v>
      </c>
      <c r="P208" t="s" s="0">
        <v>5021</v>
      </c>
      <c r="Q208" t="s" s="0">
        <v>87</v>
      </c>
      <c r="R208" t="s" s="0">
        <v>81</v>
      </c>
      <c r="S208" t="s" s="0">
        <v>81</v>
      </c>
      <c r="T208" t="s" s="0">
        <v>81</v>
      </c>
      <c r="U208" t="s" s="0">
        <v>81</v>
      </c>
      <c r="V208" t="s" s="0">
        <v>5022</v>
      </c>
      <c r="W208" t="s" s="0">
        <v>5023</v>
      </c>
      <c r="X208" t="s" s="0">
        <v>81</v>
      </c>
      <c r="Y208" t="s" s="0">
        <v>81</v>
      </c>
      <c r="Z208" t="s" s="0">
        <v>90</v>
      </c>
      <c r="AA208" t="s" s="0">
        <v>91</v>
      </c>
      <c r="AB208" t="s" s="0">
        <v>81</v>
      </c>
      <c r="AC208" t="s" s="0">
        <v>81</v>
      </c>
      <c r="AD208" t="s" s="0">
        <v>81</v>
      </c>
      <c r="AE208" t="s" s="0">
        <v>81</v>
      </c>
      <c r="AF208" t="s" s="0">
        <v>81</v>
      </c>
      <c r="AG208" t="s" s="0">
        <v>5024</v>
      </c>
      <c r="AH208" t="s" s="0">
        <v>81</v>
      </c>
      <c r="AI208" t="s" s="0">
        <v>5025</v>
      </c>
      <c r="AJ208" t="s" s="0">
        <v>81</v>
      </c>
      <c r="AK208" t="s" s="0">
        <v>81</v>
      </c>
      <c r="AL208" t="s" s="0">
        <v>696</v>
      </c>
      <c r="AM208" t="s" s="0">
        <v>77</v>
      </c>
      <c r="AN208" t="s" s="0">
        <v>77</v>
      </c>
      <c r="AO208" t="s" s="0">
        <v>97</v>
      </c>
      <c r="AP208" t="s" s="0">
        <v>97</v>
      </c>
      <c r="AQ208" t="s" s="0">
        <v>1344</v>
      </c>
      <c r="AR208" t="s" s="0">
        <v>1345</v>
      </c>
      <c r="AS208" t="s" s="0">
        <v>1346</v>
      </c>
      <c r="AT208" t="s" s="0">
        <v>5026</v>
      </c>
      <c r="AU208" t="s" s="0">
        <v>5027</v>
      </c>
      <c r="AV208" t="s" s="0">
        <v>81</v>
      </c>
      <c r="AW208" t="s" s="0">
        <v>5028</v>
      </c>
      <c r="AX208" t="s" s="0">
        <v>5029</v>
      </c>
      <c r="AY208" t="s" s="0">
        <v>5030</v>
      </c>
      <c r="AZ208" t="s" s="0">
        <v>103</v>
      </c>
      <c r="BA208" t="s" s="0">
        <v>1050</v>
      </c>
      <c r="BB208" t="s" s="0">
        <v>81</v>
      </c>
      <c r="BC208" t="s" s="0">
        <v>81</v>
      </c>
      <c r="BD208" t="s" s="0">
        <v>81</v>
      </c>
      <c r="BE208" t="s" s="0">
        <v>81</v>
      </c>
      <c r="BF208" t="s" s="0">
        <v>81</v>
      </c>
      <c r="BG208" t="s" s="0">
        <v>81</v>
      </c>
      <c r="BH208" t="s" s="0">
        <v>81</v>
      </c>
      <c r="BI208" t="s" s="0">
        <v>5031</v>
      </c>
      <c r="BJ208" t="s" s="0">
        <v>5032</v>
      </c>
      <c r="BK208" t="s" s="412">
        <f>HYPERLINK("http://dx.doi.org/10.1016/j.ijnurstu.2026.105623","http://dx.doi.org/10.1016/j.ijnurstu.2026.105623")</f>
        <v>5033</v>
      </c>
      <c r="BL208" t="s" s="0">
        <v>81</v>
      </c>
      <c r="BM208" t="s" s="0">
        <v>849</v>
      </c>
      <c r="BN208" t="s" s="0">
        <v>211</v>
      </c>
      <c r="BO208" t="s" s="0">
        <v>5034</v>
      </c>
      <c r="BP208" t="s" s="0">
        <v>5034</v>
      </c>
      <c r="BQ208" t="s" s="0">
        <v>5035</v>
      </c>
      <c r="BR208" t="s" s="0">
        <v>5036</v>
      </c>
      <c r="BS208" t="s" s="0">
        <v>5037</v>
      </c>
      <c r="BT208" t="s" s="413">
        <f>HYPERLINK("https://www.webofscience.com/wos/woscc/full-record/WOS:001812105400001","View Record in Web of Science")</f>
        <v>114</v>
      </c>
      <c r="BU208" t="s" s="0">
        <v>1055</v>
      </c>
      <c r="BV208" t="s" s="0">
        <v>81</v>
      </c>
      <c r="BW208" t="s" s="0">
        <v>81</v>
      </c>
      <c r="BX208" t="s" s="0">
        <v>116</v>
      </c>
    </row>
    <row r="209">
      <c r="A209" t="s" s="0">
        <v>77</v>
      </c>
      <c r="B209" t="s" s="0">
        <v>77</v>
      </c>
      <c r="C209" t="s" s="0">
        <v>77</v>
      </c>
      <c r="D209" t="s" s="0">
        <v>77</v>
      </c>
      <c r="E209" t="s" s="0">
        <v>5038</v>
      </c>
      <c r="F209" t="s" s="0">
        <v>5039</v>
      </c>
      <c r="G209" t="s" s="0">
        <v>5040</v>
      </c>
      <c r="H209" t="s" s="0">
        <v>81</v>
      </c>
      <c r="I209" t="s" s="0">
        <v>589</v>
      </c>
      <c r="J209" t="s" s="0">
        <v>5041</v>
      </c>
      <c r="K209" t="s" s="0">
        <v>5042</v>
      </c>
      <c r="L209" t="s" s="0">
        <v>81</v>
      </c>
      <c r="M209" t="s" s="0">
        <v>81</v>
      </c>
      <c r="N209" t="s" s="0">
        <v>81</v>
      </c>
      <c r="O209" t="s" s="0">
        <v>5043</v>
      </c>
      <c r="P209" t="s" s="0">
        <v>5044</v>
      </c>
      <c r="Q209" t="s" s="0">
        <v>87</v>
      </c>
      <c r="R209" t="s" s="0">
        <v>81</v>
      </c>
      <c r="S209" t="s" s="0">
        <v>81</v>
      </c>
      <c r="T209" t="s" s="0">
        <v>81</v>
      </c>
      <c r="U209" t="s" s="0">
        <v>81</v>
      </c>
      <c r="V209" t="s" s="0">
        <v>5045</v>
      </c>
      <c r="W209" t="s" s="0">
        <v>5046</v>
      </c>
      <c r="X209" t="s" s="0">
        <v>81</v>
      </c>
      <c r="Y209" t="s" s="0">
        <v>81</v>
      </c>
      <c r="Z209" t="s" s="0">
        <v>90</v>
      </c>
      <c r="AA209" t="s" s="0">
        <v>1581</v>
      </c>
      <c r="AB209" t="s" s="0">
        <v>81</v>
      </c>
      <c r="AC209" t="s" s="0">
        <v>81</v>
      </c>
      <c r="AD209" t="s" s="0">
        <v>81</v>
      </c>
      <c r="AE209" t="s" s="0">
        <v>81</v>
      </c>
      <c r="AF209" t="s" s="0">
        <v>81</v>
      </c>
      <c r="AG209" t="s" s="0">
        <v>5047</v>
      </c>
      <c r="AH209" t="s" s="0">
        <v>5048</v>
      </c>
      <c r="AI209" t="s" s="0">
        <v>81</v>
      </c>
      <c r="AJ209" t="s" s="0">
        <v>81</v>
      </c>
      <c r="AK209" t="s" s="0">
        <v>81</v>
      </c>
      <c r="AL209" t="s" s="0">
        <v>1686</v>
      </c>
      <c r="AM209" t="s" s="0">
        <v>77</v>
      </c>
      <c r="AN209" t="s" s="0">
        <v>97</v>
      </c>
      <c r="AO209" t="s" s="0">
        <v>104</v>
      </c>
      <c r="AP209" t="s" s="0">
        <v>104</v>
      </c>
      <c r="AQ209" t="s" s="0">
        <v>5049</v>
      </c>
      <c r="AR209" t="s" s="0">
        <v>5050</v>
      </c>
      <c r="AS209" t="s" s="0">
        <v>5051</v>
      </c>
      <c r="AT209" t="s" s="0">
        <v>5052</v>
      </c>
      <c r="AU209" t="s" s="0">
        <v>5053</v>
      </c>
      <c r="AV209" t="s" s="0">
        <v>81</v>
      </c>
      <c r="AW209" t="s" s="0">
        <v>5054</v>
      </c>
      <c r="AX209" t="s" s="0">
        <v>5055</v>
      </c>
      <c r="AY209" t="s" s="0">
        <v>81</v>
      </c>
      <c r="AZ209" t="s" s="0">
        <v>103</v>
      </c>
      <c r="BA209" t="s" s="0">
        <v>81</v>
      </c>
      <c r="BB209" t="s" s="0">
        <v>81</v>
      </c>
      <c r="BC209" t="s" s="0">
        <v>81</v>
      </c>
      <c r="BD209" t="s" s="0">
        <v>81</v>
      </c>
      <c r="BE209" t="s" s="0">
        <v>81</v>
      </c>
      <c r="BF209" t="s" s="0">
        <v>81</v>
      </c>
      <c r="BG209" t="s" s="0">
        <v>81</v>
      </c>
      <c r="BH209" t="s" s="0">
        <v>81</v>
      </c>
      <c r="BI209" t="s" s="0">
        <v>81</v>
      </c>
      <c r="BJ209" t="s" s="0">
        <v>5056</v>
      </c>
      <c r="BK209" t="s" s="414">
        <f>HYPERLINK("http://dx.doi.org/10.1108/JEIM-12-2025-1253","http://dx.doi.org/10.1108/JEIM-12-2025-1253")</f>
        <v>5057</v>
      </c>
      <c r="BL209" t="s" s="0">
        <v>81</v>
      </c>
      <c r="BM209" t="s" s="0">
        <v>143</v>
      </c>
      <c r="BN209" t="s" s="0">
        <v>434</v>
      </c>
      <c r="BO209" t="s" s="0">
        <v>5058</v>
      </c>
      <c r="BP209" t="s" s="0">
        <v>3185</v>
      </c>
      <c r="BQ209" t="s" s="0">
        <v>5059</v>
      </c>
      <c r="BR209" t="s" s="0">
        <v>81</v>
      </c>
      <c r="BS209" t="s" s="0">
        <v>5060</v>
      </c>
      <c r="BT209" t="s" s="415">
        <f>HYPERLINK("https://www.webofscience.com/wos/woscc/full-record/WOS:001702003600001","View Record in Web of Science")</f>
        <v>114</v>
      </c>
      <c r="BU209" t="s" s="0">
        <v>81</v>
      </c>
      <c r="BV209" t="s" s="0">
        <v>81</v>
      </c>
      <c r="BW209" t="s" s="0">
        <v>81</v>
      </c>
      <c r="BX209" t="s" s="0">
        <v>116</v>
      </c>
    </row>
    <row r="210">
      <c r="A210" t="s" s="0">
        <v>97</v>
      </c>
      <c r="B210" t="s" s="0">
        <v>77</v>
      </c>
      <c r="C210" t="s" s="0">
        <v>97</v>
      </c>
      <c r="D210" t="s" s="0">
        <v>77</v>
      </c>
      <c r="E210" t="s" s="0">
        <v>5061</v>
      </c>
      <c r="F210" t="s" s="0">
        <v>5062</v>
      </c>
      <c r="G210" t="s" s="0">
        <v>5063</v>
      </c>
      <c r="H210" t="s" s="0">
        <v>81</v>
      </c>
      <c r="I210" t="s" s="0">
        <v>82</v>
      </c>
      <c r="J210" t="s" s="0">
        <v>5064</v>
      </c>
      <c r="K210" t="s" s="0">
        <v>5065</v>
      </c>
      <c r="L210" t="s" s="0">
        <v>81</v>
      </c>
      <c r="M210" t="s" s="0">
        <v>81</v>
      </c>
      <c r="N210" t="s" s="0">
        <v>81</v>
      </c>
      <c r="O210" t="s" s="0">
        <v>5066</v>
      </c>
      <c r="P210" t="s" s="0">
        <v>5067</v>
      </c>
      <c r="Q210" t="s" s="0">
        <v>87</v>
      </c>
      <c r="R210" t="s" s="0">
        <v>81</v>
      </c>
      <c r="S210" t="s" s="0">
        <v>81</v>
      </c>
      <c r="T210" t="s" s="0">
        <v>81</v>
      </c>
      <c r="U210" t="s" s="0">
        <v>81</v>
      </c>
      <c r="V210" t="s" s="0">
        <v>5068</v>
      </c>
      <c r="W210" t="s" s="0">
        <v>3058</v>
      </c>
      <c r="X210" t="s" s="0">
        <v>81</v>
      </c>
      <c r="Y210" t="s" s="0">
        <v>81</v>
      </c>
      <c r="Z210" t="s" s="0">
        <v>90</v>
      </c>
      <c r="AA210" t="s" s="0">
        <v>91</v>
      </c>
      <c r="AB210" t="s" s="0">
        <v>81</v>
      </c>
      <c r="AC210" t="s" s="0">
        <v>81</v>
      </c>
      <c r="AD210" t="s" s="0">
        <v>81</v>
      </c>
      <c r="AE210" t="s" s="0">
        <v>81</v>
      </c>
      <c r="AF210" t="s" s="0">
        <v>81</v>
      </c>
      <c r="AG210" t="s" s="0">
        <v>5069</v>
      </c>
      <c r="AH210" t="s" s="0">
        <v>5070</v>
      </c>
      <c r="AI210" t="s" s="0">
        <v>81</v>
      </c>
      <c r="AJ210" t="s" s="0">
        <v>5071</v>
      </c>
      <c r="AK210" t="s" s="0">
        <v>81</v>
      </c>
      <c r="AL210" t="s" s="0">
        <v>173</v>
      </c>
      <c r="AM210" t="s" s="0">
        <v>316</v>
      </c>
      <c r="AN210" t="s" s="0">
        <v>381</v>
      </c>
      <c r="AO210" t="s" s="0">
        <v>156</v>
      </c>
      <c r="AP210" t="s" s="0">
        <v>134</v>
      </c>
      <c r="AQ210" t="s" s="0">
        <v>3061</v>
      </c>
      <c r="AR210" t="s" s="0">
        <v>3062</v>
      </c>
      <c r="AS210" t="s" s="0">
        <v>3063</v>
      </c>
      <c r="AT210" t="s" s="0">
        <v>3064</v>
      </c>
      <c r="AU210" t="s" s="0">
        <v>3065</v>
      </c>
      <c r="AV210" t="s" s="0">
        <v>81</v>
      </c>
      <c r="AW210" t="s" s="0">
        <v>3066</v>
      </c>
      <c r="AX210" t="s" s="0">
        <v>3067</v>
      </c>
      <c r="AY210" t="s" s="0">
        <v>1048</v>
      </c>
      <c r="AZ210" t="s" s="0">
        <v>290</v>
      </c>
      <c r="BA210" t="s" s="0">
        <v>671</v>
      </c>
      <c r="BB210" t="s" s="0">
        <v>81</v>
      </c>
      <c r="BC210" t="s" s="0">
        <v>81</v>
      </c>
      <c r="BD210" t="s" s="0">
        <v>81</v>
      </c>
      <c r="BE210" t="s" s="0">
        <v>81</v>
      </c>
      <c r="BF210" t="s" s="0">
        <v>81</v>
      </c>
      <c r="BG210" t="s" s="0">
        <v>81</v>
      </c>
      <c r="BH210" t="s" s="0">
        <v>81</v>
      </c>
      <c r="BI210" t="s" s="0">
        <v>5072</v>
      </c>
      <c r="BJ210" t="s" s="0">
        <v>5073</v>
      </c>
      <c r="BK210" t="s" s="416">
        <f>HYPERLINK("http://dx.doi.org/10.2196/63937","http://dx.doi.org/10.2196/63937")</f>
        <v>5074</v>
      </c>
      <c r="BL210" t="s" s="0">
        <v>81</v>
      </c>
      <c r="BM210" t="s" s="0">
        <v>81</v>
      </c>
      <c r="BN210" t="s" s="0">
        <v>104</v>
      </c>
      <c r="BO210" t="s" s="0">
        <v>792</v>
      </c>
      <c r="BP210" t="s" s="0">
        <v>792</v>
      </c>
      <c r="BQ210" t="s" s="0">
        <v>5075</v>
      </c>
      <c r="BR210" t="s" s="0">
        <v>5076</v>
      </c>
      <c r="BS210" t="s" s="0">
        <v>5077</v>
      </c>
      <c r="BT210" t="s" s="417">
        <f>HYPERLINK("https://www.webofscience.com/wos/woscc/full-record/WOS:001469638600006","View Record in Web of Science")</f>
        <v>114</v>
      </c>
      <c r="BU210" t="s" s="0">
        <v>301</v>
      </c>
      <c r="BV210" t="s" s="0">
        <v>81</v>
      </c>
      <c r="BW210" t="s" s="0">
        <v>81</v>
      </c>
      <c r="BX210" t="s" s="0">
        <v>116</v>
      </c>
    </row>
    <row r="211">
      <c r="A211" t="s" s="0">
        <v>77</v>
      </c>
      <c r="B211" t="s" s="0">
        <v>77</v>
      </c>
      <c r="C211" t="s" s="0">
        <v>77</v>
      </c>
      <c r="D211" t="s" s="0">
        <v>77</v>
      </c>
      <c r="E211" t="s" s="0">
        <v>5078</v>
      </c>
      <c r="F211" t="s" s="0">
        <v>5079</v>
      </c>
      <c r="G211" t="s" s="0">
        <v>5080</v>
      </c>
      <c r="H211" t="s" s="0">
        <v>81</v>
      </c>
      <c r="I211" t="s" s="0">
        <v>238</v>
      </c>
      <c r="J211" t="s" s="0">
        <v>5081</v>
      </c>
      <c r="K211" t="s" s="0">
        <v>5082</v>
      </c>
      <c r="L211" t="s" s="0">
        <v>5083</v>
      </c>
      <c r="M211" t="s" s="0">
        <v>5083</v>
      </c>
      <c r="N211" t="s" s="0">
        <v>5084</v>
      </c>
      <c r="O211" t="s" s="0">
        <v>5085</v>
      </c>
      <c r="P211" t="s" s="0">
        <v>5086</v>
      </c>
      <c r="Q211" t="s" s="0">
        <v>87</v>
      </c>
      <c r="R211" t="s" s="0">
        <v>81</v>
      </c>
      <c r="S211" t="s" s="0">
        <v>81</v>
      </c>
      <c r="T211" t="s" s="0">
        <v>81</v>
      </c>
      <c r="U211" t="s" s="0">
        <v>81</v>
      </c>
      <c r="V211" t="s" s="0">
        <v>5087</v>
      </c>
      <c r="W211" t="s" s="0">
        <v>5088</v>
      </c>
      <c r="X211" t="s" s="0">
        <v>81</v>
      </c>
      <c r="Y211" t="s" s="0">
        <v>81</v>
      </c>
      <c r="Z211" t="s" s="0">
        <v>90</v>
      </c>
      <c r="AA211" t="s" s="0">
        <v>91</v>
      </c>
      <c r="AB211" t="s" s="0">
        <v>81</v>
      </c>
      <c r="AC211" t="s" s="0">
        <v>81</v>
      </c>
      <c r="AD211" t="s" s="0">
        <v>81</v>
      </c>
      <c r="AE211" t="s" s="0">
        <v>81</v>
      </c>
      <c r="AF211" t="s" s="0">
        <v>81</v>
      </c>
      <c r="AG211" t="s" s="0">
        <v>5089</v>
      </c>
      <c r="AH211" t="s" s="0">
        <v>5090</v>
      </c>
      <c r="AI211" t="s" s="0">
        <v>81</v>
      </c>
      <c r="AJ211" t="s" s="0">
        <v>5091</v>
      </c>
      <c r="AK211" t="s" s="0">
        <v>81</v>
      </c>
      <c r="AL211" t="s" s="0">
        <v>366</v>
      </c>
      <c r="AM211" t="s" s="0">
        <v>77</v>
      </c>
      <c r="AN211" t="s" s="0">
        <v>77</v>
      </c>
      <c r="AO211" t="s" s="0">
        <v>97</v>
      </c>
      <c r="AP211" t="s" s="0">
        <v>97</v>
      </c>
      <c r="AQ211" t="s" s="0">
        <v>284</v>
      </c>
      <c r="AR211" t="s" s="0">
        <v>285</v>
      </c>
      <c r="AS211" t="s" s="0">
        <v>286</v>
      </c>
      <c r="AT211" t="s" s="0">
        <v>81</v>
      </c>
      <c r="AU211" t="s" s="0">
        <v>5092</v>
      </c>
      <c r="AV211" t="s" s="0">
        <v>81</v>
      </c>
      <c r="AW211" t="s" s="0">
        <v>5093</v>
      </c>
      <c r="AX211" t="s" s="0">
        <v>5094</v>
      </c>
      <c r="AY211" t="s" s="0">
        <v>5095</v>
      </c>
      <c r="AZ211" t="s" s="0">
        <v>290</v>
      </c>
      <c r="BA211" t="s" s="0">
        <v>234</v>
      </c>
      <c r="BB211" t="s" s="0">
        <v>175</v>
      </c>
      <c r="BC211" t="s" s="0">
        <v>81</v>
      </c>
      <c r="BD211" t="s" s="0">
        <v>81</v>
      </c>
      <c r="BE211" t="s" s="0">
        <v>81</v>
      </c>
      <c r="BF211" t="s" s="0">
        <v>81</v>
      </c>
      <c r="BG211" t="s" s="0">
        <v>81</v>
      </c>
      <c r="BH211" t="s" s="0">
        <v>81</v>
      </c>
      <c r="BI211" t="s" s="0">
        <v>5096</v>
      </c>
      <c r="BJ211" t="s" s="0">
        <v>5097</v>
      </c>
      <c r="BK211" t="s" s="418">
        <f>HYPERLINK("http://dx.doi.org/10.3390/make7040168","http://dx.doi.org/10.3390/make7040168")</f>
        <v>5098</v>
      </c>
      <c r="BL211" t="s" s="0">
        <v>81</v>
      </c>
      <c r="BM211" t="s" s="0">
        <v>81</v>
      </c>
      <c r="BN211" t="s" s="0">
        <v>543</v>
      </c>
      <c r="BO211" t="s" s="0">
        <v>5099</v>
      </c>
      <c r="BP211" t="s" s="0">
        <v>193</v>
      </c>
      <c r="BQ211" t="s" s="0">
        <v>5100</v>
      </c>
      <c r="BR211" t="s" s="0">
        <v>81</v>
      </c>
      <c r="BS211" t="s" s="0">
        <v>5101</v>
      </c>
      <c r="BT211" t="s" s="419">
        <f>HYPERLINK("https://www.webofscience.com/wos/woscc/full-record/WOS:001647011200001","View Record in Web of Science")</f>
        <v>114</v>
      </c>
      <c r="BU211" t="s" s="0">
        <v>270</v>
      </c>
      <c r="BV211" t="s" s="0">
        <v>81</v>
      </c>
      <c r="BW211" t="s" s="0">
        <v>81</v>
      </c>
      <c r="BX211" t="s" s="0">
        <v>116</v>
      </c>
    </row>
    <row r="212">
      <c r="A212" t="s" s="0">
        <v>77</v>
      </c>
      <c r="B212" t="s" s="0">
        <v>77</v>
      </c>
      <c r="C212" t="s" s="0">
        <v>97</v>
      </c>
      <c r="D212" t="s" s="0">
        <v>77</v>
      </c>
      <c r="E212" t="s" s="0">
        <v>5102</v>
      </c>
      <c r="F212" t="s" s="0">
        <v>5103</v>
      </c>
      <c r="G212" t="s" s="0">
        <v>5104</v>
      </c>
      <c r="H212" t="s" s="0">
        <v>81</v>
      </c>
      <c r="I212" t="s" s="0">
        <v>82</v>
      </c>
      <c r="J212" t="s" s="0">
        <v>5105</v>
      </c>
      <c r="K212" t="s" s="0">
        <v>5106</v>
      </c>
      <c r="L212" t="s" s="0">
        <v>5107</v>
      </c>
      <c r="M212" t="s" s="0">
        <v>5107</v>
      </c>
      <c r="N212" t="s" s="0">
        <v>5108</v>
      </c>
      <c r="O212" t="s" s="0">
        <v>5109</v>
      </c>
      <c r="P212" t="s" s="0">
        <v>5110</v>
      </c>
      <c r="Q212" t="s" s="0">
        <v>87</v>
      </c>
      <c r="R212" t="s" s="0">
        <v>81</v>
      </c>
      <c r="S212" t="s" s="0">
        <v>81</v>
      </c>
      <c r="T212" t="s" s="0">
        <v>81</v>
      </c>
      <c r="U212" t="s" s="0">
        <v>81</v>
      </c>
      <c r="V212" t="s" s="0">
        <v>5111</v>
      </c>
      <c r="W212" t="s" s="0">
        <v>5112</v>
      </c>
      <c r="X212" t="s" s="0">
        <v>81</v>
      </c>
      <c r="Y212" t="s" s="0">
        <v>81</v>
      </c>
      <c r="Z212" t="s" s="0">
        <v>90</v>
      </c>
      <c r="AA212" t="s" s="0">
        <v>91</v>
      </c>
      <c r="AB212" t="s" s="0">
        <v>81</v>
      </c>
      <c r="AC212" t="s" s="0">
        <v>81</v>
      </c>
      <c r="AD212" t="s" s="0">
        <v>81</v>
      </c>
      <c r="AE212" t="s" s="0">
        <v>81</v>
      </c>
      <c r="AF212" t="s" s="0">
        <v>81</v>
      </c>
      <c r="AG212" t="s" s="0">
        <v>5113</v>
      </c>
      <c r="AH212" t="s" s="0">
        <v>5114</v>
      </c>
      <c r="AI212" t="s" s="0">
        <v>5115</v>
      </c>
      <c r="AJ212" t="s" s="0">
        <v>81</v>
      </c>
      <c r="AK212" t="s" s="0">
        <v>81</v>
      </c>
      <c r="AL212" t="s" s="0">
        <v>5116</v>
      </c>
      <c r="AM212" t="s" s="0">
        <v>104</v>
      </c>
      <c r="AN212" t="s" s="0">
        <v>291</v>
      </c>
      <c r="AO212" t="s" s="0">
        <v>97</v>
      </c>
      <c r="AP212" t="s" s="0">
        <v>211</v>
      </c>
      <c r="AQ212" t="s" s="0">
        <v>665</v>
      </c>
      <c r="AR212" t="s" s="0">
        <v>546</v>
      </c>
      <c r="AS212" t="s" s="0">
        <v>666</v>
      </c>
      <c r="AT212" t="s" s="0">
        <v>5117</v>
      </c>
      <c r="AU212" t="s" s="0">
        <v>5118</v>
      </c>
      <c r="AV212" t="s" s="0">
        <v>81</v>
      </c>
      <c r="AW212" t="s" s="0">
        <v>5119</v>
      </c>
      <c r="AX212" t="s" s="0">
        <v>5120</v>
      </c>
      <c r="AY212" t="s" s="0">
        <v>5121</v>
      </c>
      <c r="AZ212" t="s" s="0">
        <v>185</v>
      </c>
      <c r="BA212" t="s" s="0">
        <v>890</v>
      </c>
      <c r="BB212" t="s" s="0">
        <v>97</v>
      </c>
      <c r="BC212" t="s" s="0">
        <v>81</v>
      </c>
      <c r="BD212" t="s" s="0">
        <v>81</v>
      </c>
      <c r="BE212" t="s" s="0">
        <v>81</v>
      </c>
      <c r="BF212" t="s" s="0">
        <v>81</v>
      </c>
      <c r="BG212" t="s" s="0">
        <v>81</v>
      </c>
      <c r="BH212" t="s" s="0">
        <v>81</v>
      </c>
      <c r="BI212" t="s" s="0">
        <v>5122</v>
      </c>
      <c r="BJ212" t="s" s="0">
        <v>5123</v>
      </c>
      <c r="BK212" t="s" s="420">
        <f>HYPERLINK("http://dx.doi.org/10.1186/s40001-024-01988-0","http://dx.doi.org/10.1186/s40001-024-01988-0")</f>
        <v>5124</v>
      </c>
      <c r="BL212" t="s" s="0">
        <v>81</v>
      </c>
      <c r="BM212" t="s" s="0">
        <v>81</v>
      </c>
      <c r="BN212" t="s" s="0">
        <v>210</v>
      </c>
      <c r="BO212" t="s" s="0">
        <v>5125</v>
      </c>
      <c r="BP212" t="s" s="0">
        <v>5126</v>
      </c>
      <c r="BQ212" t="s" s="0">
        <v>5127</v>
      </c>
      <c r="BR212" t="s" s="0">
        <v>5128</v>
      </c>
      <c r="BS212" t="s" s="0">
        <v>5129</v>
      </c>
      <c r="BT212" t="s" s="421">
        <f>HYPERLINK("https://www.webofscience.com/wos/woscc/full-record/WOS:001277681800003","View Record in Web of Science")</f>
        <v>114</v>
      </c>
      <c r="BU212" t="s" s="0">
        <v>301</v>
      </c>
      <c r="BV212" t="s" s="0">
        <v>81</v>
      </c>
      <c r="BW212" t="s" s="0">
        <v>81</v>
      </c>
      <c r="BX212" t="s" s="0">
        <v>116</v>
      </c>
    </row>
    <row r="213">
      <c r="A213" t="s" s="0">
        <v>77</v>
      </c>
      <c r="B213" t="s" s="0">
        <v>77</v>
      </c>
      <c r="C213" t="s" s="0">
        <v>77</v>
      </c>
      <c r="D213" t="s" s="0">
        <v>77</v>
      </c>
      <c r="E213" t="s" s="0">
        <v>5130</v>
      </c>
      <c r="F213" t="s" s="0">
        <v>5131</v>
      </c>
      <c r="G213" t="s" s="0">
        <v>5132</v>
      </c>
      <c r="H213" t="s" s="0">
        <v>81</v>
      </c>
      <c r="I213" t="s" s="0">
        <v>589</v>
      </c>
      <c r="J213" t="s" s="0">
        <v>5133</v>
      </c>
      <c r="K213" t="s" s="0">
        <v>5134</v>
      </c>
      <c r="L213" t="s" s="0">
        <v>81</v>
      </c>
      <c r="M213" t="s" s="0">
        <v>81</v>
      </c>
      <c r="N213" t="s" s="0">
        <v>3193</v>
      </c>
      <c r="O213" t="s" s="0">
        <v>5135</v>
      </c>
      <c r="P213" t="s" s="0">
        <v>5136</v>
      </c>
      <c r="Q213" t="s" s="0">
        <v>87</v>
      </c>
      <c r="R213" t="s" s="0">
        <v>81</v>
      </c>
      <c r="S213" t="s" s="0">
        <v>81</v>
      </c>
      <c r="T213" t="s" s="0">
        <v>81</v>
      </c>
      <c r="U213" t="s" s="0">
        <v>81</v>
      </c>
      <c r="V213" t="s" s="0">
        <v>5137</v>
      </c>
      <c r="W213" t="s" s="0">
        <v>3197</v>
      </c>
      <c r="X213" t="s" s="0">
        <v>81</v>
      </c>
      <c r="Y213" t="s" s="0">
        <v>81</v>
      </c>
      <c r="Z213" t="s" s="0">
        <v>90</v>
      </c>
      <c r="AA213" t="s" s="0">
        <v>91</v>
      </c>
      <c r="AB213" t="s" s="0">
        <v>81</v>
      </c>
      <c r="AC213" t="s" s="0">
        <v>81</v>
      </c>
      <c r="AD213" t="s" s="0">
        <v>81</v>
      </c>
      <c r="AE213" t="s" s="0">
        <v>81</v>
      </c>
      <c r="AF213" t="s" s="0">
        <v>81</v>
      </c>
      <c r="AG213" t="s" s="0">
        <v>5138</v>
      </c>
      <c r="AH213" t="s" s="0">
        <v>81</v>
      </c>
      <c r="AI213" t="s" s="0">
        <v>5139</v>
      </c>
      <c r="AJ213" t="s" s="0">
        <v>81</v>
      </c>
      <c r="AK213" t="s" s="0">
        <v>81</v>
      </c>
      <c r="AL213" t="s" s="0">
        <v>671</v>
      </c>
      <c r="AM213" t="s" s="0">
        <v>77</v>
      </c>
      <c r="AN213" t="s" s="0">
        <v>77</v>
      </c>
      <c r="AO213" t="s" s="0">
        <v>77</v>
      </c>
      <c r="AP213" t="s" s="0">
        <v>77</v>
      </c>
      <c r="AQ213" t="s" s="0">
        <v>284</v>
      </c>
      <c r="AR213" t="s" s="0">
        <v>285</v>
      </c>
      <c r="AS213" t="s" s="0">
        <v>286</v>
      </c>
      <c r="AT213" t="s" s="0">
        <v>81</v>
      </c>
      <c r="AU213" t="s" s="0">
        <v>3200</v>
      </c>
      <c r="AV213" t="s" s="0">
        <v>81</v>
      </c>
      <c r="AW213" t="s" s="0">
        <v>3201</v>
      </c>
      <c r="AX213" t="s" s="0">
        <v>3202</v>
      </c>
      <c r="AY213" t="s" s="0">
        <v>5140</v>
      </c>
      <c r="AZ213" t="s" s="0">
        <v>103</v>
      </c>
      <c r="BA213" t="s" s="0">
        <v>104</v>
      </c>
      <c r="BB213" t="s" s="0">
        <v>316</v>
      </c>
      <c r="BC213" t="s" s="0">
        <v>81</v>
      </c>
      <c r="BD213" t="s" s="0">
        <v>81</v>
      </c>
      <c r="BE213" t="s" s="0">
        <v>81</v>
      </c>
      <c r="BF213" t="s" s="0">
        <v>81</v>
      </c>
      <c r="BG213" t="s" s="0">
        <v>81</v>
      </c>
      <c r="BH213" t="s" s="0">
        <v>81</v>
      </c>
      <c r="BI213" t="s" s="0">
        <v>5141</v>
      </c>
      <c r="BJ213" t="s" s="0">
        <v>5142</v>
      </c>
      <c r="BK213" t="s" s="422">
        <f>HYPERLINK("http://dx.doi.org/10.3390/systems14060651","http://dx.doi.org/10.3390/systems14060651")</f>
        <v>5143</v>
      </c>
      <c r="BL213" t="s" s="0">
        <v>81</v>
      </c>
      <c r="BM213" t="s" s="0">
        <v>849</v>
      </c>
      <c r="BN213" t="s" s="0">
        <v>291</v>
      </c>
      <c r="BO213" t="s" s="0">
        <v>3207</v>
      </c>
      <c r="BP213" t="s" s="0">
        <v>3208</v>
      </c>
      <c r="BQ213" t="s" s="0">
        <v>5144</v>
      </c>
      <c r="BR213" t="s" s="0">
        <v>81</v>
      </c>
      <c r="BS213" t="s" s="0">
        <v>5145</v>
      </c>
      <c r="BT213" t="s" s="423">
        <f>HYPERLINK("https://www.webofscience.com/wos/woscc/full-record/WOS:001803476600001","View Record in Web of Science")</f>
        <v>114</v>
      </c>
      <c r="BU213" t="s" s="0">
        <v>115</v>
      </c>
      <c r="BV213" t="s" s="0">
        <v>81</v>
      </c>
      <c r="BW213" t="s" s="0">
        <v>81</v>
      </c>
      <c r="BX213" t="s" s="0">
        <v>116</v>
      </c>
    </row>
    <row r="214">
      <c r="A214" t="s" s="0">
        <v>77</v>
      </c>
      <c r="B214" t="s" s="0">
        <v>77</v>
      </c>
      <c r="C214" t="s" s="0">
        <v>77</v>
      </c>
      <c r="D214" t="s" s="0">
        <v>77</v>
      </c>
      <c r="E214" t="s" s="0">
        <v>5146</v>
      </c>
      <c r="F214" t="s" s="0">
        <v>5147</v>
      </c>
      <c r="G214" t="s" s="0">
        <v>5148</v>
      </c>
      <c r="H214" t="s" s="0">
        <v>81</v>
      </c>
      <c r="I214" t="s" s="0">
        <v>238</v>
      </c>
      <c r="J214" t="s" s="0">
        <v>5149</v>
      </c>
      <c r="K214" t="s" s="0">
        <v>5150</v>
      </c>
      <c r="L214" t="s" s="0">
        <v>81</v>
      </c>
      <c r="M214" t="s" s="0">
        <v>81</v>
      </c>
      <c r="N214" t="s" s="0">
        <v>81</v>
      </c>
      <c r="O214" t="s" s="0">
        <v>5151</v>
      </c>
      <c r="P214" t="s" s="0">
        <v>5152</v>
      </c>
      <c r="Q214" t="s" s="0">
        <v>87</v>
      </c>
      <c r="R214" t="s" s="0">
        <v>81</v>
      </c>
      <c r="S214" t="s" s="0">
        <v>81</v>
      </c>
      <c r="T214" t="s" s="0">
        <v>81</v>
      </c>
      <c r="U214" t="s" s="0">
        <v>81</v>
      </c>
      <c r="V214" t="s" s="0">
        <v>5153</v>
      </c>
      <c r="W214" t="s" s="0">
        <v>5154</v>
      </c>
      <c r="X214" t="s" s="0">
        <v>81</v>
      </c>
      <c r="Y214" t="s" s="0">
        <v>81</v>
      </c>
      <c r="Z214" t="s" s="0">
        <v>90</v>
      </c>
      <c r="AA214" t="s" s="0">
        <v>91</v>
      </c>
      <c r="AB214" t="s" s="0">
        <v>81</v>
      </c>
      <c r="AC214" t="s" s="0">
        <v>81</v>
      </c>
      <c r="AD214" t="s" s="0">
        <v>81</v>
      </c>
      <c r="AE214" t="s" s="0">
        <v>81</v>
      </c>
      <c r="AF214" t="s" s="0">
        <v>81</v>
      </c>
      <c r="AG214" t="s" s="0">
        <v>81</v>
      </c>
      <c r="AH214" t="s" s="0">
        <v>81</v>
      </c>
      <c r="AI214" t="s" s="0">
        <v>81</v>
      </c>
      <c r="AJ214" t="s" s="0">
        <v>81</v>
      </c>
      <c r="AK214" t="s" s="0">
        <v>81</v>
      </c>
      <c r="AL214" t="s" s="0">
        <v>1635</v>
      </c>
      <c r="AM214" t="s" s="0">
        <v>97</v>
      </c>
      <c r="AN214" t="s" s="0">
        <v>97</v>
      </c>
      <c r="AO214" t="s" s="0">
        <v>77</v>
      </c>
      <c r="AP214" t="s" s="0">
        <v>77</v>
      </c>
      <c r="AQ214" t="s" s="0">
        <v>5155</v>
      </c>
      <c r="AR214" t="s" s="0">
        <v>5156</v>
      </c>
      <c r="AS214" t="s" s="0">
        <v>5157</v>
      </c>
      <c r="AT214" t="s" s="0">
        <v>5158</v>
      </c>
      <c r="AU214" t="s" s="0">
        <v>5159</v>
      </c>
      <c r="AV214" t="s" s="0">
        <v>81</v>
      </c>
      <c r="AW214" t="s" s="0">
        <v>5160</v>
      </c>
      <c r="AX214" t="s" s="0">
        <v>5161</v>
      </c>
      <c r="AY214" t="s" s="0">
        <v>3366</v>
      </c>
      <c r="AZ214" t="s" s="0">
        <v>103</v>
      </c>
      <c r="BA214" t="s" s="0">
        <v>150</v>
      </c>
      <c r="BB214" t="s" s="0">
        <v>81</v>
      </c>
      <c r="BC214" t="s" s="0">
        <v>4172</v>
      </c>
      <c r="BD214" t="s" s="0">
        <v>81</v>
      </c>
      <c r="BE214" t="s" s="0">
        <v>81</v>
      </c>
      <c r="BF214" t="s" s="0">
        <v>81</v>
      </c>
      <c r="BG214" t="s" s="0">
        <v>5162</v>
      </c>
      <c r="BH214" t="s" s="0">
        <v>5163</v>
      </c>
      <c r="BI214" t="s" s="0">
        <v>81</v>
      </c>
      <c r="BJ214" t="s" s="0">
        <v>5164</v>
      </c>
      <c r="BK214" t="s" s="424">
        <f>HYPERLINK("http://dx.doi.org/10.1922/ejprd.v34i4s.1445","http://dx.doi.org/10.1922/ejprd.v34i4s.1445")</f>
        <v>5165</v>
      </c>
      <c r="BL214" t="s" s="0">
        <v>81</v>
      </c>
      <c r="BM214" t="s" s="0">
        <v>81</v>
      </c>
      <c r="BN214" t="s" s="0">
        <v>367</v>
      </c>
      <c r="BO214" t="s" s="0">
        <v>5166</v>
      </c>
      <c r="BP214" t="s" s="0">
        <v>5166</v>
      </c>
      <c r="BQ214" t="s" s="0">
        <v>5167</v>
      </c>
      <c r="BR214" t="s" s="0">
        <v>81</v>
      </c>
      <c r="BS214" t="s" s="0">
        <v>5168</v>
      </c>
      <c r="BT214" t="s" s="425">
        <f>HYPERLINK("https://www.webofscience.com/wos/woscc/full-record/WOS:001825910100017","View Record in Web of Science")</f>
        <v>114</v>
      </c>
      <c r="BU214" t="s" s="0">
        <v>81</v>
      </c>
      <c r="BV214" t="s" s="0">
        <v>81</v>
      </c>
      <c r="BW214" t="s" s="0">
        <v>81</v>
      </c>
      <c r="BX214" t="s" s="0">
        <v>116</v>
      </c>
    </row>
    <row r="215">
      <c r="A215" t="s" s="0">
        <v>77</v>
      </c>
      <c r="B215" t="s" s="0">
        <v>77</v>
      </c>
      <c r="C215" t="s" s="0">
        <v>77</v>
      </c>
      <c r="D215" t="s" s="0">
        <v>77</v>
      </c>
      <c r="E215" t="s" s="0">
        <v>5169</v>
      </c>
      <c r="F215" t="s" s="0">
        <v>5170</v>
      </c>
      <c r="G215" t="s" s="0">
        <v>5171</v>
      </c>
      <c r="H215" t="s" s="0">
        <v>81</v>
      </c>
      <c r="I215" t="s" s="0">
        <v>528</v>
      </c>
      <c r="J215" t="s" s="0">
        <v>5172</v>
      </c>
      <c r="K215" t="s" s="0">
        <v>5173</v>
      </c>
      <c r="L215" t="s" s="0">
        <v>5174</v>
      </c>
      <c r="M215" t="s" s="0">
        <v>1335</v>
      </c>
      <c r="N215" t="s" s="0">
        <v>5175</v>
      </c>
      <c r="O215" t="s" s="0">
        <v>5176</v>
      </c>
      <c r="P215" t="s" s="0">
        <v>5177</v>
      </c>
      <c r="Q215" t="s" s="0">
        <v>87</v>
      </c>
      <c r="R215" t="s" s="0">
        <v>81</v>
      </c>
      <c r="S215" t="s" s="0">
        <v>81</v>
      </c>
      <c r="T215" t="s" s="0">
        <v>81</v>
      </c>
      <c r="U215" t="s" s="0">
        <v>81</v>
      </c>
      <c r="V215" t="s" s="0">
        <v>5178</v>
      </c>
      <c r="W215" t="s" s="0">
        <v>838</v>
      </c>
      <c r="X215" t="s" s="0">
        <v>81</v>
      </c>
      <c r="Y215" t="s" s="0">
        <v>81</v>
      </c>
      <c r="Z215" t="s" s="0">
        <v>90</v>
      </c>
      <c r="AA215" t="s" s="0">
        <v>91</v>
      </c>
      <c r="AB215" t="s" s="0">
        <v>81</v>
      </c>
      <c r="AC215" t="s" s="0">
        <v>81</v>
      </c>
      <c r="AD215" t="s" s="0">
        <v>81</v>
      </c>
      <c r="AE215" t="s" s="0">
        <v>81</v>
      </c>
      <c r="AF215" t="s" s="0">
        <v>81</v>
      </c>
      <c r="AG215" t="s" s="0">
        <v>5179</v>
      </c>
      <c r="AH215" t="s" s="0">
        <v>5180</v>
      </c>
      <c r="AI215" t="s" s="0">
        <v>5181</v>
      </c>
      <c r="AJ215" t="s" s="0">
        <v>81</v>
      </c>
      <c r="AK215" t="s" s="0">
        <v>81</v>
      </c>
      <c r="AL215" t="s" s="0">
        <v>696</v>
      </c>
      <c r="AM215" t="s" s="0">
        <v>77</v>
      </c>
      <c r="AN215" t="s" s="0">
        <v>77</v>
      </c>
      <c r="AO215" t="s" s="0">
        <v>77</v>
      </c>
      <c r="AP215" t="s" s="0">
        <v>77</v>
      </c>
      <c r="AQ215" t="s" s="0">
        <v>368</v>
      </c>
      <c r="AR215" t="s" s="0">
        <v>369</v>
      </c>
      <c r="AS215" t="s" s="0">
        <v>370</v>
      </c>
      <c r="AT215" t="s" s="0">
        <v>81</v>
      </c>
      <c r="AU215" t="s" s="0">
        <v>842</v>
      </c>
      <c r="AV215" t="s" s="0">
        <v>81</v>
      </c>
      <c r="AW215" t="s" s="0">
        <v>843</v>
      </c>
      <c r="AX215" t="s" s="0">
        <v>844</v>
      </c>
      <c r="AY215" t="s" s="0">
        <v>5182</v>
      </c>
      <c r="AZ215" t="s" s="0">
        <v>103</v>
      </c>
      <c r="BA215" t="s" s="0">
        <v>104</v>
      </c>
      <c r="BB215" t="s" s="0">
        <v>81</v>
      </c>
      <c r="BC215" t="s" s="0">
        <v>81</v>
      </c>
      <c r="BD215" t="s" s="0">
        <v>81</v>
      </c>
      <c r="BE215" t="s" s="0">
        <v>81</v>
      </c>
      <c r="BF215" t="s" s="0">
        <v>81</v>
      </c>
      <c r="BG215" t="s" s="0">
        <v>81</v>
      </c>
      <c r="BH215" t="s" s="0">
        <v>81</v>
      </c>
      <c r="BI215" t="s" s="0">
        <v>5183</v>
      </c>
      <c r="BJ215" t="s" s="0">
        <v>5184</v>
      </c>
      <c r="BK215" t="s" s="426">
        <f>HYPERLINK("http://dx.doi.org/10.3389/fpubh.2026.1691449","http://dx.doi.org/10.3389/fpubh.2026.1691449")</f>
        <v>5185</v>
      </c>
      <c r="BL215" t="s" s="0">
        <v>81</v>
      </c>
      <c r="BM215" t="s" s="0">
        <v>675</v>
      </c>
      <c r="BN215" t="s" s="0">
        <v>104</v>
      </c>
      <c r="BO215" t="s" s="0">
        <v>850</v>
      </c>
      <c r="BP215" t="s" s="0">
        <v>850</v>
      </c>
      <c r="BQ215" t="s" s="0">
        <v>5186</v>
      </c>
      <c r="BR215" t="s" s="0">
        <v>5187</v>
      </c>
      <c r="BS215" t="s" s="0">
        <v>5188</v>
      </c>
      <c r="BT215" t="s" s="427">
        <f>HYPERLINK("https://www.webofscience.com/wos/woscc/full-record/WOS:001778611700001","View Record in Web of Science")</f>
        <v>114</v>
      </c>
      <c r="BU215" t="s" s="0">
        <v>301</v>
      </c>
      <c r="BV215" t="s" s="0">
        <v>81</v>
      </c>
      <c r="BW215" t="s" s="0">
        <v>81</v>
      </c>
      <c r="BX215" t="s" s="0">
        <v>116</v>
      </c>
    </row>
    <row r="216">
      <c r="A216" t="s" s="0">
        <v>77</v>
      </c>
      <c r="B216" t="s" s="0">
        <v>77</v>
      </c>
      <c r="C216" t="s" s="0">
        <v>77</v>
      </c>
      <c r="D216" t="s" s="0">
        <v>77</v>
      </c>
      <c r="E216" t="s" s="0">
        <v>5189</v>
      </c>
      <c r="F216" t="s" s="0">
        <v>5190</v>
      </c>
      <c r="G216" t="s" s="0">
        <v>5191</v>
      </c>
      <c r="H216" t="s" s="0">
        <v>81</v>
      </c>
      <c r="I216" t="s" s="0">
        <v>238</v>
      </c>
      <c r="J216" t="s" s="0">
        <v>5192</v>
      </c>
      <c r="K216" t="s" s="0">
        <v>5193</v>
      </c>
      <c r="L216" t="s" s="0">
        <v>5194</v>
      </c>
      <c r="M216" t="s" s="0">
        <v>5194</v>
      </c>
      <c r="N216" t="s" s="0">
        <v>5195</v>
      </c>
      <c r="O216" t="s" s="0">
        <v>5196</v>
      </c>
      <c r="P216" t="s" s="0">
        <v>5197</v>
      </c>
      <c r="Q216" t="s" s="0">
        <v>87</v>
      </c>
      <c r="R216" t="s" s="0">
        <v>81</v>
      </c>
      <c r="S216" t="s" s="0">
        <v>81</v>
      </c>
      <c r="T216" t="s" s="0">
        <v>81</v>
      </c>
      <c r="U216" t="s" s="0">
        <v>81</v>
      </c>
      <c r="V216" t="s" s="0">
        <v>5198</v>
      </c>
      <c r="W216" t="s" s="0">
        <v>5199</v>
      </c>
      <c r="X216" t="s" s="0">
        <v>81</v>
      </c>
      <c r="Y216" t="s" s="0">
        <v>81</v>
      </c>
      <c r="Z216" t="s" s="0">
        <v>90</v>
      </c>
      <c r="AA216" t="s" s="0">
        <v>91</v>
      </c>
      <c r="AB216" t="s" s="0">
        <v>81</v>
      </c>
      <c r="AC216" t="s" s="0">
        <v>81</v>
      </c>
      <c r="AD216" t="s" s="0">
        <v>81</v>
      </c>
      <c r="AE216" t="s" s="0">
        <v>81</v>
      </c>
      <c r="AF216" t="s" s="0">
        <v>81</v>
      </c>
      <c r="AG216" t="s" s="0">
        <v>5200</v>
      </c>
      <c r="AH216" t="s" s="0">
        <v>81</v>
      </c>
      <c r="AI216" t="s" s="0">
        <v>5201</v>
      </c>
      <c r="AJ216" t="s" s="0">
        <v>5202</v>
      </c>
      <c r="AK216" t="s" s="0">
        <v>81</v>
      </c>
      <c r="AL216" t="s" s="0">
        <v>176</v>
      </c>
      <c r="AM216" t="s" s="0">
        <v>77</v>
      </c>
      <c r="AN216" t="s" s="0">
        <v>77</v>
      </c>
      <c r="AO216" t="s" s="0">
        <v>97</v>
      </c>
      <c r="AP216" t="s" s="0">
        <v>156</v>
      </c>
      <c r="AQ216" t="s" s="0">
        <v>3016</v>
      </c>
      <c r="AR216" t="s" s="0">
        <v>546</v>
      </c>
      <c r="AS216" t="s" s="0">
        <v>3017</v>
      </c>
      <c r="AT216" t="s" s="0">
        <v>5203</v>
      </c>
      <c r="AU216" t="s" s="0">
        <v>5204</v>
      </c>
      <c r="AV216" t="s" s="0">
        <v>81</v>
      </c>
      <c r="AW216" t="s" s="0">
        <v>5205</v>
      </c>
      <c r="AX216" t="s" s="0">
        <v>5206</v>
      </c>
      <c r="AY216" t="s" s="0">
        <v>1743</v>
      </c>
      <c r="AZ216" t="s" s="0">
        <v>290</v>
      </c>
      <c r="BA216" t="s" s="0">
        <v>295</v>
      </c>
      <c r="BB216" t="s" s="0">
        <v>316</v>
      </c>
      <c r="BC216" t="s" s="0">
        <v>81</v>
      </c>
      <c r="BD216" t="s" s="0">
        <v>81</v>
      </c>
      <c r="BE216" t="s" s="0">
        <v>81</v>
      </c>
      <c r="BF216" t="s" s="0">
        <v>81</v>
      </c>
      <c r="BG216" t="s" s="0">
        <v>5207</v>
      </c>
      <c r="BH216" t="s" s="0">
        <v>5208</v>
      </c>
      <c r="BI216" t="s" s="0">
        <v>81</v>
      </c>
      <c r="BJ216" t="s" s="0">
        <v>5209</v>
      </c>
      <c r="BK216" t="s" s="428">
        <f>HYPERLINK("http://dx.doi.org/10.1007/s41060-025-00806-y","http://dx.doi.org/10.1007/s41060-025-00806-y")</f>
        <v>5210</v>
      </c>
      <c r="BL216" t="s" s="0">
        <v>81</v>
      </c>
      <c r="BM216" t="s" s="0">
        <v>615</v>
      </c>
      <c r="BN216" t="s" s="0">
        <v>367</v>
      </c>
      <c r="BO216" t="s" s="0">
        <v>898</v>
      </c>
      <c r="BP216" t="s" s="0">
        <v>152</v>
      </c>
      <c r="BQ216" t="s" s="0">
        <v>5211</v>
      </c>
      <c r="BR216" t="s" s="0">
        <v>81</v>
      </c>
      <c r="BS216" t="s" s="0">
        <v>5212</v>
      </c>
      <c r="BT216" t="s" s="429">
        <f>HYPERLINK("https://www.webofscience.com/wos/woscc/full-record/WOS:001499177100001","View Record in Web of Science")</f>
        <v>114</v>
      </c>
      <c r="BU216" t="s" s="0">
        <v>1055</v>
      </c>
      <c r="BV216" t="s" s="0">
        <v>81</v>
      </c>
      <c r="BW216" t="s" s="0">
        <v>81</v>
      </c>
      <c r="BX216" t="s" s="0">
        <v>116</v>
      </c>
    </row>
    <row r="217">
      <c r="A217" t="s" s="0">
        <v>77</v>
      </c>
      <c r="B217" t="s" s="0">
        <v>77</v>
      </c>
      <c r="C217" t="s" s="0">
        <v>175</v>
      </c>
      <c r="D217" t="s" s="0">
        <v>77</v>
      </c>
      <c r="E217" t="s" s="0">
        <v>5213</v>
      </c>
      <c r="F217" t="s" s="0">
        <v>5214</v>
      </c>
      <c r="G217" t="s" s="0">
        <v>5215</v>
      </c>
      <c r="H217" t="s" s="0">
        <v>81</v>
      </c>
      <c r="I217" t="s" s="0">
        <v>238</v>
      </c>
      <c r="J217" t="s" s="0">
        <v>5216</v>
      </c>
      <c r="K217" t="s" s="0">
        <v>5217</v>
      </c>
      <c r="L217" t="s" s="0">
        <v>5218</v>
      </c>
      <c r="M217" t="s" s="0">
        <v>5219</v>
      </c>
      <c r="N217" t="s" s="0">
        <v>5220</v>
      </c>
      <c r="O217" t="s" s="0">
        <v>5221</v>
      </c>
      <c r="P217" t="s" s="0">
        <v>5222</v>
      </c>
      <c r="Q217" t="s" s="0">
        <v>87</v>
      </c>
      <c r="R217" t="s" s="0">
        <v>81</v>
      </c>
      <c r="S217" t="s" s="0">
        <v>81</v>
      </c>
      <c r="T217" t="s" s="0">
        <v>81</v>
      </c>
      <c r="U217" t="s" s="0">
        <v>81</v>
      </c>
      <c r="V217" t="s" s="0">
        <v>5223</v>
      </c>
      <c r="W217" t="s" s="0">
        <v>4399</v>
      </c>
      <c r="X217" t="s" s="0">
        <v>81</v>
      </c>
      <c r="Y217" t="s" s="0">
        <v>81</v>
      </c>
      <c r="Z217" t="s" s="0">
        <v>90</v>
      </c>
      <c r="AA217" t="s" s="0">
        <v>91</v>
      </c>
      <c r="AB217" t="s" s="0">
        <v>81</v>
      </c>
      <c r="AC217" t="s" s="0">
        <v>81</v>
      </c>
      <c r="AD217" t="s" s="0">
        <v>81</v>
      </c>
      <c r="AE217" t="s" s="0">
        <v>81</v>
      </c>
      <c r="AF217" t="s" s="0">
        <v>81</v>
      </c>
      <c r="AG217" t="s" s="0">
        <v>5224</v>
      </c>
      <c r="AH217" t="s" s="0">
        <v>5225</v>
      </c>
      <c r="AI217" t="s" s="0">
        <v>5226</v>
      </c>
      <c r="AJ217" t="s" s="0">
        <v>81</v>
      </c>
      <c r="AK217" t="s" s="0">
        <v>81</v>
      </c>
      <c r="AL217" t="s" s="0">
        <v>4311</v>
      </c>
      <c r="AM217" t="s" s="0">
        <v>486</v>
      </c>
      <c r="AN217" t="s" s="0">
        <v>925</v>
      </c>
      <c r="AO217" t="s" s="0">
        <v>97</v>
      </c>
      <c r="AP217" t="s" s="0">
        <v>97</v>
      </c>
      <c r="AQ217" t="s" s="0">
        <v>136</v>
      </c>
      <c r="AR217" t="s" s="0">
        <v>137</v>
      </c>
      <c r="AS217" t="s" s="0">
        <v>138</v>
      </c>
      <c r="AT217" t="s" s="0">
        <v>4403</v>
      </c>
      <c r="AU217" t="s" s="0">
        <v>4404</v>
      </c>
      <c r="AV217" t="s" s="0">
        <v>81</v>
      </c>
      <c r="AW217" t="s" s="0">
        <v>4399</v>
      </c>
      <c r="AX217" t="s" s="0">
        <v>4405</v>
      </c>
      <c r="AY217" t="s" s="0">
        <v>4259</v>
      </c>
      <c r="AZ217" t="s" s="0">
        <v>260</v>
      </c>
      <c r="BA217" t="s" s="0">
        <v>252</v>
      </c>
      <c r="BB217" t="s" s="0">
        <v>81</v>
      </c>
      <c r="BC217" t="s" s="0">
        <v>81</v>
      </c>
      <c r="BD217" t="s" s="0">
        <v>81</v>
      </c>
      <c r="BE217" t="s" s="0">
        <v>81</v>
      </c>
      <c r="BF217" t="s" s="0">
        <v>81</v>
      </c>
      <c r="BG217" t="s" s="0">
        <v>81</v>
      </c>
      <c r="BH217" t="s" s="0">
        <v>81</v>
      </c>
      <c r="BI217" t="s" s="0">
        <v>5227</v>
      </c>
      <c r="BJ217" t="s" s="0">
        <v>5228</v>
      </c>
      <c r="BK217" t="s" s="430">
        <f>HYPERLINK("http://dx.doi.org/10.1016/j.smhl.2023.100429","http://dx.doi.org/10.1016/j.smhl.2023.100429")</f>
        <v>5229</v>
      </c>
      <c r="BL217" t="s" s="0">
        <v>81</v>
      </c>
      <c r="BM217" t="s" s="0">
        <v>265</v>
      </c>
      <c r="BN217" t="s" s="0">
        <v>434</v>
      </c>
      <c r="BO217" t="s" s="0">
        <v>1963</v>
      </c>
      <c r="BP217" t="s" s="0">
        <v>1963</v>
      </c>
      <c r="BQ217" t="s" s="0">
        <v>5230</v>
      </c>
      <c r="BR217" t="s" s="0">
        <v>81</v>
      </c>
      <c r="BS217" t="s" s="0">
        <v>5231</v>
      </c>
      <c r="BT217" t="s" s="431">
        <f>HYPERLINK("https://www.webofscience.com/wos/woscc/full-record/WOS:001610630900002","View Record in Web of Science")</f>
        <v>114</v>
      </c>
      <c r="BU217" t="s" s="0">
        <v>155</v>
      </c>
      <c r="BV217" t="s" s="0">
        <v>81</v>
      </c>
      <c r="BW217" t="s" s="0">
        <v>81</v>
      </c>
      <c r="BX217" t="s" s="0">
        <v>116</v>
      </c>
    </row>
    <row r="218">
      <c r="A218" t="s" s="0">
        <v>77</v>
      </c>
      <c r="B218" t="s" s="0">
        <v>77</v>
      </c>
      <c r="C218" t="s" s="0">
        <v>175</v>
      </c>
      <c r="D218" t="s" s="0">
        <v>77</v>
      </c>
      <c r="E218" t="s" s="0">
        <v>5232</v>
      </c>
      <c r="F218" t="s" s="0">
        <v>5233</v>
      </c>
      <c r="G218" t="s" s="0">
        <v>5234</v>
      </c>
      <c r="H218" t="s" s="0">
        <v>81</v>
      </c>
      <c r="I218" t="s" s="0">
        <v>82</v>
      </c>
      <c r="J218" t="s" s="0">
        <v>5235</v>
      </c>
      <c r="K218" t="s" s="0">
        <v>5236</v>
      </c>
      <c r="L218" t="s" s="0">
        <v>5237</v>
      </c>
      <c r="M218" t="s" s="0">
        <v>5238</v>
      </c>
      <c r="N218" t="s" s="0">
        <v>5239</v>
      </c>
      <c r="O218" t="s" s="0">
        <v>5240</v>
      </c>
      <c r="P218" t="s" s="0">
        <v>5241</v>
      </c>
      <c r="Q218" t="s" s="0">
        <v>87</v>
      </c>
      <c r="R218" t="s" s="0">
        <v>81</v>
      </c>
      <c r="S218" t="s" s="0">
        <v>81</v>
      </c>
      <c r="T218" t="s" s="0">
        <v>81</v>
      </c>
      <c r="U218" t="s" s="0">
        <v>81</v>
      </c>
      <c r="V218" t="s" s="0">
        <v>5242</v>
      </c>
      <c r="W218" t="s" s="0">
        <v>5243</v>
      </c>
      <c r="X218" t="s" s="0">
        <v>81</v>
      </c>
      <c r="Y218" t="s" s="0">
        <v>81</v>
      </c>
      <c r="Z218" t="s" s="0">
        <v>90</v>
      </c>
      <c r="AA218" t="s" s="0">
        <v>91</v>
      </c>
      <c r="AB218" t="s" s="0">
        <v>81</v>
      </c>
      <c r="AC218" t="s" s="0">
        <v>81</v>
      </c>
      <c r="AD218" t="s" s="0">
        <v>81</v>
      </c>
      <c r="AE218" t="s" s="0">
        <v>81</v>
      </c>
      <c r="AF218" t="s" s="0">
        <v>81</v>
      </c>
      <c r="AG218" t="s" s="0">
        <v>5244</v>
      </c>
      <c r="AH218" t="s" s="0">
        <v>5245</v>
      </c>
      <c r="AI218" t="s" s="0">
        <v>5246</v>
      </c>
      <c r="AJ218" t="s" s="0">
        <v>5247</v>
      </c>
      <c r="AK218" t="s" s="0">
        <v>81</v>
      </c>
      <c r="AL218" t="s" s="0">
        <v>2296</v>
      </c>
      <c r="AM218" t="s" s="0">
        <v>925</v>
      </c>
      <c r="AN218" t="s" s="0">
        <v>222</v>
      </c>
      <c r="AO218" t="s" s="0">
        <v>156</v>
      </c>
      <c r="AP218" t="s" s="0">
        <v>135</v>
      </c>
      <c r="AQ218" t="s" s="0">
        <v>136</v>
      </c>
      <c r="AR218" t="s" s="0">
        <v>137</v>
      </c>
      <c r="AS218" t="s" s="0">
        <v>138</v>
      </c>
      <c r="AT218" t="s" s="0">
        <v>5248</v>
      </c>
      <c r="AU218" t="s" s="0">
        <v>5249</v>
      </c>
      <c r="AV218" t="s" s="0">
        <v>81</v>
      </c>
      <c r="AW218" t="s" s="0">
        <v>5250</v>
      </c>
      <c r="AX218" t="s" s="0">
        <v>5251</v>
      </c>
      <c r="AY218" t="s" s="0">
        <v>1816</v>
      </c>
      <c r="AZ218" t="s" s="0">
        <v>185</v>
      </c>
      <c r="BA218" t="s" s="0">
        <v>5252</v>
      </c>
      <c r="BB218" t="s" s="0">
        <v>81</v>
      </c>
      <c r="BC218" t="s" s="0">
        <v>81</v>
      </c>
      <c r="BD218" t="s" s="0">
        <v>81</v>
      </c>
      <c r="BE218" t="s" s="0">
        <v>81</v>
      </c>
      <c r="BF218" t="s" s="0">
        <v>81</v>
      </c>
      <c r="BG218" t="s" s="0">
        <v>81</v>
      </c>
      <c r="BH218" t="s" s="0">
        <v>81</v>
      </c>
      <c r="BI218" t="s" s="0">
        <v>5253</v>
      </c>
      <c r="BJ218" t="s" s="0">
        <v>5254</v>
      </c>
      <c r="BK218" t="s" s="432">
        <f>HYPERLINK("http://dx.doi.org/10.1016/j.artmed.2024.102962","http://dx.doi.org/10.1016/j.artmed.2024.102962")</f>
        <v>5255</v>
      </c>
      <c r="BL218" t="s" s="0">
        <v>81</v>
      </c>
      <c r="BM218" t="s" s="0">
        <v>2879</v>
      </c>
      <c r="BN218" t="s" s="0">
        <v>104</v>
      </c>
      <c r="BO218" t="s" s="0">
        <v>5256</v>
      </c>
      <c r="BP218" t="s" s="0">
        <v>3235</v>
      </c>
      <c r="BQ218" t="s" s="0">
        <v>5257</v>
      </c>
      <c r="BR218" t="s" s="0">
        <v>5258</v>
      </c>
      <c r="BS218" t="s" s="0">
        <v>5259</v>
      </c>
      <c r="BT218" t="s" s="433">
        <f>HYPERLINK("https://www.webofscience.com/wos/woscc/full-record/WOS:001301468500001","View Record in Web of Science")</f>
        <v>114</v>
      </c>
      <c r="BU218" t="s" s="0">
        <v>155</v>
      </c>
      <c r="BV218" t="s" s="0">
        <v>81</v>
      </c>
      <c r="BW218" t="s" s="0">
        <v>81</v>
      </c>
      <c r="BX218" t="s" s="0">
        <v>116</v>
      </c>
    </row>
    <row r="219">
      <c r="A219" t="s" s="0">
        <v>77</v>
      </c>
      <c r="B219" t="s" s="0">
        <v>77</v>
      </c>
      <c r="C219" t="s" s="0">
        <v>77</v>
      </c>
      <c r="D219" t="s" s="0">
        <v>77</v>
      </c>
      <c r="E219" t="s" s="0">
        <v>5260</v>
      </c>
      <c r="F219" t="s" s="0">
        <v>5261</v>
      </c>
      <c r="G219" t="s" s="0">
        <v>5262</v>
      </c>
      <c r="H219" t="s" s="0">
        <v>81</v>
      </c>
      <c r="I219" t="s" s="0">
        <v>82</v>
      </c>
      <c r="J219" t="s" s="0">
        <v>5263</v>
      </c>
      <c r="K219" t="s" s="0">
        <v>5264</v>
      </c>
      <c r="L219" t="s" s="0">
        <v>81</v>
      </c>
      <c r="M219" t="s" s="0">
        <v>81</v>
      </c>
      <c r="N219" t="s" s="0">
        <v>81</v>
      </c>
      <c r="O219" t="s" s="0">
        <v>5265</v>
      </c>
      <c r="P219" t="s" s="0">
        <v>5266</v>
      </c>
      <c r="Q219" t="s" s="0">
        <v>87</v>
      </c>
      <c r="R219" t="s" s="0">
        <v>81</v>
      </c>
      <c r="S219" t="s" s="0">
        <v>81</v>
      </c>
      <c r="T219" t="s" s="0">
        <v>81</v>
      </c>
      <c r="U219" t="s" s="0">
        <v>81</v>
      </c>
      <c r="V219" t="s" s="0">
        <v>5267</v>
      </c>
      <c r="W219" t="s" s="0">
        <v>5268</v>
      </c>
      <c r="X219" t="s" s="0">
        <v>81</v>
      </c>
      <c r="Y219" t="s" s="0">
        <v>81</v>
      </c>
      <c r="Z219" t="s" s="0">
        <v>90</v>
      </c>
      <c r="AA219" t="s" s="0">
        <v>1581</v>
      </c>
      <c r="AB219" t="s" s="0">
        <v>81</v>
      </c>
      <c r="AC219" t="s" s="0">
        <v>81</v>
      </c>
      <c r="AD219" t="s" s="0">
        <v>81</v>
      </c>
      <c r="AE219" t="s" s="0">
        <v>81</v>
      </c>
      <c r="AF219" t="s" s="0">
        <v>81</v>
      </c>
      <c r="AG219" t="s" s="0">
        <v>5269</v>
      </c>
      <c r="AH219" t="s" s="0">
        <v>5270</v>
      </c>
      <c r="AI219" t="s" s="0">
        <v>5271</v>
      </c>
      <c r="AJ219" t="s" s="0">
        <v>81</v>
      </c>
      <c r="AK219" t="s" s="0">
        <v>81</v>
      </c>
      <c r="AL219" t="s" s="0">
        <v>1049</v>
      </c>
      <c r="AM219" t="s" s="0">
        <v>77</v>
      </c>
      <c r="AN219" t="s" s="0">
        <v>77</v>
      </c>
      <c r="AO219" t="s" s="0">
        <v>316</v>
      </c>
      <c r="AP219" t="s" s="0">
        <v>316</v>
      </c>
      <c r="AQ219" t="s" s="0">
        <v>5272</v>
      </c>
      <c r="AR219" t="s" s="0">
        <v>637</v>
      </c>
      <c r="AS219" t="s" s="0">
        <v>5273</v>
      </c>
      <c r="AT219" t="s" s="0">
        <v>5274</v>
      </c>
      <c r="AU219" t="s" s="0">
        <v>5275</v>
      </c>
      <c r="AV219" t="s" s="0">
        <v>81</v>
      </c>
      <c r="AW219" t="s" s="0">
        <v>5276</v>
      </c>
      <c r="AX219" t="s" s="0">
        <v>5277</v>
      </c>
      <c r="AY219" t="s" s="0">
        <v>81</v>
      </c>
      <c r="AZ219" t="s" s="0">
        <v>103</v>
      </c>
      <c r="BA219" t="s" s="0">
        <v>81</v>
      </c>
      <c r="BB219" t="s" s="0">
        <v>81</v>
      </c>
      <c r="BC219" t="s" s="0">
        <v>81</v>
      </c>
      <c r="BD219" t="s" s="0">
        <v>81</v>
      </c>
      <c r="BE219" t="s" s="0">
        <v>81</v>
      </c>
      <c r="BF219" t="s" s="0">
        <v>81</v>
      </c>
      <c r="BG219" t="s" s="0">
        <v>81</v>
      </c>
      <c r="BH219" t="s" s="0">
        <v>81</v>
      </c>
      <c r="BI219" t="s" s="0">
        <v>81</v>
      </c>
      <c r="BJ219" t="s" s="0">
        <v>5278</v>
      </c>
      <c r="BK219" t="s" s="434">
        <f>HYPERLINK("http://dx.doi.org/10.1080/21622965.2026.2654718","http://dx.doi.org/10.1080/21622965.2026.2654718")</f>
        <v>5279</v>
      </c>
      <c r="BL219" t="s" s="0">
        <v>81</v>
      </c>
      <c r="BM219" t="s" s="0">
        <v>948</v>
      </c>
      <c r="BN219" t="s" s="0">
        <v>295</v>
      </c>
      <c r="BO219" t="s" s="0">
        <v>5280</v>
      </c>
      <c r="BP219" t="s" s="0">
        <v>5281</v>
      </c>
      <c r="BQ219" t="s" s="0">
        <v>5282</v>
      </c>
      <c r="BR219" t="s" s="0">
        <v>5283</v>
      </c>
      <c r="BS219" t="s" s="0">
        <v>5284</v>
      </c>
      <c r="BT219" t="s" s="435">
        <f>HYPERLINK("https://www.webofscience.com/wos/woscc/full-record/WOS:001753715600001","View Record in Web of Science")</f>
        <v>114</v>
      </c>
      <c r="BU219" t="s" s="0">
        <v>81</v>
      </c>
      <c r="BV219" t="s" s="0">
        <v>81</v>
      </c>
      <c r="BW219" t="s" s="0">
        <v>81</v>
      </c>
      <c r="BX219" t="s" s="0">
        <v>116</v>
      </c>
    </row>
    <row r="220">
      <c r="A220" t="s" s="0">
        <v>77</v>
      </c>
      <c r="B220" t="s" s="0">
        <v>77</v>
      </c>
      <c r="C220" t="s" s="0">
        <v>77</v>
      </c>
      <c r="D220" t="s" s="0">
        <v>77</v>
      </c>
      <c r="E220" t="s" s="0">
        <v>5285</v>
      </c>
      <c r="F220" t="s" s="0">
        <v>5286</v>
      </c>
      <c r="G220" t="s" s="0">
        <v>5287</v>
      </c>
      <c r="H220" t="s" s="0">
        <v>81</v>
      </c>
      <c r="I220" t="s" s="0">
        <v>82</v>
      </c>
      <c r="J220" t="s" s="0">
        <v>5288</v>
      </c>
      <c r="K220" t="s" s="0">
        <v>5289</v>
      </c>
      <c r="L220" t="s" s="0">
        <v>81</v>
      </c>
      <c r="M220" t="s" s="0">
        <v>81</v>
      </c>
      <c r="N220" t="s" s="0">
        <v>81</v>
      </c>
      <c r="O220" t="s" s="0">
        <v>5290</v>
      </c>
      <c r="P220" t="s" s="0">
        <v>5291</v>
      </c>
      <c r="Q220" t="s" s="0">
        <v>87</v>
      </c>
      <c r="R220" t="s" s="0">
        <v>81</v>
      </c>
      <c r="S220" t="s" s="0">
        <v>81</v>
      </c>
      <c r="T220" t="s" s="0">
        <v>81</v>
      </c>
      <c r="U220" t="s" s="0">
        <v>81</v>
      </c>
      <c r="V220" t="s" s="0">
        <v>5292</v>
      </c>
      <c r="W220" t="s" s="0">
        <v>1954</v>
      </c>
      <c r="X220" t="s" s="0">
        <v>81</v>
      </c>
      <c r="Y220" t="s" s="0">
        <v>81</v>
      </c>
      <c r="Z220" t="s" s="0">
        <v>90</v>
      </c>
      <c r="AA220" t="s" s="0">
        <v>91</v>
      </c>
      <c r="AB220" t="s" s="0">
        <v>81</v>
      </c>
      <c r="AC220" t="s" s="0">
        <v>81</v>
      </c>
      <c r="AD220" t="s" s="0">
        <v>81</v>
      </c>
      <c r="AE220" t="s" s="0">
        <v>81</v>
      </c>
      <c r="AF220" t="s" s="0">
        <v>81</v>
      </c>
      <c r="AG220" t="s" s="0">
        <v>5293</v>
      </c>
      <c r="AH220" t="s" s="0">
        <v>5294</v>
      </c>
      <c r="AI220" t="s" s="0">
        <v>81</v>
      </c>
      <c r="AJ220" t="s" s="0">
        <v>5295</v>
      </c>
      <c r="AK220" t="s" s="0">
        <v>81</v>
      </c>
      <c r="AL220" t="s" s="0">
        <v>1785</v>
      </c>
      <c r="AM220" t="s" s="0">
        <v>77</v>
      </c>
      <c r="AN220" t="s" s="0">
        <v>77</v>
      </c>
      <c r="AO220" t="s" s="0">
        <v>97</v>
      </c>
      <c r="AP220" t="s" s="0">
        <v>97</v>
      </c>
      <c r="AQ220" t="s" s="0">
        <v>665</v>
      </c>
      <c r="AR220" t="s" s="0">
        <v>546</v>
      </c>
      <c r="AS220" t="s" s="0">
        <v>666</v>
      </c>
      <c r="AT220" t="s" s="0">
        <v>81</v>
      </c>
      <c r="AU220" t="s" s="0">
        <v>1957</v>
      </c>
      <c r="AV220" t="s" s="0">
        <v>81</v>
      </c>
      <c r="AW220" t="s" s="0">
        <v>1958</v>
      </c>
      <c r="AX220" t="s" s="0">
        <v>1959</v>
      </c>
      <c r="AY220" t="s" s="0">
        <v>5296</v>
      </c>
      <c r="AZ220" t="s" s="0">
        <v>103</v>
      </c>
      <c r="BA220" t="s" s="0">
        <v>228</v>
      </c>
      <c r="BB220" t="s" s="0">
        <v>97</v>
      </c>
      <c r="BC220" t="s" s="0">
        <v>81</v>
      </c>
      <c r="BD220" t="s" s="0">
        <v>81</v>
      </c>
      <c r="BE220" t="s" s="0">
        <v>81</v>
      </c>
      <c r="BF220" t="s" s="0">
        <v>81</v>
      </c>
      <c r="BG220" t="s" s="0">
        <v>81</v>
      </c>
      <c r="BH220" t="s" s="0">
        <v>81</v>
      </c>
      <c r="BI220" t="s" s="0">
        <v>5297</v>
      </c>
      <c r="BJ220" t="s" s="0">
        <v>5298</v>
      </c>
      <c r="BK220" t="s" s="436">
        <f>HYPERLINK("http://dx.doi.org/10.1186/s12911-026-03602-1","http://dx.doi.org/10.1186/s12911-026-03602-1")</f>
        <v>5299</v>
      </c>
      <c r="BL220" t="s" s="0">
        <v>81</v>
      </c>
      <c r="BM220" t="s" s="0">
        <v>3366</v>
      </c>
      <c r="BN220" t="s" s="0">
        <v>228</v>
      </c>
      <c r="BO220" t="s" s="0">
        <v>1963</v>
      </c>
      <c r="BP220" t="s" s="0">
        <v>1963</v>
      </c>
      <c r="BQ220" t="s" s="0">
        <v>5300</v>
      </c>
      <c r="BR220" t="s" s="0">
        <v>5301</v>
      </c>
      <c r="BS220" t="s" s="0">
        <v>5302</v>
      </c>
      <c r="BT220" t="s" s="437">
        <f>HYPERLINK("https://www.webofscience.com/wos/woscc/full-record/WOS:001812881500001","View Record in Web of Science")</f>
        <v>114</v>
      </c>
      <c r="BU220" t="s" s="0">
        <v>301</v>
      </c>
      <c r="BV220" t="s" s="0">
        <v>81</v>
      </c>
      <c r="BW220" t="s" s="0">
        <v>81</v>
      </c>
      <c r="BX220" t="s" s="0">
        <v>116</v>
      </c>
    </row>
    <row r="221">
      <c r="A221" t="s" s="0">
        <v>77</v>
      </c>
      <c r="B221" t="s" s="0">
        <v>77</v>
      </c>
      <c r="C221" t="s" s="0">
        <v>97</v>
      </c>
      <c r="D221" t="s" s="0">
        <v>77</v>
      </c>
      <c r="E221" t="s" s="0">
        <v>5303</v>
      </c>
      <c r="F221" t="s" s="0">
        <v>5304</v>
      </c>
      <c r="G221" t="s" s="0">
        <v>5305</v>
      </c>
      <c r="H221" t="s" s="0">
        <v>81</v>
      </c>
      <c r="I221" t="s" s="0">
        <v>238</v>
      </c>
      <c r="J221" t="s" s="0">
        <v>5306</v>
      </c>
      <c r="K221" t="s" s="0">
        <v>5307</v>
      </c>
      <c r="L221" t="s" s="0">
        <v>5308</v>
      </c>
      <c r="M221" t="s" s="0">
        <v>5309</v>
      </c>
      <c r="N221" t="s" s="0">
        <v>5310</v>
      </c>
      <c r="O221" t="s" s="0">
        <v>5311</v>
      </c>
      <c r="P221" t="s" s="0">
        <v>5312</v>
      </c>
      <c r="Q221" t="s" s="0">
        <v>87</v>
      </c>
      <c r="R221" t="s" s="0">
        <v>81</v>
      </c>
      <c r="S221" t="s" s="0">
        <v>81</v>
      </c>
      <c r="T221" t="s" s="0">
        <v>81</v>
      </c>
      <c r="U221" t="s" s="0">
        <v>81</v>
      </c>
      <c r="V221" t="s" s="0">
        <v>5313</v>
      </c>
      <c r="W221" t="s" s="0">
        <v>1202</v>
      </c>
      <c r="X221" t="s" s="0">
        <v>81</v>
      </c>
      <c r="Y221" t="s" s="0">
        <v>81</v>
      </c>
      <c r="Z221" t="s" s="0">
        <v>90</v>
      </c>
      <c r="AA221" t="s" s="0">
        <v>91</v>
      </c>
      <c r="AB221" t="s" s="0">
        <v>81</v>
      </c>
      <c r="AC221" t="s" s="0">
        <v>81</v>
      </c>
      <c r="AD221" t="s" s="0">
        <v>81</v>
      </c>
      <c r="AE221" t="s" s="0">
        <v>81</v>
      </c>
      <c r="AF221" t="s" s="0">
        <v>81</v>
      </c>
      <c r="AG221" t="s" s="0">
        <v>5314</v>
      </c>
      <c r="AH221" t="s" s="0">
        <v>5315</v>
      </c>
      <c r="AI221" t="s" s="0">
        <v>5316</v>
      </c>
      <c r="AJ221" t="s" s="0">
        <v>5317</v>
      </c>
      <c r="AK221" t="s" s="0">
        <v>81</v>
      </c>
      <c r="AL221" t="s" s="0">
        <v>697</v>
      </c>
      <c r="AM221" t="s" s="0">
        <v>316</v>
      </c>
      <c r="AN221" t="s" s="0">
        <v>316</v>
      </c>
      <c r="AO221" t="s" s="0">
        <v>77</v>
      </c>
      <c r="AP221" t="s" s="0">
        <v>486</v>
      </c>
      <c r="AQ221" t="s" s="0">
        <v>284</v>
      </c>
      <c r="AR221" t="s" s="0">
        <v>285</v>
      </c>
      <c r="AS221" t="s" s="0">
        <v>286</v>
      </c>
      <c r="AT221" t="s" s="0">
        <v>81</v>
      </c>
      <c r="AU221" t="s" s="0">
        <v>1208</v>
      </c>
      <c r="AV221" t="s" s="0">
        <v>81</v>
      </c>
      <c r="AW221" t="s" s="0">
        <v>1202</v>
      </c>
      <c r="AX221" t="s" s="0">
        <v>1209</v>
      </c>
      <c r="AY221" t="s" s="0">
        <v>5318</v>
      </c>
      <c r="AZ221" t="s" s="0">
        <v>220</v>
      </c>
      <c r="BA221" t="s" s="0">
        <v>291</v>
      </c>
      <c r="BB221" t="s" s="0">
        <v>211</v>
      </c>
      <c r="BC221" t="s" s="0">
        <v>81</v>
      </c>
      <c r="BD221" t="s" s="0">
        <v>81</v>
      </c>
      <c r="BE221" t="s" s="0">
        <v>81</v>
      </c>
      <c r="BF221" t="s" s="0">
        <v>81</v>
      </c>
      <c r="BG221" t="s" s="0">
        <v>81</v>
      </c>
      <c r="BH221" t="s" s="0">
        <v>81</v>
      </c>
      <c r="BI221" t="s" s="0">
        <v>5319</v>
      </c>
      <c r="BJ221" t="s" s="0">
        <v>5320</v>
      </c>
      <c r="BK221" t="s" s="438">
        <f>HYPERLINK("http://dx.doi.org/10.3390/a15100353","http://dx.doi.org/10.3390/a15100353")</f>
        <v>5321</v>
      </c>
      <c r="BL221" t="s" s="0">
        <v>81</v>
      </c>
      <c r="BM221" t="s" s="0">
        <v>81</v>
      </c>
      <c r="BN221" t="s" s="0">
        <v>485</v>
      </c>
      <c r="BO221" t="s" s="0">
        <v>151</v>
      </c>
      <c r="BP221" t="s" s="0">
        <v>152</v>
      </c>
      <c r="BQ221" t="s" s="0">
        <v>5322</v>
      </c>
      <c r="BR221" t="s" s="0">
        <v>81</v>
      </c>
      <c r="BS221" t="s" s="0">
        <v>5323</v>
      </c>
      <c r="BT221" t="s" s="439">
        <f>HYPERLINK("https://www.webofscience.com/wos/woscc/full-record/WOS:000871996900001","View Record in Web of Science")</f>
        <v>114</v>
      </c>
      <c r="BU221" t="s" s="0">
        <v>301</v>
      </c>
      <c r="BV221" t="s" s="0">
        <v>81</v>
      </c>
      <c r="BW221" t="s" s="0">
        <v>81</v>
      </c>
      <c r="BX221" t="s" s="0">
        <v>116</v>
      </c>
    </row>
    <row r="222">
      <c r="A222" t="s" s="0">
        <v>77</v>
      </c>
      <c r="B222" t="s" s="0">
        <v>77</v>
      </c>
      <c r="C222" t="s" s="0">
        <v>77</v>
      </c>
      <c r="D222" t="s" s="0">
        <v>77</v>
      </c>
      <c r="E222" t="s" s="0">
        <v>5324</v>
      </c>
      <c r="F222" t="s" s="0">
        <v>5325</v>
      </c>
      <c r="G222" t="s" s="0">
        <v>5326</v>
      </c>
      <c r="H222" t="s" s="0">
        <v>81</v>
      </c>
      <c r="I222" t="s" s="0">
        <v>238</v>
      </c>
      <c r="J222" t="s" s="0">
        <v>5327</v>
      </c>
      <c r="K222" t="s" s="0">
        <v>81</v>
      </c>
      <c r="L222" t="s" s="0">
        <v>5328</v>
      </c>
      <c r="M222" t="s" s="0">
        <v>5328</v>
      </c>
      <c r="N222" t="s" s="0">
        <v>5329</v>
      </c>
      <c r="O222" t="s" s="0">
        <v>5330</v>
      </c>
      <c r="P222" t="s" s="0">
        <v>5331</v>
      </c>
      <c r="Q222" t="s" s="0">
        <v>87</v>
      </c>
      <c r="R222" t="s" s="0">
        <v>81</v>
      </c>
      <c r="S222" t="s" s="0">
        <v>81</v>
      </c>
      <c r="T222" t="s" s="0">
        <v>81</v>
      </c>
      <c r="U222" t="s" s="0">
        <v>81</v>
      </c>
      <c r="V222" t="s" s="0">
        <v>5332</v>
      </c>
      <c r="W222" t="s" s="0">
        <v>1879</v>
      </c>
      <c r="X222" t="s" s="0">
        <v>81</v>
      </c>
      <c r="Y222" t="s" s="0">
        <v>81</v>
      </c>
      <c r="Z222" t="s" s="0">
        <v>90</v>
      </c>
      <c r="AA222" t="s" s="0">
        <v>91</v>
      </c>
      <c r="AB222" t="s" s="0">
        <v>81</v>
      </c>
      <c r="AC222" t="s" s="0">
        <v>81</v>
      </c>
      <c r="AD222" t="s" s="0">
        <v>81</v>
      </c>
      <c r="AE222" t="s" s="0">
        <v>81</v>
      </c>
      <c r="AF222" t="s" s="0">
        <v>81</v>
      </c>
      <c r="AG222" t="s" s="0">
        <v>5333</v>
      </c>
      <c r="AH222" t="s" s="0">
        <v>81</v>
      </c>
      <c r="AI222" t="s" s="0">
        <v>5334</v>
      </c>
      <c r="AJ222" t="s" s="0">
        <v>81</v>
      </c>
      <c r="AK222" t="s" s="0">
        <v>81</v>
      </c>
      <c r="AL222" t="s" s="0">
        <v>874</v>
      </c>
      <c r="AM222" t="s" s="0">
        <v>97</v>
      </c>
      <c r="AN222" t="s" s="0">
        <v>97</v>
      </c>
      <c r="AO222" t="s" s="0">
        <v>97</v>
      </c>
      <c r="AP222" t="s" s="0">
        <v>97</v>
      </c>
      <c r="AQ222" t="s" s="0">
        <v>1884</v>
      </c>
      <c r="AR222" t="s" s="0">
        <v>1885</v>
      </c>
      <c r="AS222" t="s" s="0">
        <v>1886</v>
      </c>
      <c r="AT222" t="s" s="0">
        <v>1887</v>
      </c>
      <c r="AU222" t="s" s="0">
        <v>1888</v>
      </c>
      <c r="AV222" t="s" s="0">
        <v>81</v>
      </c>
      <c r="AW222" t="s" s="0">
        <v>1889</v>
      </c>
      <c r="AX222" t="s" s="0">
        <v>1890</v>
      </c>
      <c r="AY222" t="s" s="0">
        <v>103</v>
      </c>
      <c r="AZ222" t="s" s="0">
        <v>103</v>
      </c>
      <c r="BA222" t="s" s="0">
        <v>222</v>
      </c>
      <c r="BB222" t="s" s="0">
        <v>97</v>
      </c>
      <c r="BC222" t="s" s="0">
        <v>81</v>
      </c>
      <c r="BD222" t="s" s="0">
        <v>81</v>
      </c>
      <c r="BE222" t="s" s="0">
        <v>81</v>
      </c>
      <c r="BF222" t="s" s="0">
        <v>81</v>
      </c>
      <c r="BG222" t="s" s="0">
        <v>5335</v>
      </c>
      <c r="BH222" t="s" s="0">
        <v>5336</v>
      </c>
      <c r="BI222" t="s" s="0">
        <v>81</v>
      </c>
      <c r="BJ222" t="s" s="0">
        <v>81</v>
      </c>
      <c r="BK222" t="s" s="0">
        <v>81</v>
      </c>
      <c r="BL222" t="s" s="0">
        <v>81</v>
      </c>
      <c r="BM222" t="s" s="0">
        <v>81</v>
      </c>
      <c r="BN222" t="s" s="0">
        <v>234</v>
      </c>
      <c r="BO222" t="s" s="0">
        <v>1895</v>
      </c>
      <c r="BP222" t="s" s="0">
        <v>152</v>
      </c>
      <c r="BQ222" t="s" s="0">
        <v>5337</v>
      </c>
      <c r="BR222" t="s" s="0">
        <v>81</v>
      </c>
      <c r="BS222" t="s" s="0">
        <v>5338</v>
      </c>
      <c r="BT222" t="s" s="440">
        <f>HYPERLINK("https://www.webofscience.com/wos/woscc/full-record/WOS:001690437400001","View Record in Web of Science")</f>
        <v>114</v>
      </c>
      <c r="BU222" t="s" s="0">
        <v>81</v>
      </c>
      <c r="BV222" t="s" s="0">
        <v>81</v>
      </c>
      <c r="BW222" t="s" s="0">
        <v>81</v>
      </c>
      <c r="BX222" t="s" s="0">
        <v>116</v>
      </c>
    </row>
    <row r="223">
      <c r="A223" t="s" s="0">
        <v>77</v>
      </c>
      <c r="B223" t="s" s="0">
        <v>77</v>
      </c>
      <c r="C223" t="s" s="0">
        <v>97</v>
      </c>
      <c r="D223" t="s" s="0">
        <v>77</v>
      </c>
      <c r="E223" t="s" s="0">
        <v>5339</v>
      </c>
      <c r="F223" t="s" s="0">
        <v>5340</v>
      </c>
      <c r="G223" t="s" s="0">
        <v>5341</v>
      </c>
      <c r="H223" t="s" s="0">
        <v>81</v>
      </c>
      <c r="I223" t="s" s="0">
        <v>82</v>
      </c>
      <c r="J223" t="s" s="0">
        <v>5342</v>
      </c>
      <c r="K223" t="s" s="0">
        <v>5343</v>
      </c>
      <c r="L223" t="s" s="0">
        <v>81</v>
      </c>
      <c r="M223" t="s" s="0">
        <v>81</v>
      </c>
      <c r="N223" t="s" s="0">
        <v>81</v>
      </c>
      <c r="O223" t="s" s="0">
        <v>5344</v>
      </c>
      <c r="P223" t="s" s="0">
        <v>5345</v>
      </c>
      <c r="Q223" t="s" s="0">
        <v>87</v>
      </c>
      <c r="R223" t="s" s="0">
        <v>81</v>
      </c>
      <c r="S223" t="s" s="0">
        <v>81</v>
      </c>
      <c r="T223" t="s" s="0">
        <v>81</v>
      </c>
      <c r="U223" t="s" s="0">
        <v>81</v>
      </c>
      <c r="V223" t="s" s="0">
        <v>5346</v>
      </c>
      <c r="W223" t="s" s="0">
        <v>5347</v>
      </c>
      <c r="X223" t="s" s="0">
        <v>81</v>
      </c>
      <c r="Y223" t="s" s="0">
        <v>81</v>
      </c>
      <c r="Z223" t="s" s="0">
        <v>90</v>
      </c>
      <c r="AA223" t="s" s="0">
        <v>91</v>
      </c>
      <c r="AB223" t="s" s="0">
        <v>81</v>
      </c>
      <c r="AC223" t="s" s="0">
        <v>81</v>
      </c>
      <c r="AD223" t="s" s="0">
        <v>81</v>
      </c>
      <c r="AE223" t="s" s="0">
        <v>81</v>
      </c>
      <c r="AF223" t="s" s="0">
        <v>81</v>
      </c>
      <c r="AG223" t="s" s="0">
        <v>5348</v>
      </c>
      <c r="AH223" t="s" s="0">
        <v>81</v>
      </c>
      <c r="AI223" t="s" s="0">
        <v>5349</v>
      </c>
      <c r="AJ223" t="s" s="0">
        <v>81</v>
      </c>
      <c r="AK223" t="s" s="0">
        <v>81</v>
      </c>
      <c r="AL223" t="s" s="0">
        <v>324</v>
      </c>
      <c r="AM223" t="s" s="0">
        <v>133</v>
      </c>
      <c r="AN223" t="s" s="0">
        <v>316</v>
      </c>
      <c r="AO223" t="s" s="0">
        <v>97</v>
      </c>
      <c r="AP223" t="s" s="0">
        <v>486</v>
      </c>
      <c r="AQ223" t="s" s="0">
        <v>5350</v>
      </c>
      <c r="AR223" t="s" s="0">
        <v>546</v>
      </c>
      <c r="AS223" t="s" s="0">
        <v>5351</v>
      </c>
      <c r="AT223" t="s" s="0">
        <v>5352</v>
      </c>
      <c r="AU223" t="s" s="0">
        <v>5353</v>
      </c>
      <c r="AV223" t="s" s="0">
        <v>81</v>
      </c>
      <c r="AW223" t="s" s="0">
        <v>5354</v>
      </c>
      <c r="AX223" t="s" s="0">
        <v>5355</v>
      </c>
      <c r="AY223" t="s" s="0">
        <v>5356</v>
      </c>
      <c r="AZ223" t="s" s="0">
        <v>290</v>
      </c>
      <c r="BA223" t="s" s="0">
        <v>485</v>
      </c>
      <c r="BB223" t="s" s="0">
        <v>175</v>
      </c>
      <c r="BC223" t="s" s="0">
        <v>81</v>
      </c>
      <c r="BD223" t="s" s="0">
        <v>81</v>
      </c>
      <c r="BE223" t="s" s="0">
        <v>81</v>
      </c>
      <c r="BF223" t="s" s="0">
        <v>81</v>
      </c>
      <c r="BG223" t="s" s="0">
        <v>81</v>
      </c>
      <c r="BH223" t="s" s="0">
        <v>81</v>
      </c>
      <c r="BI223" t="s" s="0">
        <v>5357</v>
      </c>
      <c r="BJ223" t="s" s="0">
        <v>5358</v>
      </c>
      <c r="BK223" t="s" s="441">
        <f>HYPERLINK("http://dx.doi.org/10.1007/s11760-025-03866-6","http://dx.doi.org/10.1007/s11760-025-03866-6")</f>
        <v>5359</v>
      </c>
      <c r="BL223" t="s" s="0">
        <v>81</v>
      </c>
      <c r="BM223" t="s" s="0">
        <v>81</v>
      </c>
      <c r="BN223" t="s" s="0">
        <v>261</v>
      </c>
      <c r="BO223" t="s" s="0">
        <v>5360</v>
      </c>
      <c r="BP223" t="s" s="0">
        <v>5361</v>
      </c>
      <c r="BQ223" t="s" s="0">
        <v>5362</v>
      </c>
      <c r="BR223" t="s" s="0">
        <v>81</v>
      </c>
      <c r="BS223" t="s" s="0">
        <v>5363</v>
      </c>
      <c r="BT223" t="s" s="442">
        <f>HYPERLINK("https://www.webofscience.com/wos/woscc/full-record/WOS:001427696600003","View Record in Web of Science")</f>
        <v>114</v>
      </c>
      <c r="BU223" t="s" s="0">
        <v>81</v>
      </c>
      <c r="BV223" t="s" s="0">
        <v>81</v>
      </c>
      <c r="BW223" t="s" s="0">
        <v>81</v>
      </c>
      <c r="BX223" t="s" s="0">
        <v>116</v>
      </c>
    </row>
    <row r="224">
      <c r="A224" t="s" s="0">
        <v>77</v>
      </c>
      <c r="B224" t="s" s="0">
        <v>77</v>
      </c>
      <c r="C224" t="s" s="0">
        <v>77</v>
      </c>
      <c r="D224" t="s" s="0">
        <v>77</v>
      </c>
      <c r="E224" t="s" s="0">
        <v>5364</v>
      </c>
      <c r="F224" t="s" s="0">
        <v>5365</v>
      </c>
      <c r="G224" t="s" s="0">
        <v>5366</v>
      </c>
      <c r="H224" t="s" s="0">
        <v>81</v>
      </c>
      <c r="I224" t="s" s="0">
        <v>82</v>
      </c>
      <c r="J224" t="s" s="0">
        <v>5367</v>
      </c>
      <c r="K224" t="s" s="0">
        <v>5368</v>
      </c>
      <c r="L224" t="s" s="0">
        <v>5369</v>
      </c>
      <c r="M224" t="s" s="0">
        <v>5370</v>
      </c>
      <c r="N224" t="s" s="0">
        <v>5371</v>
      </c>
      <c r="O224" t="s" s="0">
        <v>5372</v>
      </c>
      <c r="P224" t="s" s="0">
        <v>5373</v>
      </c>
      <c r="Q224" t="s" s="0">
        <v>87</v>
      </c>
      <c r="R224" t="s" s="0">
        <v>81</v>
      </c>
      <c r="S224" t="s" s="0">
        <v>81</v>
      </c>
      <c r="T224" t="s" s="0">
        <v>81</v>
      </c>
      <c r="U224" t="s" s="0">
        <v>81</v>
      </c>
      <c r="V224" t="s" s="0">
        <v>5374</v>
      </c>
      <c r="W224" t="s" s="0">
        <v>279</v>
      </c>
      <c r="X224" t="s" s="0">
        <v>81</v>
      </c>
      <c r="Y224" t="s" s="0">
        <v>81</v>
      </c>
      <c r="Z224" t="s" s="0">
        <v>90</v>
      </c>
      <c r="AA224" t="s" s="0">
        <v>91</v>
      </c>
      <c r="AB224" t="s" s="0">
        <v>81</v>
      </c>
      <c r="AC224" t="s" s="0">
        <v>81</v>
      </c>
      <c r="AD224" t="s" s="0">
        <v>81</v>
      </c>
      <c r="AE224" t="s" s="0">
        <v>81</v>
      </c>
      <c r="AF224" t="s" s="0">
        <v>81</v>
      </c>
      <c r="AG224" t="s" s="0">
        <v>5375</v>
      </c>
      <c r="AH224" t="s" s="0">
        <v>81</v>
      </c>
      <c r="AI224" t="s" s="0">
        <v>5376</v>
      </c>
      <c r="AJ224" t="s" s="0">
        <v>5377</v>
      </c>
      <c r="AK224" t="s" s="0">
        <v>81</v>
      </c>
      <c r="AL224" t="s" s="0">
        <v>543</v>
      </c>
      <c r="AM224" t="s" s="0">
        <v>196</v>
      </c>
      <c r="AN224" t="s" s="0">
        <v>196</v>
      </c>
      <c r="AO224" t="s" s="0">
        <v>156</v>
      </c>
      <c r="AP224" t="s" s="0">
        <v>156</v>
      </c>
      <c r="AQ224" t="s" s="0">
        <v>284</v>
      </c>
      <c r="AR224" t="s" s="0">
        <v>285</v>
      </c>
      <c r="AS224" t="s" s="0">
        <v>286</v>
      </c>
      <c r="AT224" t="s" s="0">
        <v>81</v>
      </c>
      <c r="AU224" t="s" s="0">
        <v>287</v>
      </c>
      <c r="AV224" t="s" s="0">
        <v>81</v>
      </c>
      <c r="AW224" t="s" s="0">
        <v>279</v>
      </c>
      <c r="AX224" t="s" s="0">
        <v>288</v>
      </c>
      <c r="AY224" t="s" s="0">
        <v>5378</v>
      </c>
      <c r="AZ224" t="s" s="0">
        <v>290</v>
      </c>
      <c r="BA224" t="s" s="0">
        <v>291</v>
      </c>
      <c r="BB224" t="s" s="0">
        <v>210</v>
      </c>
      <c r="BC224" t="s" s="0">
        <v>81</v>
      </c>
      <c r="BD224" t="s" s="0">
        <v>81</v>
      </c>
      <c r="BE224" t="s" s="0">
        <v>81</v>
      </c>
      <c r="BF224" t="s" s="0">
        <v>81</v>
      </c>
      <c r="BG224" t="s" s="0">
        <v>81</v>
      </c>
      <c r="BH224" t="s" s="0">
        <v>81</v>
      </c>
      <c r="BI224" t="s" s="0">
        <v>5379</v>
      </c>
      <c r="BJ224" t="s" s="0">
        <v>5380</v>
      </c>
      <c r="BK224" t="s" s="443">
        <f>HYPERLINK("http://dx.doi.org/10.3390/diagnostics15222890","http://dx.doi.org/10.3390/diagnostics15222890")</f>
        <v>5381</v>
      </c>
      <c r="BL224" t="s" s="0">
        <v>81</v>
      </c>
      <c r="BM224" t="s" s="0">
        <v>81</v>
      </c>
      <c r="BN224" t="s" s="0">
        <v>434</v>
      </c>
      <c r="BO224" t="s" s="0">
        <v>296</v>
      </c>
      <c r="BP224" t="s" s="0">
        <v>297</v>
      </c>
      <c r="BQ224" t="s" s="0">
        <v>5382</v>
      </c>
      <c r="BR224" t="s" s="0">
        <v>5383</v>
      </c>
      <c r="BS224" t="s" s="0">
        <v>5384</v>
      </c>
      <c r="BT224" t="s" s="444">
        <f>HYPERLINK("https://www.webofscience.com/wos/woscc/full-record/WOS:001624653600001","View Record in Web of Science")</f>
        <v>114</v>
      </c>
      <c r="BU224" t="s" s="0">
        <v>301</v>
      </c>
      <c r="BV224" t="s" s="0">
        <v>81</v>
      </c>
      <c r="BW224" t="s" s="0">
        <v>81</v>
      </c>
      <c r="BX224" t="s" s="0">
        <v>116</v>
      </c>
    </row>
    <row r="225">
      <c r="A225" t="s" s="0">
        <v>77</v>
      </c>
      <c r="B225" t="s" s="0">
        <v>77</v>
      </c>
      <c r="C225" t="s" s="0">
        <v>175</v>
      </c>
      <c r="D225" t="s" s="0">
        <v>77</v>
      </c>
      <c r="E225" t="s" s="0">
        <v>5385</v>
      </c>
      <c r="F225" t="s" s="0">
        <v>5386</v>
      </c>
      <c r="G225" t="s" s="0">
        <v>5387</v>
      </c>
      <c r="H225" t="s" s="0">
        <v>81</v>
      </c>
      <c r="I225" t="s" s="0">
        <v>238</v>
      </c>
      <c r="J225" t="s" s="0">
        <v>5388</v>
      </c>
      <c r="K225" t="s" s="0">
        <v>5389</v>
      </c>
      <c r="L225" t="s" s="0">
        <v>81</v>
      </c>
      <c r="M225" t="s" s="0">
        <v>81</v>
      </c>
      <c r="N225" t="s" s="0">
        <v>81</v>
      </c>
      <c r="O225" t="s" s="0">
        <v>5390</v>
      </c>
      <c r="P225" t="s" s="0">
        <v>5391</v>
      </c>
      <c r="Q225" t="s" s="0">
        <v>87</v>
      </c>
      <c r="R225" t="s" s="0">
        <v>81</v>
      </c>
      <c r="S225" t="s" s="0">
        <v>81</v>
      </c>
      <c r="T225" t="s" s="0">
        <v>81</v>
      </c>
      <c r="U225" t="s" s="0">
        <v>81</v>
      </c>
      <c r="V225" t="s" s="0">
        <v>5392</v>
      </c>
      <c r="W225" t="s" s="0">
        <v>3034</v>
      </c>
      <c r="X225" t="s" s="0">
        <v>81</v>
      </c>
      <c r="Y225" t="s" s="0">
        <v>81</v>
      </c>
      <c r="Z225" t="s" s="0">
        <v>90</v>
      </c>
      <c r="AA225" t="s" s="0">
        <v>91</v>
      </c>
      <c r="AB225" t="s" s="0">
        <v>81</v>
      </c>
      <c r="AC225" t="s" s="0">
        <v>81</v>
      </c>
      <c r="AD225" t="s" s="0">
        <v>81</v>
      </c>
      <c r="AE225" t="s" s="0">
        <v>81</v>
      </c>
      <c r="AF225" t="s" s="0">
        <v>81</v>
      </c>
      <c r="AG225" t="s" s="0">
        <v>5393</v>
      </c>
      <c r="AH225" t="s" s="0">
        <v>5394</v>
      </c>
      <c r="AI225" t="s" s="0">
        <v>5395</v>
      </c>
      <c r="AJ225" t="s" s="0">
        <v>5396</v>
      </c>
      <c r="AK225" t="s" s="0">
        <v>81</v>
      </c>
      <c r="AL225" t="s" s="0">
        <v>1047</v>
      </c>
      <c r="AM225" t="s" s="0">
        <v>486</v>
      </c>
      <c r="AN225" t="s" s="0">
        <v>925</v>
      </c>
      <c r="AO225" t="s" s="0">
        <v>77</v>
      </c>
      <c r="AP225" t="s" s="0">
        <v>133</v>
      </c>
      <c r="AQ225" t="s" s="0">
        <v>726</v>
      </c>
      <c r="AR225" t="s" s="0">
        <v>727</v>
      </c>
      <c r="AS225" t="s" s="0">
        <v>728</v>
      </c>
      <c r="AT225" t="s" s="0">
        <v>81</v>
      </c>
      <c r="AU225" t="s" s="0">
        <v>3038</v>
      </c>
      <c r="AV225" t="s" s="0">
        <v>81</v>
      </c>
      <c r="AW225" t="s" s="0">
        <v>3039</v>
      </c>
      <c r="AX225" t="s" s="0">
        <v>3040</v>
      </c>
      <c r="AY225" t="s" s="0">
        <v>5397</v>
      </c>
      <c r="AZ225" t="s" s="0">
        <v>290</v>
      </c>
      <c r="BA225" t="s" s="0">
        <v>134</v>
      </c>
      <c r="BB225" t="s" s="0">
        <v>97</v>
      </c>
      <c r="BC225" t="s" s="0">
        <v>81</v>
      </c>
      <c r="BD225" t="s" s="0">
        <v>81</v>
      </c>
      <c r="BE225" t="s" s="0">
        <v>81</v>
      </c>
      <c r="BF225" t="s" s="0">
        <v>81</v>
      </c>
      <c r="BG225" t="s" s="0">
        <v>81</v>
      </c>
      <c r="BH225" t="s" s="0">
        <v>81</v>
      </c>
      <c r="BI225" t="s" s="0">
        <v>5398</v>
      </c>
      <c r="BJ225" t="s" s="0">
        <v>5399</v>
      </c>
      <c r="BK225" t="s" s="445">
        <f>HYPERLINK("http://dx.doi.org/10.1049/htl2.12122","http://dx.doi.org/10.1049/htl2.12122")</f>
        <v>5400</v>
      </c>
      <c r="BL225" t="s" s="0">
        <v>81</v>
      </c>
      <c r="BM225" t="s" s="0">
        <v>81</v>
      </c>
      <c r="BN225" t="s" s="0">
        <v>295</v>
      </c>
      <c r="BO225" t="s" s="0">
        <v>2082</v>
      </c>
      <c r="BP225" t="s" s="0">
        <v>1003</v>
      </c>
      <c r="BQ225" t="s" s="0">
        <v>5401</v>
      </c>
      <c r="BR225" t="s" s="0">
        <v>5402</v>
      </c>
      <c r="BS225" t="s" s="0">
        <v>5403</v>
      </c>
      <c r="BT225" t="s" s="446">
        <f>HYPERLINK("https://www.webofscience.com/wos/woscc/full-record/WOS:001401251900001","View Record in Web of Science")</f>
        <v>114</v>
      </c>
      <c r="BU225" t="s" s="0">
        <v>301</v>
      </c>
      <c r="BV225" t="s" s="0">
        <v>81</v>
      </c>
      <c r="BW225" t="s" s="0">
        <v>81</v>
      </c>
      <c r="BX225" t="s" s="0">
        <v>116</v>
      </c>
    </row>
    <row r="226">
      <c r="A226" t="s" s="0">
        <v>77</v>
      </c>
      <c r="B226" t="s" s="0">
        <v>77</v>
      </c>
      <c r="C226" t="s" s="0">
        <v>156</v>
      </c>
      <c r="D226" t="s" s="0">
        <v>77</v>
      </c>
      <c r="E226" t="s" s="0">
        <v>5404</v>
      </c>
      <c r="F226" t="s" s="0">
        <v>5405</v>
      </c>
      <c r="G226" t="s" s="0">
        <v>5406</v>
      </c>
      <c r="H226" t="s" s="0">
        <v>81</v>
      </c>
      <c r="I226" t="s" s="0">
        <v>82</v>
      </c>
      <c r="J226" t="s" s="0">
        <v>5407</v>
      </c>
      <c r="K226" t="s" s="0">
        <v>5408</v>
      </c>
      <c r="L226" t="s" s="0">
        <v>5409</v>
      </c>
      <c r="M226" t="s" s="0">
        <v>5410</v>
      </c>
      <c r="N226" t="s" s="0">
        <v>5411</v>
      </c>
      <c r="O226" t="s" s="0">
        <v>5412</v>
      </c>
      <c r="P226" t="s" s="0">
        <v>5413</v>
      </c>
      <c r="Q226" t="s" s="0">
        <v>87</v>
      </c>
      <c r="R226" t="s" s="0">
        <v>81</v>
      </c>
      <c r="S226" t="s" s="0">
        <v>81</v>
      </c>
      <c r="T226" t="s" s="0">
        <v>81</v>
      </c>
      <c r="U226" t="s" s="0">
        <v>81</v>
      </c>
      <c r="V226" t="s" s="0">
        <v>5414</v>
      </c>
      <c r="W226" t="s" s="0">
        <v>5415</v>
      </c>
      <c r="X226" t="s" s="0">
        <v>81</v>
      </c>
      <c r="Y226" t="s" s="0">
        <v>81</v>
      </c>
      <c r="Z226" t="s" s="0">
        <v>90</v>
      </c>
      <c r="AA226" t="s" s="0">
        <v>91</v>
      </c>
      <c r="AB226" t="s" s="0">
        <v>81</v>
      </c>
      <c r="AC226" t="s" s="0">
        <v>81</v>
      </c>
      <c r="AD226" t="s" s="0">
        <v>81</v>
      </c>
      <c r="AE226" t="s" s="0">
        <v>81</v>
      </c>
      <c r="AF226" t="s" s="0">
        <v>81</v>
      </c>
      <c r="AG226" t="s" s="0">
        <v>5416</v>
      </c>
      <c r="AH226" t="s" s="0">
        <v>5417</v>
      </c>
      <c r="AI226" t="s" s="0">
        <v>5418</v>
      </c>
      <c r="AJ226" t="s" s="0">
        <v>5419</v>
      </c>
      <c r="AK226" t="s" s="0">
        <v>81</v>
      </c>
      <c r="AL226" t="s" s="0">
        <v>543</v>
      </c>
      <c r="AM226" t="s" s="0">
        <v>191</v>
      </c>
      <c r="AN226" t="s" s="0">
        <v>191</v>
      </c>
      <c r="AO226" t="s" s="0">
        <v>156</v>
      </c>
      <c r="AP226" t="s" s="0">
        <v>222</v>
      </c>
      <c r="AQ226" t="s" s="0">
        <v>136</v>
      </c>
      <c r="AR226" t="s" s="0">
        <v>137</v>
      </c>
      <c r="AS226" t="s" s="0">
        <v>138</v>
      </c>
      <c r="AT226" t="s" s="0">
        <v>5420</v>
      </c>
      <c r="AU226" t="s" s="0">
        <v>5421</v>
      </c>
      <c r="AV226" t="s" s="0">
        <v>81</v>
      </c>
      <c r="AW226" t="s" s="0">
        <v>5422</v>
      </c>
      <c r="AX226" t="s" s="0">
        <v>5423</v>
      </c>
      <c r="AY226" t="s" s="0">
        <v>190</v>
      </c>
      <c r="AZ226" t="s" s="0">
        <v>185</v>
      </c>
      <c r="BA226" t="s" s="0">
        <v>5424</v>
      </c>
      <c r="BB226" t="s" s="0">
        <v>81</v>
      </c>
      <c r="BC226" t="s" s="0">
        <v>81</v>
      </c>
      <c r="BD226" t="s" s="0">
        <v>81</v>
      </c>
      <c r="BE226" t="s" s="0">
        <v>81</v>
      </c>
      <c r="BF226" t="s" s="0">
        <v>81</v>
      </c>
      <c r="BG226" t="s" s="0">
        <v>1254</v>
      </c>
      <c r="BH226" t="s" s="0">
        <v>1561</v>
      </c>
      <c r="BI226" t="s" s="0">
        <v>81</v>
      </c>
      <c r="BJ226" t="s" s="0">
        <v>5425</v>
      </c>
      <c r="BK226" t="s" s="447">
        <f>HYPERLINK("http://dx.doi.org/10.1016/j.sleep.2023.12.013","http://dx.doi.org/10.1016/j.sleep.2023.12.013")</f>
        <v>5426</v>
      </c>
      <c r="BL226" t="s" s="0">
        <v>81</v>
      </c>
      <c r="BM226" t="s" s="0">
        <v>4259</v>
      </c>
      <c r="BN226" t="s" s="0">
        <v>261</v>
      </c>
      <c r="BO226" t="s" s="0">
        <v>4009</v>
      </c>
      <c r="BP226" t="s" s="0">
        <v>2504</v>
      </c>
      <c r="BQ226" t="s" s="0">
        <v>5427</v>
      </c>
      <c r="BR226" t="s" s="0">
        <v>5428</v>
      </c>
      <c r="BS226" t="s" s="0">
        <v>5429</v>
      </c>
      <c r="BT226" t="s" s="448">
        <f>HYPERLINK("https://www.webofscience.com/wos/woscc/full-record/WOS:001154736000001","View Record in Web of Science")</f>
        <v>114</v>
      </c>
      <c r="BU226" t="s" s="0">
        <v>81</v>
      </c>
      <c r="BV226" t="s" s="0">
        <v>81</v>
      </c>
      <c r="BW226" t="s" s="0">
        <v>81</v>
      </c>
      <c r="BX226" t="s" s="0">
        <v>116</v>
      </c>
    </row>
    <row r="227">
      <c r="A227" t="s" s="0">
        <v>77</v>
      </c>
      <c r="B227" t="s" s="0">
        <v>77</v>
      </c>
      <c r="C227" t="s" s="0">
        <v>77</v>
      </c>
      <c r="D227" t="s" s="0">
        <v>77</v>
      </c>
      <c r="E227" t="s" s="0">
        <v>5430</v>
      </c>
      <c r="F227" t="s" s="0">
        <v>5431</v>
      </c>
      <c r="G227" t="s" s="0">
        <v>5432</v>
      </c>
      <c r="H227" t="s" s="0">
        <v>81</v>
      </c>
      <c r="I227" t="s" s="0">
        <v>82</v>
      </c>
      <c r="J227" t="s" s="0">
        <v>5433</v>
      </c>
      <c r="K227" t="s" s="0">
        <v>5434</v>
      </c>
      <c r="L227" t="s" s="0">
        <v>5435</v>
      </c>
      <c r="M227" t="s" s="0">
        <v>5436</v>
      </c>
      <c r="N227" t="s" s="0">
        <v>5437</v>
      </c>
      <c r="O227" t="s" s="0">
        <v>5438</v>
      </c>
      <c r="P227" t="s" s="0">
        <v>5439</v>
      </c>
      <c r="Q227" t="s" s="0">
        <v>87</v>
      </c>
      <c r="R227" t="s" s="0">
        <v>81</v>
      </c>
      <c r="S227" t="s" s="0">
        <v>81</v>
      </c>
      <c r="T227" t="s" s="0">
        <v>81</v>
      </c>
      <c r="U227" t="s" s="0">
        <v>81</v>
      </c>
      <c r="V227" t="s" s="0">
        <v>5440</v>
      </c>
      <c r="W227" t="s" s="0">
        <v>5441</v>
      </c>
      <c r="X227" t="s" s="0">
        <v>81</v>
      </c>
      <c r="Y227" t="s" s="0">
        <v>81</v>
      </c>
      <c r="Z227" t="s" s="0">
        <v>90</v>
      </c>
      <c r="AA227" t="s" s="0">
        <v>91</v>
      </c>
      <c r="AB227" t="s" s="0">
        <v>81</v>
      </c>
      <c r="AC227" t="s" s="0">
        <v>81</v>
      </c>
      <c r="AD227" t="s" s="0">
        <v>81</v>
      </c>
      <c r="AE227" t="s" s="0">
        <v>81</v>
      </c>
      <c r="AF227" t="s" s="0">
        <v>81</v>
      </c>
      <c r="AG227" t="s" s="0">
        <v>5442</v>
      </c>
      <c r="AH227" t="s" s="0">
        <v>5443</v>
      </c>
      <c r="AI227" t="s" s="0">
        <v>5444</v>
      </c>
      <c r="AJ227" t="s" s="0">
        <v>5445</v>
      </c>
      <c r="AK227" t="s" s="0">
        <v>81</v>
      </c>
      <c r="AL227" t="s" s="0">
        <v>1049</v>
      </c>
      <c r="AM227" t="s" s="0">
        <v>156</v>
      </c>
      <c r="AN227" t="s" s="0">
        <v>156</v>
      </c>
      <c r="AO227" t="s" s="0">
        <v>97</v>
      </c>
      <c r="AP227" t="s" s="0">
        <v>261</v>
      </c>
      <c r="AQ227" t="s" s="0">
        <v>992</v>
      </c>
      <c r="AR227" t="s" s="0">
        <v>3780</v>
      </c>
      <c r="AS227" t="s" s="0">
        <v>3781</v>
      </c>
      <c r="AT227" t="s" s="0">
        <v>5446</v>
      </c>
      <c r="AU227" t="s" s="0">
        <v>5447</v>
      </c>
      <c r="AV227" t="s" s="0">
        <v>81</v>
      </c>
      <c r="AW227" t="s" s="0">
        <v>5448</v>
      </c>
      <c r="AX227" t="s" s="0">
        <v>5449</v>
      </c>
      <c r="AY227" t="s" s="0">
        <v>5450</v>
      </c>
      <c r="AZ227" t="s" s="0">
        <v>185</v>
      </c>
      <c r="BA227" t="s" s="0">
        <v>5451</v>
      </c>
      <c r="BB227" t="s" s="0">
        <v>874</v>
      </c>
      <c r="BC227" t="s" s="0">
        <v>81</v>
      </c>
      <c r="BD227" t="s" s="0">
        <v>81</v>
      </c>
      <c r="BE227" t="s" s="0">
        <v>81</v>
      </c>
      <c r="BF227" t="s" s="0">
        <v>81</v>
      </c>
      <c r="BG227" t="s" s="0">
        <v>81</v>
      </c>
      <c r="BH227" t="s" s="0">
        <v>81</v>
      </c>
      <c r="BI227" t="s" s="0">
        <v>5452</v>
      </c>
      <c r="BJ227" t="s" s="0">
        <v>5453</v>
      </c>
      <c r="BK227" t="s" s="449">
        <f>HYPERLINK("http://dx.doi.org/10.1088/1361-6560/ad8857","http://dx.doi.org/10.1088/1361-6560/ad8857")</f>
        <v>5454</v>
      </c>
      <c r="BL227" t="s" s="0">
        <v>81</v>
      </c>
      <c r="BM227" t="s" s="0">
        <v>81</v>
      </c>
      <c r="BN227" t="s" s="0">
        <v>104</v>
      </c>
      <c r="BO227" t="s" s="0">
        <v>4383</v>
      </c>
      <c r="BP227" t="s" s="0">
        <v>4384</v>
      </c>
      <c r="BQ227" t="s" s="0">
        <v>5455</v>
      </c>
      <c r="BR227" t="s" s="0">
        <v>5456</v>
      </c>
      <c r="BS227" t="s" s="0">
        <v>5457</v>
      </c>
      <c r="BT227" t="s" s="450">
        <f>HYPERLINK("https://www.webofscience.com/wos/woscc/full-record/WOS:001345829500001","View Record in Web of Science")</f>
        <v>114</v>
      </c>
      <c r="BU227" t="s" s="0">
        <v>2112</v>
      </c>
      <c r="BV227" t="s" s="0">
        <v>81</v>
      </c>
      <c r="BW227" t="s" s="0">
        <v>81</v>
      </c>
      <c r="BX227" t="s" s="0">
        <v>116</v>
      </c>
    </row>
    <row r="228">
      <c r="A228" t="s" s="0">
        <v>77</v>
      </c>
      <c r="B228" t="s" s="0">
        <v>77</v>
      </c>
      <c r="C228" t="s" s="0">
        <v>77</v>
      </c>
      <c r="D228" t="s" s="0">
        <v>77</v>
      </c>
      <c r="E228" t="s" s="0">
        <v>5458</v>
      </c>
      <c r="F228" t="s" s="0">
        <v>5459</v>
      </c>
      <c r="G228" t="s" s="0">
        <v>5460</v>
      </c>
      <c r="H228" t="s" s="0">
        <v>81</v>
      </c>
      <c r="I228" t="s" s="0">
        <v>82</v>
      </c>
      <c r="J228" t="s" s="0">
        <v>5461</v>
      </c>
      <c r="K228" t="s" s="0">
        <v>5462</v>
      </c>
      <c r="L228" t="s" s="0">
        <v>5463</v>
      </c>
      <c r="M228" t="s" s="0">
        <v>5464</v>
      </c>
      <c r="N228" t="s" s="0">
        <v>5465</v>
      </c>
      <c r="O228" t="s" s="0">
        <v>5466</v>
      </c>
      <c r="P228" t="s" s="0">
        <v>5467</v>
      </c>
      <c r="Q228" t="s" s="0">
        <v>87</v>
      </c>
      <c r="R228" t="s" s="0">
        <v>81</v>
      </c>
      <c r="S228" t="s" s="0">
        <v>81</v>
      </c>
      <c r="T228" t="s" s="0">
        <v>81</v>
      </c>
      <c r="U228" t="s" s="0">
        <v>81</v>
      </c>
      <c r="V228" t="s" s="0">
        <v>5468</v>
      </c>
      <c r="W228" t="s" s="0">
        <v>910</v>
      </c>
      <c r="X228" t="s" s="0">
        <v>81</v>
      </c>
      <c r="Y228" t="s" s="0">
        <v>81</v>
      </c>
      <c r="Z228" t="s" s="0">
        <v>90</v>
      </c>
      <c r="AA228" t="s" s="0">
        <v>91</v>
      </c>
      <c r="AB228" t="s" s="0">
        <v>81</v>
      </c>
      <c r="AC228" t="s" s="0">
        <v>81</v>
      </c>
      <c r="AD228" t="s" s="0">
        <v>81</v>
      </c>
      <c r="AE228" t="s" s="0">
        <v>81</v>
      </c>
      <c r="AF228" t="s" s="0">
        <v>81</v>
      </c>
      <c r="AG228" t="s" s="0">
        <v>5469</v>
      </c>
      <c r="AH228" t="s" s="0">
        <v>5470</v>
      </c>
      <c r="AI228" t="s" s="0">
        <v>5471</v>
      </c>
      <c r="AJ228" t="s" s="0">
        <v>5472</v>
      </c>
      <c r="AK228" t="s" s="0">
        <v>81</v>
      </c>
      <c r="AL228" t="s" s="0">
        <v>5451</v>
      </c>
      <c r="AM228" t="s" s="0">
        <v>133</v>
      </c>
      <c r="AN228" t="s" s="0">
        <v>316</v>
      </c>
      <c r="AO228" t="s" s="0">
        <v>77</v>
      </c>
      <c r="AP228" t="s" s="0">
        <v>77</v>
      </c>
      <c r="AQ228" t="s" s="0">
        <v>915</v>
      </c>
      <c r="AR228" t="s" s="0">
        <v>916</v>
      </c>
      <c r="AS228" t="s" s="0">
        <v>917</v>
      </c>
      <c r="AT228" t="s" s="0">
        <v>918</v>
      </c>
      <c r="AU228" t="s" s="0">
        <v>81</v>
      </c>
      <c r="AV228" t="s" s="0">
        <v>81</v>
      </c>
      <c r="AW228" t="s" s="0">
        <v>919</v>
      </c>
      <c r="AX228" t="s" s="0">
        <v>920</v>
      </c>
      <c r="AY228" t="s" s="0">
        <v>5473</v>
      </c>
      <c r="AZ228" t="s" s="0">
        <v>290</v>
      </c>
      <c r="BA228" t="s" s="0">
        <v>291</v>
      </c>
      <c r="BB228" t="s" s="0">
        <v>97</v>
      </c>
      <c r="BC228" t="s" s="0">
        <v>81</v>
      </c>
      <c r="BD228" t="s" s="0">
        <v>81</v>
      </c>
      <c r="BE228" t="s" s="0">
        <v>81</v>
      </c>
      <c r="BF228" t="s" s="0">
        <v>81</v>
      </c>
      <c r="BG228" t="s" s="0">
        <v>81</v>
      </c>
      <c r="BH228" t="s" s="0">
        <v>81</v>
      </c>
      <c r="BI228" t="s" s="0">
        <v>5474</v>
      </c>
      <c r="BJ228" t="s" s="0">
        <v>5475</v>
      </c>
      <c r="BK228" t="s" s="451">
        <f>HYPERLINK("http://dx.doi.org/10.1038/s41598-025-13619-7","http://dx.doi.org/10.1038/s41598-025-13619-7")</f>
        <v>5476</v>
      </c>
      <c r="BL228" t="s" s="0">
        <v>81</v>
      </c>
      <c r="BM228" t="s" s="0">
        <v>81</v>
      </c>
      <c r="BN228" t="s" s="0">
        <v>291</v>
      </c>
      <c r="BO228" t="s" s="0">
        <v>926</v>
      </c>
      <c r="BP228" t="s" s="0">
        <v>927</v>
      </c>
      <c r="BQ228" t="s" s="0">
        <v>5477</v>
      </c>
      <c r="BR228" t="s" s="0">
        <v>5478</v>
      </c>
      <c r="BS228" t="s" s="0">
        <v>5479</v>
      </c>
      <c r="BT228" t="s" s="452">
        <f>HYPERLINK("https://www.webofscience.com/wos/woscc/full-record/WOS:001559642200019","View Record in Web of Science")</f>
        <v>114</v>
      </c>
      <c r="BU228" t="s" s="0">
        <v>301</v>
      </c>
      <c r="BV228" t="s" s="0">
        <v>81</v>
      </c>
      <c r="BW228" t="s" s="0">
        <v>81</v>
      </c>
      <c r="BX228" t="s" s="0">
        <v>116</v>
      </c>
    </row>
    <row r="229">
      <c r="A229" t="s" s="0">
        <v>77</v>
      </c>
      <c r="B229" t="s" s="0">
        <v>77</v>
      </c>
      <c r="C229" t="s" s="0">
        <v>77</v>
      </c>
      <c r="D229" t="s" s="0">
        <v>77</v>
      </c>
      <c r="E229" t="s" s="0">
        <v>5480</v>
      </c>
      <c r="F229" t="s" s="0">
        <v>5481</v>
      </c>
      <c r="G229" t="s" s="0">
        <v>5482</v>
      </c>
      <c r="H229" t="s" s="0">
        <v>81</v>
      </c>
      <c r="I229" t="s" s="0">
        <v>82</v>
      </c>
      <c r="J229" t="s" s="0">
        <v>5483</v>
      </c>
      <c r="K229" t="s" s="0">
        <v>5484</v>
      </c>
      <c r="L229" t="s" s="0">
        <v>5485</v>
      </c>
      <c r="M229" t="s" s="0">
        <v>5486</v>
      </c>
      <c r="N229" t="s" s="0">
        <v>5487</v>
      </c>
      <c r="O229" t="s" s="0">
        <v>5488</v>
      </c>
      <c r="P229" t="s" s="0">
        <v>5489</v>
      </c>
      <c r="Q229" t="s" s="0">
        <v>87</v>
      </c>
      <c r="R229" t="s" s="0">
        <v>81</v>
      </c>
      <c r="S229" t="s" s="0">
        <v>5490</v>
      </c>
      <c r="T229" t="s" s="0">
        <v>81</v>
      </c>
      <c r="U229" t="s" s="0">
        <v>81</v>
      </c>
      <c r="V229" t="s" s="0">
        <v>5491</v>
      </c>
      <c r="W229" t="s" s="0">
        <v>3058</v>
      </c>
      <c r="X229" t="s" s="0">
        <v>81</v>
      </c>
      <c r="Y229" t="s" s="0">
        <v>81</v>
      </c>
      <c r="Z229" t="s" s="0">
        <v>90</v>
      </c>
      <c r="AA229" t="s" s="0">
        <v>91</v>
      </c>
      <c r="AB229" t="s" s="0">
        <v>81</v>
      </c>
      <c r="AC229" t="s" s="0">
        <v>81</v>
      </c>
      <c r="AD229" t="s" s="0">
        <v>81</v>
      </c>
      <c r="AE229" t="s" s="0">
        <v>81</v>
      </c>
      <c r="AF229" t="s" s="0">
        <v>81</v>
      </c>
      <c r="AG229" t="s" s="0">
        <v>5492</v>
      </c>
      <c r="AH229" t="s" s="0">
        <v>5493</v>
      </c>
      <c r="AI229" t="s" s="0">
        <v>5494</v>
      </c>
      <c r="AJ229" t="s" s="0">
        <v>5495</v>
      </c>
      <c r="AK229" t="s" s="0">
        <v>81</v>
      </c>
      <c r="AL229" t="s" s="0">
        <v>5496</v>
      </c>
      <c r="AM229" t="s" s="0">
        <v>77</v>
      </c>
      <c r="AN229" t="s" s="0">
        <v>77</v>
      </c>
      <c r="AO229" t="s" s="0">
        <v>97</v>
      </c>
      <c r="AP229" t="s" s="0">
        <v>97</v>
      </c>
      <c r="AQ229" t="s" s="0">
        <v>3061</v>
      </c>
      <c r="AR229" t="s" s="0">
        <v>3062</v>
      </c>
      <c r="AS229" t="s" s="0">
        <v>3063</v>
      </c>
      <c r="AT229" t="s" s="0">
        <v>3064</v>
      </c>
      <c r="AU229" t="s" s="0">
        <v>3065</v>
      </c>
      <c r="AV229" t="s" s="0">
        <v>81</v>
      </c>
      <c r="AW229" t="s" s="0">
        <v>3066</v>
      </c>
      <c r="AX229" t="s" s="0">
        <v>3067</v>
      </c>
      <c r="AY229" t="s" s="0">
        <v>5497</v>
      </c>
      <c r="AZ229" t="s" s="0">
        <v>103</v>
      </c>
      <c r="BA229" t="s" s="0">
        <v>176</v>
      </c>
      <c r="BB229" t="s" s="0">
        <v>81</v>
      </c>
      <c r="BC229" t="s" s="0">
        <v>81</v>
      </c>
      <c r="BD229" t="s" s="0">
        <v>81</v>
      </c>
      <c r="BE229" t="s" s="0">
        <v>81</v>
      </c>
      <c r="BF229" t="s" s="0">
        <v>81</v>
      </c>
      <c r="BG229" t="s" s="0">
        <v>81</v>
      </c>
      <c r="BH229" t="s" s="0">
        <v>81</v>
      </c>
      <c r="BI229" t="s" s="0">
        <v>5498</v>
      </c>
      <c r="BJ229" t="s" s="0">
        <v>5499</v>
      </c>
      <c r="BK229" t="s" s="453">
        <f>HYPERLINK("http://dx.doi.org/10.2196/83790","http://dx.doi.org/10.2196/83790")</f>
        <v>5500</v>
      </c>
      <c r="BL229" t="s" s="0">
        <v>81</v>
      </c>
      <c r="BM229" t="s" s="0">
        <v>81</v>
      </c>
      <c r="BN229" t="s" s="0">
        <v>252</v>
      </c>
      <c r="BO229" t="s" s="0">
        <v>792</v>
      </c>
      <c r="BP229" t="s" s="0">
        <v>792</v>
      </c>
      <c r="BQ229" t="s" s="0">
        <v>5501</v>
      </c>
      <c r="BR229" t="s" s="0">
        <v>5502</v>
      </c>
      <c r="BS229" t="s" s="0">
        <v>5503</v>
      </c>
      <c r="BT229" t="s" s="454">
        <f>HYPERLINK("https://www.webofscience.com/wos/woscc/full-record/WOS:001814621800005","View Record in Web of Science")</f>
        <v>114</v>
      </c>
      <c r="BU229" t="s" s="0">
        <v>115</v>
      </c>
      <c r="BV229" t="s" s="0">
        <v>81</v>
      </c>
      <c r="BW229" t="s" s="0">
        <v>81</v>
      </c>
      <c r="BX229" t="s" s="0">
        <v>116</v>
      </c>
    </row>
    <row r="230">
      <c r="A230" t="s" s="0">
        <v>97</v>
      </c>
      <c r="B230" t="s" s="0">
        <v>77</v>
      </c>
      <c r="C230" t="s" s="0">
        <v>381</v>
      </c>
      <c r="D230" t="s" s="0">
        <v>77</v>
      </c>
      <c r="E230" t="s" s="0">
        <v>5504</v>
      </c>
      <c r="F230" t="s" s="0">
        <v>5505</v>
      </c>
      <c r="G230" t="s" s="0">
        <v>5506</v>
      </c>
      <c r="H230" t="s" s="0">
        <v>81</v>
      </c>
      <c r="I230" t="s" s="0">
        <v>82</v>
      </c>
      <c r="J230" t="s" s="0">
        <v>5507</v>
      </c>
      <c r="K230" t="s" s="0">
        <v>5508</v>
      </c>
      <c r="L230" t="s" s="0">
        <v>5509</v>
      </c>
      <c r="M230" t="s" s="0">
        <v>5510</v>
      </c>
      <c r="N230" t="s" s="0">
        <v>81</v>
      </c>
      <c r="O230" t="s" s="0">
        <v>5511</v>
      </c>
      <c r="P230" t="s" s="0">
        <v>5512</v>
      </c>
      <c r="Q230" t="s" s="0">
        <v>87</v>
      </c>
      <c r="R230" t="s" s="0">
        <v>81</v>
      </c>
      <c r="S230" t="s" s="0">
        <v>5513</v>
      </c>
      <c r="T230" t="s" s="0">
        <v>81</v>
      </c>
      <c r="U230" t="s" s="0">
        <v>81</v>
      </c>
      <c r="V230" t="s" s="0">
        <v>5514</v>
      </c>
      <c r="W230" t="s" s="0">
        <v>5515</v>
      </c>
      <c r="X230" t="s" s="0">
        <v>81</v>
      </c>
      <c r="Y230" t="s" s="0">
        <v>81</v>
      </c>
      <c r="Z230" t="s" s="0">
        <v>90</v>
      </c>
      <c r="AA230" t="s" s="0">
        <v>91</v>
      </c>
      <c r="AB230" t="s" s="0">
        <v>81</v>
      </c>
      <c r="AC230" t="s" s="0">
        <v>81</v>
      </c>
      <c r="AD230" t="s" s="0">
        <v>81</v>
      </c>
      <c r="AE230" t="s" s="0">
        <v>81</v>
      </c>
      <c r="AF230" t="s" s="0">
        <v>81</v>
      </c>
      <c r="AG230" t="s" s="0">
        <v>5516</v>
      </c>
      <c r="AH230" t="s" s="0">
        <v>4100</v>
      </c>
      <c r="AI230" t="s" s="0">
        <v>5517</v>
      </c>
      <c r="AJ230" t="s" s="0">
        <v>5518</v>
      </c>
      <c r="AK230" t="s" s="0">
        <v>81</v>
      </c>
      <c r="AL230" t="s" s="0">
        <v>399</v>
      </c>
      <c r="AM230" t="s" s="0">
        <v>543</v>
      </c>
      <c r="AN230" t="s" s="0">
        <v>696</v>
      </c>
      <c r="AO230" t="s" s="0">
        <v>77</v>
      </c>
      <c r="AP230" t="s" s="0">
        <v>381</v>
      </c>
      <c r="AQ230" t="s" s="0">
        <v>5519</v>
      </c>
      <c r="AR230" t="s" s="0">
        <v>5520</v>
      </c>
      <c r="AS230" t="s" s="0">
        <v>5521</v>
      </c>
      <c r="AT230" t="s" s="0">
        <v>5522</v>
      </c>
      <c r="AU230" t="s" s="0">
        <v>5523</v>
      </c>
      <c r="AV230" t="s" s="0">
        <v>81</v>
      </c>
      <c r="AW230" t="s" s="0">
        <v>5524</v>
      </c>
      <c r="AX230" t="s" s="0">
        <v>5525</v>
      </c>
      <c r="AY230" t="s" s="0">
        <v>5526</v>
      </c>
      <c r="AZ230" t="s" s="0">
        <v>260</v>
      </c>
      <c r="BA230" t="s" s="0">
        <v>5527</v>
      </c>
      <c r="BB230" t="s" s="0">
        <v>316</v>
      </c>
      <c r="BC230" t="s" s="0">
        <v>81</v>
      </c>
      <c r="BD230" t="s" s="0">
        <v>81</v>
      </c>
      <c r="BE230" t="s" s="0">
        <v>81</v>
      </c>
      <c r="BF230" t="s" s="0">
        <v>81</v>
      </c>
      <c r="BG230" t="s" s="0">
        <v>5528</v>
      </c>
      <c r="BH230" t="s" s="0">
        <v>5529</v>
      </c>
      <c r="BI230" t="s" s="0">
        <v>81</v>
      </c>
      <c r="BJ230" t="s" s="0">
        <v>5530</v>
      </c>
      <c r="BK230" t="s" s="455">
        <f>HYPERLINK("http://dx.doi.org/10.1007/s11547-023-01634-5","http://dx.doi.org/10.1007/s11547-023-01634-5")</f>
        <v>5531</v>
      </c>
      <c r="BL230" t="s" s="0">
        <v>81</v>
      </c>
      <c r="BM230" t="s" s="0">
        <v>2081</v>
      </c>
      <c r="BN230" t="s" s="0">
        <v>211</v>
      </c>
      <c r="BO230" t="s" s="0">
        <v>738</v>
      </c>
      <c r="BP230" t="s" s="0">
        <v>738</v>
      </c>
      <c r="BQ230" t="s" s="0">
        <v>5532</v>
      </c>
      <c r="BR230" t="s" s="0">
        <v>5533</v>
      </c>
      <c r="BS230" t="s" s="0">
        <v>5534</v>
      </c>
      <c r="BT230" t="s" s="456">
        <f>HYPERLINK("https://www.webofscience.com/wos/woscc/full-record/WOS:000983924400001","View Record in Web of Science")</f>
        <v>114</v>
      </c>
      <c r="BU230" t="s" s="0">
        <v>155</v>
      </c>
      <c r="BV230" t="s" s="0">
        <v>81</v>
      </c>
      <c r="BW230" t="s" s="0">
        <v>81</v>
      </c>
      <c r="BX230" t="s" s="0">
        <v>116</v>
      </c>
    </row>
    <row r="231">
      <c r="A231" t="s" s="0">
        <v>77</v>
      </c>
      <c r="B231" t="s" s="0">
        <v>77</v>
      </c>
      <c r="C231" t="s" s="0">
        <v>97</v>
      </c>
      <c r="D231" t="s" s="0">
        <v>77</v>
      </c>
      <c r="E231" t="s" s="0">
        <v>5535</v>
      </c>
      <c r="F231" t="s" s="0">
        <v>5536</v>
      </c>
      <c r="G231" t="s" s="0">
        <v>5537</v>
      </c>
      <c r="H231" t="s" s="0">
        <v>81</v>
      </c>
      <c r="I231" t="s" s="0">
        <v>82</v>
      </c>
      <c r="J231" t="s" s="0">
        <v>5538</v>
      </c>
      <c r="K231" t="s" s="0">
        <v>5539</v>
      </c>
      <c r="L231" t="s" s="0">
        <v>81</v>
      </c>
      <c r="M231" t="s" s="0">
        <v>81</v>
      </c>
      <c r="N231" t="s" s="0">
        <v>81</v>
      </c>
      <c r="O231" t="s" s="0">
        <v>5540</v>
      </c>
      <c r="P231" t="s" s="0">
        <v>5541</v>
      </c>
      <c r="Q231" t="s" s="0">
        <v>87</v>
      </c>
      <c r="R231" t="s" s="0">
        <v>81</v>
      </c>
      <c r="S231" t="s" s="0">
        <v>81</v>
      </c>
      <c r="T231" t="s" s="0">
        <v>81</v>
      </c>
      <c r="U231" t="s" s="0">
        <v>81</v>
      </c>
      <c r="V231" t="s" s="0">
        <v>5542</v>
      </c>
      <c r="W231" t="s" s="0">
        <v>910</v>
      </c>
      <c r="X231" t="s" s="0">
        <v>81</v>
      </c>
      <c r="Y231" t="s" s="0">
        <v>81</v>
      </c>
      <c r="Z231" t="s" s="0">
        <v>90</v>
      </c>
      <c r="AA231" t="s" s="0">
        <v>91</v>
      </c>
      <c r="AB231" t="s" s="0">
        <v>81</v>
      </c>
      <c r="AC231" t="s" s="0">
        <v>81</v>
      </c>
      <c r="AD231" t="s" s="0">
        <v>81</v>
      </c>
      <c r="AE231" t="s" s="0">
        <v>81</v>
      </c>
      <c r="AF231" t="s" s="0">
        <v>81</v>
      </c>
      <c r="AG231" t="s" s="0">
        <v>81</v>
      </c>
      <c r="AH231" t="s" s="0">
        <v>5543</v>
      </c>
      <c r="AI231" t="s" s="0">
        <v>5544</v>
      </c>
      <c r="AJ231" t="s" s="0">
        <v>5545</v>
      </c>
      <c r="AK231" t="s" s="0">
        <v>81</v>
      </c>
      <c r="AL231" t="s" s="0">
        <v>1684</v>
      </c>
      <c r="AM231" t="s" s="0">
        <v>133</v>
      </c>
      <c r="AN231" t="s" s="0">
        <v>133</v>
      </c>
      <c r="AO231" t="s" s="0">
        <v>97</v>
      </c>
      <c r="AP231" t="s" s="0">
        <v>196</v>
      </c>
      <c r="AQ231" t="s" s="0">
        <v>915</v>
      </c>
      <c r="AR231" t="s" s="0">
        <v>916</v>
      </c>
      <c r="AS231" t="s" s="0">
        <v>917</v>
      </c>
      <c r="AT231" t="s" s="0">
        <v>918</v>
      </c>
      <c r="AU231" t="s" s="0">
        <v>81</v>
      </c>
      <c r="AV231" t="s" s="0">
        <v>81</v>
      </c>
      <c r="AW231" t="s" s="0">
        <v>919</v>
      </c>
      <c r="AX231" t="s" s="0">
        <v>920</v>
      </c>
      <c r="AY231" t="s" s="0">
        <v>5008</v>
      </c>
      <c r="AZ231" t="s" s="0">
        <v>290</v>
      </c>
      <c r="BA231" t="s" s="0">
        <v>291</v>
      </c>
      <c r="BB231" t="s" s="0">
        <v>97</v>
      </c>
      <c r="BC231" t="s" s="0">
        <v>81</v>
      </c>
      <c r="BD231" t="s" s="0">
        <v>81</v>
      </c>
      <c r="BE231" t="s" s="0">
        <v>81</v>
      </c>
      <c r="BF231" t="s" s="0">
        <v>81</v>
      </c>
      <c r="BG231" t="s" s="0">
        <v>81</v>
      </c>
      <c r="BH231" t="s" s="0">
        <v>81</v>
      </c>
      <c r="BI231" t="s" s="0">
        <v>5546</v>
      </c>
      <c r="BJ231" t="s" s="0">
        <v>5547</v>
      </c>
      <c r="BK231" t="s" s="457">
        <f>HYPERLINK("http://dx.doi.org/10.1038/s41598-025-06019-4","http://dx.doi.org/10.1038/s41598-025-06019-4")</f>
        <v>5548</v>
      </c>
      <c r="BL231" t="s" s="0">
        <v>81</v>
      </c>
      <c r="BM231" t="s" s="0">
        <v>81</v>
      </c>
      <c r="BN231" t="s" s="0">
        <v>367</v>
      </c>
      <c r="BO231" t="s" s="0">
        <v>926</v>
      </c>
      <c r="BP231" t="s" s="0">
        <v>927</v>
      </c>
      <c r="BQ231" t="s" s="0">
        <v>5549</v>
      </c>
      <c r="BR231" t="s" s="0">
        <v>5550</v>
      </c>
      <c r="BS231" t="s" s="0">
        <v>5551</v>
      </c>
      <c r="BT231" t="s" s="458">
        <f>HYPERLINK("https://www.webofscience.com/wos/woscc/full-record/WOS:001523022200006","View Record in Web of Science")</f>
        <v>114</v>
      </c>
      <c r="BU231" t="s" s="0">
        <v>301</v>
      </c>
      <c r="BV231" t="s" s="0">
        <v>81</v>
      </c>
      <c r="BW231" t="s" s="0">
        <v>81</v>
      </c>
      <c r="BX231" t="s" s="0">
        <v>116</v>
      </c>
    </row>
    <row r="232">
      <c r="A232" t="s" s="0">
        <v>97</v>
      </c>
      <c r="B232" t="s" s="0">
        <v>77</v>
      </c>
      <c r="C232" t="s" s="0">
        <v>156</v>
      </c>
      <c r="D232" t="s" s="0">
        <v>77</v>
      </c>
      <c r="E232" t="s" s="0">
        <v>5552</v>
      </c>
      <c r="F232" t="s" s="0">
        <v>5553</v>
      </c>
      <c r="G232" t="s" s="0">
        <v>5554</v>
      </c>
      <c r="H232" t="s" s="0">
        <v>81</v>
      </c>
      <c r="I232" t="s" s="0">
        <v>528</v>
      </c>
      <c r="J232" t="s" s="0">
        <v>5555</v>
      </c>
      <c r="K232" t="s" s="0">
        <v>5556</v>
      </c>
      <c r="L232" t="s" s="0">
        <v>5557</v>
      </c>
      <c r="M232" t="s" s="0">
        <v>1221</v>
      </c>
      <c r="N232" t="s" s="0">
        <v>5558</v>
      </c>
      <c r="O232" t="s" s="0">
        <v>5559</v>
      </c>
      <c r="P232" t="s" s="0">
        <v>5560</v>
      </c>
      <c r="Q232" t="s" s="0">
        <v>87</v>
      </c>
      <c r="R232" t="s" s="0">
        <v>81</v>
      </c>
      <c r="S232" t="s" s="0">
        <v>81</v>
      </c>
      <c r="T232" t="s" s="0">
        <v>81</v>
      </c>
      <c r="U232" t="s" s="0">
        <v>81</v>
      </c>
      <c r="V232" t="s" s="0">
        <v>5561</v>
      </c>
      <c r="W232" t="s" s="0">
        <v>5562</v>
      </c>
      <c r="X232" t="s" s="0">
        <v>81</v>
      </c>
      <c r="Y232" t="s" s="0">
        <v>81</v>
      </c>
      <c r="Z232" t="s" s="0">
        <v>90</v>
      </c>
      <c r="AA232" t="s" s="0">
        <v>91</v>
      </c>
      <c r="AB232" t="s" s="0">
        <v>81</v>
      </c>
      <c r="AC232" t="s" s="0">
        <v>81</v>
      </c>
      <c r="AD232" t="s" s="0">
        <v>81</v>
      </c>
      <c r="AE232" t="s" s="0">
        <v>81</v>
      </c>
      <c r="AF232" t="s" s="0">
        <v>81</v>
      </c>
      <c r="AG232" t="s" s="0">
        <v>5563</v>
      </c>
      <c r="AH232" t="s" s="0">
        <v>5564</v>
      </c>
      <c r="AI232" t="s" s="0">
        <v>5565</v>
      </c>
      <c r="AJ232" t="s" s="0">
        <v>5566</v>
      </c>
      <c r="AK232" t="s" s="0">
        <v>81</v>
      </c>
      <c r="AL232" t="s" s="0">
        <v>602</v>
      </c>
      <c r="AM232" t="s" s="0">
        <v>5567</v>
      </c>
      <c r="AN232" t="s" s="0">
        <v>1685</v>
      </c>
      <c r="AO232" t="s" s="0">
        <v>252</v>
      </c>
      <c r="AP232" t="s" s="0">
        <v>5568</v>
      </c>
      <c r="AQ232" t="s" s="0">
        <v>5569</v>
      </c>
      <c r="AR232" t="s" s="0">
        <v>546</v>
      </c>
      <c r="AS232" t="s" s="0">
        <v>5570</v>
      </c>
      <c r="AT232" t="s" s="0">
        <v>5571</v>
      </c>
      <c r="AU232" t="s" s="0">
        <v>5572</v>
      </c>
      <c r="AV232" t="s" s="0">
        <v>81</v>
      </c>
      <c r="AW232" t="s" s="0">
        <v>5573</v>
      </c>
      <c r="AX232" t="s" s="0">
        <v>5574</v>
      </c>
      <c r="AY232" t="s" s="0">
        <v>5575</v>
      </c>
      <c r="AZ232" t="s" s="0">
        <v>220</v>
      </c>
      <c r="BA232" t="s" s="0">
        <v>5576</v>
      </c>
      <c r="BB232" t="s" s="0">
        <v>81</v>
      </c>
      <c r="BC232" t="s" s="0">
        <v>81</v>
      </c>
      <c r="BD232" t="s" s="0">
        <v>81</v>
      </c>
      <c r="BE232" t="s" s="0">
        <v>81</v>
      </c>
      <c r="BF232" t="s" s="0">
        <v>81</v>
      </c>
      <c r="BG232" t="s" s="0">
        <v>81</v>
      </c>
      <c r="BH232" t="s" s="0">
        <v>81</v>
      </c>
      <c r="BI232" t="s" s="0">
        <v>5577</v>
      </c>
      <c r="BJ232" t="s" s="0">
        <v>5578</v>
      </c>
      <c r="BK232" t="s" s="459">
        <f>HYPERLINK("http://dx.doi.org/10.1016/j.ijhcs.2022.102839","http://dx.doi.org/10.1016/j.ijhcs.2022.102839")</f>
        <v>5579</v>
      </c>
      <c r="BL232" t="s" s="0">
        <v>81</v>
      </c>
      <c r="BM232" t="s" s="0">
        <v>760</v>
      </c>
      <c r="BN232" t="s" s="0">
        <v>222</v>
      </c>
      <c r="BO232" t="s" s="0">
        <v>5580</v>
      </c>
      <c r="BP232" t="s" s="0">
        <v>5581</v>
      </c>
      <c r="BQ232" t="s" s="0">
        <v>5582</v>
      </c>
      <c r="BR232" t="s" s="0">
        <v>81</v>
      </c>
      <c r="BS232" t="s" s="0">
        <v>5583</v>
      </c>
      <c r="BT232" t="s" s="460">
        <f>HYPERLINK("https://www.webofscience.com/wos/woscc/full-record/WOS:000798705200001","View Record in Web of Science")</f>
        <v>114</v>
      </c>
      <c r="BU232" t="s" s="0">
        <v>81</v>
      </c>
      <c r="BV232" t="s" s="0">
        <v>81</v>
      </c>
      <c r="BW232" t="s" s="0">
        <v>81</v>
      </c>
      <c r="BX232" t="s" s="0">
        <v>116</v>
      </c>
    </row>
    <row r="233">
      <c r="A233" t="s" s="0">
        <v>77</v>
      </c>
      <c r="B233" t="s" s="0">
        <v>77</v>
      </c>
      <c r="C233" t="s" s="0">
        <v>77</v>
      </c>
      <c r="D233" t="s" s="0">
        <v>77</v>
      </c>
      <c r="E233" t="s" s="0">
        <v>5584</v>
      </c>
      <c r="F233" t="s" s="0">
        <v>5585</v>
      </c>
      <c r="G233" t="s" s="0">
        <v>5586</v>
      </c>
      <c r="H233" t="s" s="0">
        <v>81</v>
      </c>
      <c r="I233" t="s" s="0">
        <v>82</v>
      </c>
      <c r="J233" t="s" s="0">
        <v>5587</v>
      </c>
      <c r="K233" t="s" s="0">
        <v>5588</v>
      </c>
      <c r="L233" t="s" s="0">
        <v>5589</v>
      </c>
      <c r="M233" t="s" s="0">
        <v>5590</v>
      </c>
      <c r="N233" t="s" s="0">
        <v>5591</v>
      </c>
      <c r="O233" t="s" s="0">
        <v>5592</v>
      </c>
      <c r="P233" t="s" s="0">
        <v>5593</v>
      </c>
      <c r="Q233" t="s" s="0">
        <v>87</v>
      </c>
      <c r="R233" t="s" s="0">
        <v>81</v>
      </c>
      <c r="S233" t="s" s="0">
        <v>81</v>
      </c>
      <c r="T233" t="s" s="0">
        <v>81</v>
      </c>
      <c r="U233" t="s" s="0">
        <v>81</v>
      </c>
      <c r="V233" t="s" s="0">
        <v>5594</v>
      </c>
      <c r="W233" t="s" s="0">
        <v>5595</v>
      </c>
      <c r="X233" t="s" s="0">
        <v>81</v>
      </c>
      <c r="Y233" t="s" s="0">
        <v>81</v>
      </c>
      <c r="Z233" t="s" s="0">
        <v>90</v>
      </c>
      <c r="AA233" t="s" s="0">
        <v>91</v>
      </c>
      <c r="AB233" t="s" s="0">
        <v>81</v>
      </c>
      <c r="AC233" t="s" s="0">
        <v>81</v>
      </c>
      <c r="AD233" t="s" s="0">
        <v>81</v>
      </c>
      <c r="AE233" t="s" s="0">
        <v>81</v>
      </c>
      <c r="AF233" t="s" s="0">
        <v>81</v>
      </c>
      <c r="AG233" t="s" s="0">
        <v>5596</v>
      </c>
      <c r="AH233" t="s" s="0">
        <v>81</v>
      </c>
      <c r="AI233" t="s" s="0">
        <v>81</v>
      </c>
      <c r="AJ233" t="s" s="0">
        <v>81</v>
      </c>
      <c r="AK233" t="s" s="0">
        <v>81</v>
      </c>
      <c r="AL233" t="s" s="0">
        <v>344</v>
      </c>
      <c r="AM233" t="s" s="0">
        <v>156</v>
      </c>
      <c r="AN233" t="s" s="0">
        <v>156</v>
      </c>
      <c r="AO233" t="s" s="0">
        <v>173</v>
      </c>
      <c r="AP233" t="s" s="0">
        <v>173</v>
      </c>
      <c r="AQ233" t="s" s="0">
        <v>1733</v>
      </c>
      <c r="AR233" t="s" s="0">
        <v>1734</v>
      </c>
      <c r="AS233" t="s" s="0">
        <v>1735</v>
      </c>
      <c r="AT233" t="s" s="0">
        <v>5597</v>
      </c>
      <c r="AU233" t="s" s="0">
        <v>5598</v>
      </c>
      <c r="AV233" t="s" s="0">
        <v>81</v>
      </c>
      <c r="AW233" t="s" s="0">
        <v>5595</v>
      </c>
      <c r="AX233" t="s" s="0">
        <v>5599</v>
      </c>
      <c r="AY233" t="s" s="0">
        <v>5600</v>
      </c>
      <c r="AZ233" t="s" s="0">
        <v>103</v>
      </c>
      <c r="BA233" t="s" s="0">
        <v>295</v>
      </c>
      <c r="BB233" t="s" s="0">
        <v>367</v>
      </c>
      <c r="BC233" t="s" s="0">
        <v>81</v>
      </c>
      <c r="BD233" t="s" s="0">
        <v>81</v>
      </c>
      <c r="BE233" t="s" s="0">
        <v>81</v>
      </c>
      <c r="BF233" t="s" s="0">
        <v>81</v>
      </c>
      <c r="BG233" t="s" s="0">
        <v>5601</v>
      </c>
      <c r="BH233" t="s" s="0">
        <v>5602</v>
      </c>
      <c r="BI233" t="s" s="0">
        <v>81</v>
      </c>
      <c r="BJ233" t="s" s="0">
        <v>5603</v>
      </c>
      <c r="BK233" t="s" s="461">
        <f>HYPERLINK("http://dx.doi.org/10.1021/acsnano.6c00119","http://dx.doi.org/10.1021/acsnano.6c00119")</f>
        <v>5604</v>
      </c>
      <c r="BL233" t="s" s="0">
        <v>81</v>
      </c>
      <c r="BM233" t="s" s="0">
        <v>948</v>
      </c>
      <c r="BN233" t="s" s="0">
        <v>486</v>
      </c>
      <c r="BO233" t="s" s="0">
        <v>5605</v>
      </c>
      <c r="BP233" t="s" s="0">
        <v>5606</v>
      </c>
      <c r="BQ233" t="s" s="0">
        <v>5607</v>
      </c>
      <c r="BR233" t="s" s="0">
        <v>5608</v>
      </c>
      <c r="BS233" t="s" s="0">
        <v>5609</v>
      </c>
      <c r="BT233" t="s" s="462">
        <f>HYPERLINK("https://www.webofscience.com/wos/woscc/full-record/WOS:001741484100001","View Record in Web of Science")</f>
        <v>114</v>
      </c>
      <c r="BU233" t="s" s="0">
        <v>81</v>
      </c>
      <c r="BV233" t="s" s="0">
        <v>81</v>
      </c>
      <c r="BW233" t="s" s="0">
        <v>81</v>
      </c>
      <c r="BX233" t="s" s="0">
        <v>116</v>
      </c>
    </row>
    <row r="234">
      <c r="A234" t="s" s="0">
        <v>77</v>
      </c>
      <c r="B234" t="s" s="0">
        <v>77</v>
      </c>
      <c r="C234" t="s" s="0">
        <v>77</v>
      </c>
      <c r="D234" t="s" s="0">
        <v>77</v>
      </c>
      <c r="E234" t="s" s="0">
        <v>5610</v>
      </c>
      <c r="F234" t="s" s="0">
        <v>5611</v>
      </c>
      <c r="G234" t="s" s="0">
        <v>5612</v>
      </c>
      <c r="H234" t="s" s="0">
        <v>81</v>
      </c>
      <c r="I234" t="s" s="0">
        <v>82</v>
      </c>
      <c r="J234" t="s" s="0">
        <v>5613</v>
      </c>
      <c r="K234" t="s" s="0">
        <v>5614</v>
      </c>
      <c r="L234" t="s" s="0">
        <v>5615</v>
      </c>
      <c r="M234" t="s" s="0">
        <v>5616</v>
      </c>
      <c r="N234" t="s" s="0">
        <v>5617</v>
      </c>
      <c r="O234" t="s" s="0">
        <v>5618</v>
      </c>
      <c r="P234" t="s" s="0">
        <v>5619</v>
      </c>
      <c r="Q234" t="s" s="0">
        <v>87</v>
      </c>
      <c r="R234" t="s" s="0">
        <v>81</v>
      </c>
      <c r="S234" t="s" s="0">
        <v>81</v>
      </c>
      <c r="T234" t="s" s="0">
        <v>81</v>
      </c>
      <c r="U234" t="s" s="0">
        <v>81</v>
      </c>
      <c r="V234" t="s" s="0">
        <v>5620</v>
      </c>
      <c r="W234" t="s" s="0">
        <v>5621</v>
      </c>
      <c r="X234" t="s" s="0">
        <v>81</v>
      </c>
      <c r="Y234" t="s" s="0">
        <v>81</v>
      </c>
      <c r="Z234" t="s" s="0">
        <v>90</v>
      </c>
      <c r="AA234" t="s" s="0">
        <v>91</v>
      </c>
      <c r="AB234" t="s" s="0">
        <v>81</v>
      </c>
      <c r="AC234" t="s" s="0">
        <v>81</v>
      </c>
      <c r="AD234" t="s" s="0">
        <v>81</v>
      </c>
      <c r="AE234" t="s" s="0">
        <v>81</v>
      </c>
      <c r="AF234" t="s" s="0">
        <v>81</v>
      </c>
      <c r="AG234" t="s" s="0">
        <v>5622</v>
      </c>
      <c r="AH234" t="s" s="0">
        <v>5623</v>
      </c>
      <c r="AI234" t="s" s="0">
        <v>5624</v>
      </c>
      <c r="AJ234" t="s" s="0">
        <v>5625</v>
      </c>
      <c r="AK234" t="s" s="0">
        <v>81</v>
      </c>
      <c r="AL234" t="s" s="0">
        <v>5626</v>
      </c>
      <c r="AM234" t="s" s="0">
        <v>156</v>
      </c>
      <c r="AN234" t="s" s="0">
        <v>196</v>
      </c>
      <c r="AO234" t="s" s="0">
        <v>97</v>
      </c>
      <c r="AP234" t="s" s="0">
        <v>175</v>
      </c>
      <c r="AQ234" t="s" s="0">
        <v>284</v>
      </c>
      <c r="AR234" t="s" s="0">
        <v>285</v>
      </c>
      <c r="AS234" t="s" s="0">
        <v>286</v>
      </c>
      <c r="AT234" t="s" s="0">
        <v>81</v>
      </c>
      <c r="AU234" t="s" s="0">
        <v>5627</v>
      </c>
      <c r="AV234" t="s" s="0">
        <v>81</v>
      </c>
      <c r="AW234" t="s" s="0">
        <v>5628</v>
      </c>
      <c r="AX234" t="s" s="0">
        <v>5629</v>
      </c>
      <c r="AY234" t="s" s="0">
        <v>5630</v>
      </c>
      <c r="AZ234" t="s" s="0">
        <v>290</v>
      </c>
      <c r="BA234" t="s" s="0">
        <v>291</v>
      </c>
      <c r="BB234" t="s" s="0">
        <v>381</v>
      </c>
      <c r="BC234" t="s" s="0">
        <v>81</v>
      </c>
      <c r="BD234" t="s" s="0">
        <v>81</v>
      </c>
      <c r="BE234" t="s" s="0">
        <v>81</v>
      </c>
      <c r="BF234" t="s" s="0">
        <v>81</v>
      </c>
      <c r="BG234" t="s" s="0">
        <v>81</v>
      </c>
      <c r="BH234" t="s" s="0">
        <v>81</v>
      </c>
      <c r="BI234" t="s" s="0">
        <v>5631</v>
      </c>
      <c r="BJ234" t="s" s="0">
        <v>5632</v>
      </c>
      <c r="BK234" t="s" s="463">
        <f>HYPERLINK("http://dx.doi.org/10.3390/brainsci15080782","http://dx.doi.org/10.3390/brainsci15080782")</f>
        <v>5633</v>
      </c>
      <c r="BL234" t="s" s="0">
        <v>81</v>
      </c>
      <c r="BM234" t="s" s="0">
        <v>81</v>
      </c>
      <c r="BN234" t="s" s="0">
        <v>228</v>
      </c>
      <c r="BO234" t="s" s="0">
        <v>3906</v>
      </c>
      <c r="BP234" t="s" s="0">
        <v>2504</v>
      </c>
      <c r="BQ234" t="s" s="0">
        <v>5634</v>
      </c>
      <c r="BR234" t="s" s="0">
        <v>5635</v>
      </c>
      <c r="BS234" t="s" s="0">
        <v>5636</v>
      </c>
      <c r="BT234" t="s" s="464">
        <f>HYPERLINK("https://www.webofscience.com/wos/woscc/full-record/WOS:001557826300001","View Record in Web of Science")</f>
        <v>114</v>
      </c>
      <c r="BU234" t="s" s="0">
        <v>301</v>
      </c>
      <c r="BV234" t="s" s="0">
        <v>81</v>
      </c>
      <c r="BW234" t="s" s="0">
        <v>81</v>
      </c>
      <c r="BX234" t="s" s="0">
        <v>116</v>
      </c>
    </row>
    <row r="235">
      <c r="A235" t="s" s="0">
        <v>77</v>
      </c>
      <c r="B235" t="s" s="0">
        <v>77</v>
      </c>
      <c r="C235" t="s" s="0">
        <v>175</v>
      </c>
      <c r="D235" t="s" s="0">
        <v>77</v>
      </c>
      <c r="E235" t="s" s="0">
        <v>5637</v>
      </c>
      <c r="F235" t="s" s="0">
        <v>5638</v>
      </c>
      <c r="G235" t="s" s="0">
        <v>5639</v>
      </c>
      <c r="H235" t="s" s="0">
        <v>81</v>
      </c>
      <c r="I235" t="s" s="0">
        <v>82</v>
      </c>
      <c r="J235" t="s" s="0">
        <v>5640</v>
      </c>
      <c r="K235" t="s" s="0">
        <v>5641</v>
      </c>
      <c r="L235" t="s" s="0">
        <v>5642</v>
      </c>
      <c r="M235" t="s" s="0">
        <v>5643</v>
      </c>
      <c r="N235" t="s" s="0">
        <v>5108</v>
      </c>
      <c r="O235" t="s" s="0">
        <v>5644</v>
      </c>
      <c r="P235" t="s" s="0">
        <v>5645</v>
      </c>
      <c r="Q235" t="s" s="0">
        <v>87</v>
      </c>
      <c r="R235" t="s" s="0">
        <v>81</v>
      </c>
      <c r="S235" t="s" s="0">
        <v>81</v>
      </c>
      <c r="T235" t="s" s="0">
        <v>81</v>
      </c>
      <c r="U235" t="s" s="0">
        <v>81</v>
      </c>
      <c r="V235" t="s" s="0">
        <v>5646</v>
      </c>
      <c r="W235" t="s" s="0">
        <v>5647</v>
      </c>
      <c r="X235" t="s" s="0">
        <v>81</v>
      </c>
      <c r="Y235" t="s" s="0">
        <v>81</v>
      </c>
      <c r="Z235" t="s" s="0">
        <v>90</v>
      </c>
      <c r="AA235" t="s" s="0">
        <v>91</v>
      </c>
      <c r="AB235" t="s" s="0">
        <v>81</v>
      </c>
      <c r="AC235" t="s" s="0">
        <v>81</v>
      </c>
      <c r="AD235" t="s" s="0">
        <v>81</v>
      </c>
      <c r="AE235" t="s" s="0">
        <v>81</v>
      </c>
      <c r="AF235" t="s" s="0">
        <v>81</v>
      </c>
      <c r="AG235" t="s" s="0">
        <v>5648</v>
      </c>
      <c r="AH235" t="s" s="0">
        <v>5649</v>
      </c>
      <c r="AI235" t="s" s="0">
        <v>5650</v>
      </c>
      <c r="AJ235" t="s" s="0">
        <v>5651</v>
      </c>
      <c r="AK235" t="s" s="0">
        <v>81</v>
      </c>
      <c r="AL235" t="s" s="0">
        <v>544</v>
      </c>
      <c r="AM235" t="s" s="0">
        <v>104</v>
      </c>
      <c r="AN235" t="s" s="0">
        <v>925</v>
      </c>
      <c r="AO235" t="s" s="0">
        <v>234</v>
      </c>
      <c r="AP235" t="s" s="0">
        <v>211</v>
      </c>
      <c r="AQ235" t="s" s="0">
        <v>665</v>
      </c>
      <c r="AR235" t="s" s="0">
        <v>546</v>
      </c>
      <c r="AS235" t="s" s="0">
        <v>666</v>
      </c>
      <c r="AT235" t="s" s="0">
        <v>81</v>
      </c>
      <c r="AU235" t="s" s="0">
        <v>5652</v>
      </c>
      <c r="AV235" t="s" s="0">
        <v>81</v>
      </c>
      <c r="AW235" t="s" s="0">
        <v>5647</v>
      </c>
      <c r="AX235" t="s" s="0">
        <v>5653</v>
      </c>
      <c r="AY235" t="s" s="0">
        <v>5654</v>
      </c>
      <c r="AZ235" t="s" s="0">
        <v>290</v>
      </c>
      <c r="BA235" t="s" s="0">
        <v>109</v>
      </c>
      <c r="BB235" t="s" s="0">
        <v>97</v>
      </c>
      <c r="BC235" t="s" s="0">
        <v>81</v>
      </c>
      <c r="BD235" t="s" s="0">
        <v>81</v>
      </c>
      <c r="BE235" t="s" s="0">
        <v>81</v>
      </c>
      <c r="BF235" t="s" s="0">
        <v>81</v>
      </c>
      <c r="BG235" t="s" s="0">
        <v>81</v>
      </c>
      <c r="BH235" t="s" s="0">
        <v>81</v>
      </c>
      <c r="BI235" t="s" s="0">
        <v>5655</v>
      </c>
      <c r="BJ235" t="s" s="0">
        <v>5656</v>
      </c>
      <c r="BK235" t="s" s="465">
        <f>HYPERLINK("http://dx.doi.org/10.1186/s12889-025-22705-4","http://dx.doi.org/10.1186/s12889-025-22705-4")</f>
        <v>5657</v>
      </c>
      <c r="BL235" t="s" s="0">
        <v>81</v>
      </c>
      <c r="BM235" t="s" s="0">
        <v>81</v>
      </c>
      <c r="BN235" t="s" s="0">
        <v>291</v>
      </c>
      <c r="BO235" t="s" s="0">
        <v>850</v>
      </c>
      <c r="BP235" t="s" s="0">
        <v>850</v>
      </c>
      <c r="BQ235" t="s" s="0">
        <v>5658</v>
      </c>
      <c r="BR235" t="s" s="0">
        <v>5659</v>
      </c>
      <c r="BS235" t="s" s="0">
        <v>5660</v>
      </c>
      <c r="BT235" t="s" s="466">
        <f>HYPERLINK("https://www.webofscience.com/wos/woscc/full-record/WOS:001475406600007","View Record in Web of Science")</f>
        <v>114</v>
      </c>
      <c r="BU235" t="s" s="0">
        <v>270</v>
      </c>
      <c r="BV235" t="s" s="0">
        <v>2886</v>
      </c>
      <c r="BW235" t="s" s="0">
        <v>2887</v>
      </c>
      <c r="BX235" t="s" s="0">
        <v>116</v>
      </c>
    </row>
    <row r="236">
      <c r="A236" t="s" s="0">
        <v>77</v>
      </c>
      <c r="B236" t="s" s="0">
        <v>77</v>
      </c>
      <c r="C236" t="s" s="0">
        <v>97</v>
      </c>
      <c r="D236" t="s" s="0">
        <v>77</v>
      </c>
      <c r="E236" t="s" s="0">
        <v>5661</v>
      </c>
      <c r="F236" t="s" s="0">
        <v>5662</v>
      </c>
      <c r="G236" t="s" s="0">
        <v>5663</v>
      </c>
      <c r="H236" t="s" s="0">
        <v>81</v>
      </c>
      <c r="I236" t="s" s="0">
        <v>82</v>
      </c>
      <c r="J236" t="s" s="0">
        <v>5664</v>
      </c>
      <c r="K236" t="s" s="0">
        <v>5665</v>
      </c>
      <c r="L236" t="s" s="0">
        <v>5666</v>
      </c>
      <c r="M236" t="s" s="0">
        <v>5667</v>
      </c>
      <c r="N236" t="s" s="0">
        <v>5668</v>
      </c>
      <c r="O236" t="s" s="0">
        <v>5669</v>
      </c>
      <c r="P236" t="s" s="0">
        <v>5670</v>
      </c>
      <c r="Q236" t="s" s="0">
        <v>87</v>
      </c>
      <c r="R236" t="s" s="0">
        <v>81</v>
      </c>
      <c r="S236" t="s" s="0">
        <v>81</v>
      </c>
      <c r="T236" t="s" s="0">
        <v>81</v>
      </c>
      <c r="U236" t="s" s="0">
        <v>81</v>
      </c>
      <c r="V236" t="s" s="0">
        <v>5671</v>
      </c>
      <c r="W236" t="s" s="0">
        <v>3220</v>
      </c>
      <c r="X236" t="s" s="0">
        <v>81</v>
      </c>
      <c r="Y236" t="s" s="0">
        <v>81</v>
      </c>
      <c r="Z236" t="s" s="0">
        <v>90</v>
      </c>
      <c r="AA236" t="s" s="0">
        <v>91</v>
      </c>
      <c r="AB236" t="s" s="0">
        <v>81</v>
      </c>
      <c r="AC236" t="s" s="0">
        <v>81</v>
      </c>
      <c r="AD236" t="s" s="0">
        <v>81</v>
      </c>
      <c r="AE236" t="s" s="0">
        <v>81</v>
      </c>
      <c r="AF236" t="s" s="0">
        <v>81</v>
      </c>
      <c r="AG236" t="s" s="0">
        <v>5672</v>
      </c>
      <c r="AH236" t="s" s="0">
        <v>5673</v>
      </c>
      <c r="AI236" t="s" s="0">
        <v>5674</v>
      </c>
      <c r="AJ236" t="s" s="0">
        <v>5675</v>
      </c>
      <c r="AK236" t="s" s="0">
        <v>81</v>
      </c>
      <c r="AL236" t="s" s="0">
        <v>1685</v>
      </c>
      <c r="AM236" t="s" s="0">
        <v>381</v>
      </c>
      <c r="AN236" t="s" s="0">
        <v>261</v>
      </c>
      <c r="AO236" t="s" s="0">
        <v>77</v>
      </c>
      <c r="AP236" t="s" s="0">
        <v>175</v>
      </c>
      <c r="AQ236" t="s" s="0">
        <v>1608</v>
      </c>
      <c r="AR236" t="s" s="0">
        <v>1609</v>
      </c>
      <c r="AS236" t="s" s="0">
        <v>1610</v>
      </c>
      <c r="AT236" t="s" s="0">
        <v>3225</v>
      </c>
      <c r="AU236" t="s" s="0">
        <v>3226</v>
      </c>
      <c r="AV236" t="s" s="0">
        <v>81</v>
      </c>
      <c r="AW236" t="s" s="0">
        <v>3227</v>
      </c>
      <c r="AX236" t="s" s="0">
        <v>3228</v>
      </c>
      <c r="AY236" t="s" s="0">
        <v>149</v>
      </c>
      <c r="AZ236" t="s" s="0">
        <v>290</v>
      </c>
      <c r="BA236" t="s" s="0">
        <v>5676</v>
      </c>
      <c r="BB236" t="s" s="0">
        <v>81</v>
      </c>
      <c r="BC236" t="s" s="0">
        <v>81</v>
      </c>
      <c r="BD236" t="s" s="0">
        <v>81</v>
      </c>
      <c r="BE236" t="s" s="0">
        <v>81</v>
      </c>
      <c r="BF236" t="s" s="0">
        <v>81</v>
      </c>
      <c r="BG236" t="s" s="0">
        <v>81</v>
      </c>
      <c r="BH236" t="s" s="0">
        <v>81</v>
      </c>
      <c r="BI236" t="s" s="0">
        <v>5677</v>
      </c>
      <c r="BJ236" t="s" s="0">
        <v>5678</v>
      </c>
      <c r="BK236" t="s" s="467">
        <f>HYPERLINK("http://dx.doi.org/10.1016/j.cmpb.2025.108950","http://dx.doi.org/10.1016/j.cmpb.2025.108950")</f>
        <v>5679</v>
      </c>
      <c r="BL236" t="s" s="0">
        <v>81</v>
      </c>
      <c r="BM236" t="s" s="0">
        <v>733</v>
      </c>
      <c r="BN236" t="s" s="0">
        <v>874</v>
      </c>
      <c r="BO236" t="s" s="0">
        <v>3234</v>
      </c>
      <c r="BP236" t="s" s="0">
        <v>3235</v>
      </c>
      <c r="BQ236" t="s" s="0">
        <v>5680</v>
      </c>
      <c r="BR236" t="s" s="0">
        <v>5681</v>
      </c>
      <c r="BS236" t="s" s="0">
        <v>5682</v>
      </c>
      <c r="BT236" t="s" s="468">
        <f>HYPERLINK("https://www.webofscience.com/wos/woscc/full-record/WOS:001536314600002","View Record in Web of Science")</f>
        <v>114</v>
      </c>
      <c r="BU236" t="s" s="0">
        <v>155</v>
      </c>
      <c r="BV236" t="s" s="0">
        <v>81</v>
      </c>
      <c r="BW236" t="s" s="0">
        <v>81</v>
      </c>
      <c r="BX236" t="s" s="0">
        <v>116</v>
      </c>
    </row>
    <row r="237">
      <c r="A237" t="s" s="0">
        <v>77</v>
      </c>
      <c r="B237" t="s" s="0">
        <v>77</v>
      </c>
      <c r="C237" t="s" s="0">
        <v>77</v>
      </c>
      <c r="D237" t="s" s="0">
        <v>77</v>
      </c>
      <c r="E237" t="s" s="0">
        <v>5683</v>
      </c>
      <c r="F237" t="s" s="0">
        <v>5684</v>
      </c>
      <c r="G237" t="s" s="0">
        <v>5685</v>
      </c>
      <c r="H237" t="s" s="0">
        <v>81</v>
      </c>
      <c r="I237" t="s" s="0">
        <v>238</v>
      </c>
      <c r="J237" t="s" s="0">
        <v>5686</v>
      </c>
      <c r="K237" t="s" s="0">
        <v>5687</v>
      </c>
      <c r="L237" t="s" s="0">
        <v>81</v>
      </c>
      <c r="M237" t="s" s="0">
        <v>81</v>
      </c>
      <c r="N237" t="s" s="0">
        <v>81</v>
      </c>
      <c r="O237" t="s" s="0">
        <v>5688</v>
      </c>
      <c r="P237" t="s" s="0">
        <v>5689</v>
      </c>
      <c r="Q237" t="s" s="0">
        <v>87</v>
      </c>
      <c r="R237" t="s" s="0">
        <v>81</v>
      </c>
      <c r="S237" t="s" s="0">
        <v>81</v>
      </c>
      <c r="T237" t="s" s="0">
        <v>81</v>
      </c>
      <c r="U237" t="s" s="0">
        <v>81</v>
      </c>
      <c r="V237" t="s" s="0">
        <v>5690</v>
      </c>
      <c r="W237" t="s" s="0">
        <v>5691</v>
      </c>
      <c r="X237" t="s" s="0">
        <v>81</v>
      </c>
      <c r="Y237" t="s" s="0">
        <v>81</v>
      </c>
      <c r="Z237" t="s" s="0">
        <v>90</v>
      </c>
      <c r="AA237" t="s" s="0">
        <v>91</v>
      </c>
      <c r="AB237" t="s" s="0">
        <v>81</v>
      </c>
      <c r="AC237" t="s" s="0">
        <v>81</v>
      </c>
      <c r="AD237" t="s" s="0">
        <v>81</v>
      </c>
      <c r="AE237" t="s" s="0">
        <v>81</v>
      </c>
      <c r="AF237" t="s" s="0">
        <v>81</v>
      </c>
      <c r="AG237" t="s" s="0">
        <v>5692</v>
      </c>
      <c r="AH237" t="s" s="0">
        <v>81</v>
      </c>
      <c r="AI237" t="s" s="0">
        <v>81</v>
      </c>
      <c r="AJ237" t="s" s="0">
        <v>81</v>
      </c>
      <c r="AK237" t="s" s="0">
        <v>81</v>
      </c>
      <c r="AL237" t="s" s="0">
        <v>874</v>
      </c>
      <c r="AM237" t="s" s="0">
        <v>77</v>
      </c>
      <c r="AN237" t="s" s="0">
        <v>77</v>
      </c>
      <c r="AO237" t="s" s="0">
        <v>77</v>
      </c>
      <c r="AP237" t="s" s="0">
        <v>77</v>
      </c>
      <c r="AQ237" t="s" s="0">
        <v>212</v>
      </c>
      <c r="AR237" t="s" s="0">
        <v>429</v>
      </c>
      <c r="AS237" t="s" s="0">
        <v>784</v>
      </c>
      <c r="AT237" t="s" s="0">
        <v>81</v>
      </c>
      <c r="AU237" t="s" s="0">
        <v>5693</v>
      </c>
      <c r="AV237" t="s" s="0">
        <v>81</v>
      </c>
      <c r="AW237" t="s" s="0">
        <v>5694</v>
      </c>
      <c r="AX237" t="s" s="0">
        <v>5695</v>
      </c>
      <c r="AY237" t="s" s="0">
        <v>5696</v>
      </c>
      <c r="AZ237" t="s" s="0">
        <v>103</v>
      </c>
      <c r="BA237" t="s" s="0">
        <v>405</v>
      </c>
      <c r="BB237" t="s" s="0">
        <v>97</v>
      </c>
      <c r="BC237" t="s" s="0">
        <v>81</v>
      </c>
      <c r="BD237" t="s" s="0">
        <v>81</v>
      </c>
      <c r="BE237" t="s" s="0">
        <v>81</v>
      </c>
      <c r="BF237" t="s" s="0">
        <v>81</v>
      </c>
      <c r="BG237" t="s" s="0">
        <v>81</v>
      </c>
      <c r="BH237" t="s" s="0">
        <v>81</v>
      </c>
      <c r="BI237" t="s" s="0">
        <v>5697</v>
      </c>
      <c r="BJ237" t="s" s="0">
        <v>5698</v>
      </c>
      <c r="BK237" t="s" s="469">
        <f>HYPERLINK("http://dx.doi.org/10.1186/s43055-026-01841-w","http://dx.doi.org/10.1186/s43055-026-01841-w")</f>
        <v>5699</v>
      </c>
      <c r="BL237" t="s" s="0">
        <v>81</v>
      </c>
      <c r="BM237" t="s" s="0">
        <v>81</v>
      </c>
      <c r="BN237" t="s" s="0">
        <v>291</v>
      </c>
      <c r="BO237" t="s" s="0">
        <v>738</v>
      </c>
      <c r="BP237" t="s" s="0">
        <v>738</v>
      </c>
      <c r="BQ237" t="s" s="0">
        <v>5700</v>
      </c>
      <c r="BR237" t="s" s="0">
        <v>81</v>
      </c>
      <c r="BS237" t="s" s="0">
        <v>5701</v>
      </c>
      <c r="BT237" t="s" s="470">
        <f>HYPERLINK("https://www.webofscience.com/wos/woscc/full-record/WOS:001850291000003","View Record in Web of Science")</f>
        <v>114</v>
      </c>
      <c r="BU237" t="s" s="0">
        <v>115</v>
      </c>
      <c r="BV237" t="s" s="0">
        <v>81</v>
      </c>
      <c r="BW237" t="s" s="0">
        <v>81</v>
      </c>
      <c r="BX237" t="s" s="0">
        <v>116</v>
      </c>
    </row>
    <row r="238">
      <c r="A238" t="s" s="0">
        <v>77</v>
      </c>
      <c r="B238" t="s" s="0">
        <v>77</v>
      </c>
      <c r="C238" t="s" s="0">
        <v>77</v>
      </c>
      <c r="D238" t="s" s="0">
        <v>77</v>
      </c>
      <c r="E238" t="s" s="0">
        <v>5702</v>
      </c>
      <c r="F238" t="s" s="0">
        <v>5703</v>
      </c>
      <c r="G238" t="s" s="0">
        <v>5704</v>
      </c>
      <c r="H238" t="s" s="0">
        <v>81</v>
      </c>
      <c r="I238" t="s" s="0">
        <v>238</v>
      </c>
      <c r="J238" t="s" s="0">
        <v>5705</v>
      </c>
      <c r="K238" t="s" s="0">
        <v>5706</v>
      </c>
      <c r="L238" t="s" s="0">
        <v>5707</v>
      </c>
      <c r="M238" t="s" s="0">
        <v>5708</v>
      </c>
      <c r="N238" t="s" s="0">
        <v>5709</v>
      </c>
      <c r="O238" t="s" s="0">
        <v>5710</v>
      </c>
      <c r="P238" t="s" s="0">
        <v>5711</v>
      </c>
      <c r="Q238" t="s" s="0">
        <v>87</v>
      </c>
      <c r="R238" t="s" s="0">
        <v>81</v>
      </c>
      <c r="S238" t="s" s="0">
        <v>81</v>
      </c>
      <c r="T238" t="s" s="0">
        <v>81</v>
      </c>
      <c r="U238" t="s" s="0">
        <v>81</v>
      </c>
      <c r="V238" t="s" s="0">
        <v>5712</v>
      </c>
      <c r="W238" t="s" s="0">
        <v>5713</v>
      </c>
      <c r="X238" t="s" s="0">
        <v>81</v>
      </c>
      <c r="Y238" t="s" s="0">
        <v>81</v>
      </c>
      <c r="Z238" t="s" s="0">
        <v>90</v>
      </c>
      <c r="AA238" t="s" s="0">
        <v>91</v>
      </c>
      <c r="AB238" t="s" s="0">
        <v>81</v>
      </c>
      <c r="AC238" t="s" s="0">
        <v>81</v>
      </c>
      <c r="AD238" t="s" s="0">
        <v>81</v>
      </c>
      <c r="AE238" t="s" s="0">
        <v>81</v>
      </c>
      <c r="AF238" t="s" s="0">
        <v>81</v>
      </c>
      <c r="AG238" t="s" s="0">
        <v>5714</v>
      </c>
      <c r="AH238" t="s" s="0">
        <v>5715</v>
      </c>
      <c r="AI238" t="s" s="0">
        <v>5716</v>
      </c>
      <c r="AJ238" t="s" s="0">
        <v>81</v>
      </c>
      <c r="AK238" t="s" s="0">
        <v>81</v>
      </c>
      <c r="AL238" t="s" s="0">
        <v>1785</v>
      </c>
      <c r="AM238" t="s" s="0">
        <v>77</v>
      </c>
      <c r="AN238" t="s" s="0">
        <v>77</v>
      </c>
      <c r="AO238" t="s" s="0">
        <v>77</v>
      </c>
      <c r="AP238" t="s" s="0">
        <v>77</v>
      </c>
      <c r="AQ238" t="s" s="0">
        <v>284</v>
      </c>
      <c r="AR238" t="s" s="0">
        <v>285</v>
      </c>
      <c r="AS238" t="s" s="0">
        <v>286</v>
      </c>
      <c r="AT238" t="s" s="0">
        <v>81</v>
      </c>
      <c r="AU238" t="s" s="0">
        <v>5717</v>
      </c>
      <c r="AV238" t="s" s="0">
        <v>81</v>
      </c>
      <c r="AW238" t="s" s="0">
        <v>5713</v>
      </c>
      <c r="AX238" t="s" s="0">
        <v>5718</v>
      </c>
      <c r="AY238" t="s" s="0">
        <v>670</v>
      </c>
      <c r="AZ238" t="s" s="0">
        <v>103</v>
      </c>
      <c r="BA238" t="s" s="0">
        <v>222</v>
      </c>
      <c r="BB238" t="s" s="0">
        <v>316</v>
      </c>
      <c r="BC238" t="s" s="0">
        <v>81</v>
      </c>
      <c r="BD238" t="s" s="0">
        <v>81</v>
      </c>
      <c r="BE238" t="s" s="0">
        <v>81</v>
      </c>
      <c r="BF238" t="s" s="0">
        <v>81</v>
      </c>
      <c r="BG238" t="s" s="0">
        <v>81</v>
      </c>
      <c r="BH238" t="s" s="0">
        <v>81</v>
      </c>
      <c r="BI238" t="s" s="0">
        <v>5719</v>
      </c>
      <c r="BJ238" t="s" s="0">
        <v>5720</v>
      </c>
      <c r="BK238" t="s" s="471">
        <f>HYPERLINK("http://dx.doi.org/10.3390/info17060516","http://dx.doi.org/10.3390/info17060516")</f>
        <v>5721</v>
      </c>
      <c r="BL238" t="s" s="0">
        <v>81</v>
      </c>
      <c r="BM238" t="s" s="0">
        <v>675</v>
      </c>
      <c r="BN238" t="s" s="0">
        <v>890</v>
      </c>
      <c r="BO238" t="s" s="0">
        <v>5722</v>
      </c>
      <c r="BP238" t="s" s="0">
        <v>152</v>
      </c>
      <c r="BQ238" t="s" s="0">
        <v>5723</v>
      </c>
      <c r="BR238" t="s" s="0">
        <v>81</v>
      </c>
      <c r="BS238" t="s" s="0">
        <v>5724</v>
      </c>
      <c r="BT238" t="s" s="472">
        <f>HYPERLINK("https://www.webofscience.com/wos/woscc/full-record/WOS:001802465500001","View Record in Web of Science")</f>
        <v>114</v>
      </c>
      <c r="BU238" t="s" s="0">
        <v>115</v>
      </c>
      <c r="BV238" t="s" s="0">
        <v>81</v>
      </c>
      <c r="BW238" t="s" s="0">
        <v>81</v>
      </c>
      <c r="BX238" t="s" s="0">
        <v>116</v>
      </c>
    </row>
    <row r="239">
      <c r="A239" t="s" s="0">
        <v>77</v>
      </c>
      <c r="B239" t="s" s="0">
        <v>77</v>
      </c>
      <c r="C239" t="s" s="0">
        <v>77</v>
      </c>
      <c r="D239" t="s" s="0">
        <v>77</v>
      </c>
      <c r="E239" t="s" s="0">
        <v>5725</v>
      </c>
      <c r="F239" t="s" s="0">
        <v>5726</v>
      </c>
      <c r="G239" t="s" s="0">
        <v>5727</v>
      </c>
      <c r="H239" t="s" s="0">
        <v>81</v>
      </c>
      <c r="I239" t="s" s="0">
        <v>82</v>
      </c>
      <c r="J239" t="s" s="0">
        <v>5728</v>
      </c>
      <c r="K239" t="s" s="0">
        <v>5729</v>
      </c>
      <c r="L239" t="s" s="0">
        <v>5730</v>
      </c>
      <c r="M239" t="s" s="0">
        <v>5731</v>
      </c>
      <c r="N239" t="s" s="0">
        <v>5732</v>
      </c>
      <c r="O239" t="s" s="0">
        <v>5733</v>
      </c>
      <c r="P239" t="s" s="0">
        <v>5734</v>
      </c>
      <c r="Q239" t="s" s="0">
        <v>87</v>
      </c>
      <c r="R239" t="s" s="0">
        <v>81</v>
      </c>
      <c r="S239" t="s" s="0">
        <v>81</v>
      </c>
      <c r="T239" t="s" s="0">
        <v>81</v>
      </c>
      <c r="U239" t="s" s="0">
        <v>81</v>
      </c>
      <c r="V239" t="s" s="0">
        <v>5735</v>
      </c>
      <c r="W239" t="s" s="0">
        <v>279</v>
      </c>
      <c r="X239" t="s" s="0">
        <v>81</v>
      </c>
      <c r="Y239" t="s" s="0">
        <v>81</v>
      </c>
      <c r="Z239" t="s" s="0">
        <v>90</v>
      </c>
      <c r="AA239" t="s" s="0">
        <v>91</v>
      </c>
      <c r="AB239" t="s" s="0">
        <v>81</v>
      </c>
      <c r="AC239" t="s" s="0">
        <v>81</v>
      </c>
      <c r="AD239" t="s" s="0">
        <v>81</v>
      </c>
      <c r="AE239" t="s" s="0">
        <v>81</v>
      </c>
      <c r="AF239" t="s" s="0">
        <v>81</v>
      </c>
      <c r="AG239" t="s" s="0">
        <v>5736</v>
      </c>
      <c r="AH239" t="s" s="0">
        <v>81</v>
      </c>
      <c r="AI239" t="s" s="0">
        <v>5737</v>
      </c>
      <c r="AJ239" t="s" s="0">
        <v>81</v>
      </c>
      <c r="AK239" t="s" s="0">
        <v>81</v>
      </c>
      <c r="AL239" t="s" s="0">
        <v>228</v>
      </c>
      <c r="AM239" t="s" s="0">
        <v>97</v>
      </c>
      <c r="AN239" t="s" s="0">
        <v>97</v>
      </c>
      <c r="AO239" t="s" s="0">
        <v>97</v>
      </c>
      <c r="AP239" t="s" s="0">
        <v>97</v>
      </c>
      <c r="AQ239" t="s" s="0">
        <v>284</v>
      </c>
      <c r="AR239" t="s" s="0">
        <v>285</v>
      </c>
      <c r="AS239" t="s" s="0">
        <v>286</v>
      </c>
      <c r="AT239" t="s" s="0">
        <v>81</v>
      </c>
      <c r="AU239" t="s" s="0">
        <v>287</v>
      </c>
      <c r="AV239" t="s" s="0">
        <v>81</v>
      </c>
      <c r="AW239" t="s" s="0">
        <v>279</v>
      </c>
      <c r="AX239" t="s" s="0">
        <v>288</v>
      </c>
      <c r="AY239" t="s" s="0">
        <v>5738</v>
      </c>
      <c r="AZ239" t="s" s="0">
        <v>103</v>
      </c>
      <c r="BA239" t="s" s="0">
        <v>925</v>
      </c>
      <c r="BB239" t="s" s="0">
        <v>156</v>
      </c>
      <c r="BC239" t="s" s="0">
        <v>81</v>
      </c>
      <c r="BD239" t="s" s="0">
        <v>81</v>
      </c>
      <c r="BE239" t="s" s="0">
        <v>81</v>
      </c>
      <c r="BF239" t="s" s="0">
        <v>81</v>
      </c>
      <c r="BG239" t="s" s="0">
        <v>81</v>
      </c>
      <c r="BH239" t="s" s="0">
        <v>81</v>
      </c>
      <c r="BI239" t="s" s="0">
        <v>1653</v>
      </c>
      <c r="BJ239" t="s" s="0">
        <v>5739</v>
      </c>
      <c r="BK239" t="s" s="473">
        <f>HYPERLINK("http://dx.doi.org/10.3390/diagnostics16020212","http://dx.doi.org/10.3390/diagnostics16020212")</f>
        <v>5740</v>
      </c>
      <c r="BL239" t="s" s="0">
        <v>81</v>
      </c>
      <c r="BM239" t="s" s="0">
        <v>81</v>
      </c>
      <c r="BN239" t="s" s="0">
        <v>253</v>
      </c>
      <c r="BO239" t="s" s="0">
        <v>296</v>
      </c>
      <c r="BP239" t="s" s="0">
        <v>297</v>
      </c>
      <c r="BQ239" t="s" s="0">
        <v>5741</v>
      </c>
      <c r="BR239" t="s" s="0">
        <v>5742</v>
      </c>
      <c r="BS239" t="s" s="0">
        <v>5743</v>
      </c>
      <c r="BT239" t="s" s="474">
        <f>HYPERLINK("https://www.webofscience.com/wos/woscc/full-record/WOS:001671436800001","View Record in Web of Science")</f>
        <v>114</v>
      </c>
      <c r="BU239" t="s" s="0">
        <v>301</v>
      </c>
      <c r="BV239" t="s" s="0">
        <v>81</v>
      </c>
      <c r="BW239" t="s" s="0">
        <v>81</v>
      </c>
      <c r="BX239" t="s" s="0">
        <v>116</v>
      </c>
    </row>
    <row r="240">
      <c r="A240" t="s" s="0">
        <v>77</v>
      </c>
      <c r="B240" t="s" s="0">
        <v>77</v>
      </c>
      <c r="C240" t="s" s="0">
        <v>77</v>
      </c>
      <c r="D240" t="s" s="0">
        <v>77</v>
      </c>
      <c r="E240" t="s" s="0">
        <v>5744</v>
      </c>
      <c r="F240" t="s" s="0">
        <v>5745</v>
      </c>
      <c r="G240" t="s" s="0">
        <v>5746</v>
      </c>
      <c r="H240" t="s" s="0">
        <v>81</v>
      </c>
      <c r="I240" t="s" s="0">
        <v>82</v>
      </c>
      <c r="J240" t="s" s="0">
        <v>5747</v>
      </c>
      <c r="K240" t="s" s="0">
        <v>5748</v>
      </c>
      <c r="L240" t="s" s="0">
        <v>5749</v>
      </c>
      <c r="M240" t="s" s="0">
        <v>1529</v>
      </c>
      <c r="N240" t="s" s="0">
        <v>5750</v>
      </c>
      <c r="O240" t="s" s="0">
        <v>5751</v>
      </c>
      <c r="P240" t="s" s="0">
        <v>5752</v>
      </c>
      <c r="Q240" t="s" s="0">
        <v>87</v>
      </c>
      <c r="R240" t="s" s="0">
        <v>81</v>
      </c>
      <c r="S240" t="s" s="0">
        <v>81</v>
      </c>
      <c r="T240" t="s" s="0">
        <v>81</v>
      </c>
      <c r="U240" t="s" s="0">
        <v>81</v>
      </c>
      <c r="V240" t="s" s="0">
        <v>5753</v>
      </c>
      <c r="W240" t="s" s="0">
        <v>910</v>
      </c>
      <c r="X240" t="s" s="0">
        <v>81</v>
      </c>
      <c r="Y240" t="s" s="0">
        <v>81</v>
      </c>
      <c r="Z240" t="s" s="0">
        <v>90</v>
      </c>
      <c r="AA240" t="s" s="0">
        <v>91</v>
      </c>
      <c r="AB240" t="s" s="0">
        <v>81</v>
      </c>
      <c r="AC240" t="s" s="0">
        <v>81</v>
      </c>
      <c r="AD240" t="s" s="0">
        <v>81</v>
      </c>
      <c r="AE240" t="s" s="0">
        <v>81</v>
      </c>
      <c r="AF240" t="s" s="0">
        <v>81</v>
      </c>
      <c r="AG240" t="s" s="0">
        <v>5754</v>
      </c>
      <c r="AH240" t="s" s="0">
        <v>5755</v>
      </c>
      <c r="AI240" t="s" s="0">
        <v>5756</v>
      </c>
      <c r="AJ240" t="s" s="0">
        <v>5757</v>
      </c>
      <c r="AK240" t="s" s="0">
        <v>81</v>
      </c>
      <c r="AL240" t="s" s="0">
        <v>405</v>
      </c>
      <c r="AM240" t="s" s="0">
        <v>77</v>
      </c>
      <c r="AN240" t="s" s="0">
        <v>77</v>
      </c>
      <c r="AO240" t="s" s="0">
        <v>133</v>
      </c>
      <c r="AP240" t="s" s="0">
        <v>133</v>
      </c>
      <c r="AQ240" t="s" s="0">
        <v>915</v>
      </c>
      <c r="AR240" t="s" s="0">
        <v>916</v>
      </c>
      <c r="AS240" t="s" s="0">
        <v>917</v>
      </c>
      <c r="AT240" t="s" s="0">
        <v>918</v>
      </c>
      <c r="AU240" t="s" s="0">
        <v>81</v>
      </c>
      <c r="AV240" t="s" s="0">
        <v>81</v>
      </c>
      <c r="AW240" t="s" s="0">
        <v>919</v>
      </c>
      <c r="AX240" t="s" s="0">
        <v>920</v>
      </c>
      <c r="AY240" t="s" s="0">
        <v>5758</v>
      </c>
      <c r="AZ240" t="s" s="0">
        <v>103</v>
      </c>
      <c r="BA240" t="s" s="0">
        <v>925</v>
      </c>
      <c r="BB240" t="s" s="0">
        <v>97</v>
      </c>
      <c r="BC240" t="s" s="0">
        <v>81</v>
      </c>
      <c r="BD240" t="s" s="0">
        <v>81</v>
      </c>
      <c r="BE240" t="s" s="0">
        <v>81</v>
      </c>
      <c r="BF240" t="s" s="0">
        <v>81</v>
      </c>
      <c r="BG240" t="s" s="0">
        <v>81</v>
      </c>
      <c r="BH240" t="s" s="0">
        <v>81</v>
      </c>
      <c r="BI240" t="s" s="0">
        <v>5759</v>
      </c>
      <c r="BJ240" t="s" s="0">
        <v>5760</v>
      </c>
      <c r="BK240" t="s" s="475">
        <f>HYPERLINK("http://dx.doi.org/10.1038/s41598-026-45770-0","http://dx.doi.org/10.1038/s41598-026-45770-0")</f>
        <v>5761</v>
      </c>
      <c r="BL240" t="s" s="0">
        <v>81</v>
      </c>
      <c r="BM240" t="s" s="0">
        <v>948</v>
      </c>
      <c r="BN240" t="s" s="0">
        <v>1374</v>
      </c>
      <c r="BO240" t="s" s="0">
        <v>926</v>
      </c>
      <c r="BP240" t="s" s="0">
        <v>927</v>
      </c>
      <c r="BQ240" t="s" s="0">
        <v>5762</v>
      </c>
      <c r="BR240" t="s" s="0">
        <v>5763</v>
      </c>
      <c r="BS240" t="s" s="0">
        <v>5764</v>
      </c>
      <c r="BT240" t="s" s="476">
        <f>HYPERLINK("https://www.webofscience.com/wos/woscc/full-record/WOS:001784520300002","View Record in Web of Science")</f>
        <v>114</v>
      </c>
      <c r="BU240" t="s" s="0">
        <v>301</v>
      </c>
      <c r="BV240" t="s" s="0">
        <v>81</v>
      </c>
      <c r="BW240" t="s" s="0">
        <v>81</v>
      </c>
      <c r="BX240" t="s" s="0">
        <v>116</v>
      </c>
    </row>
    <row r="241">
      <c r="A241" t="s" s="0">
        <v>77</v>
      </c>
      <c r="B241" t="s" s="0">
        <v>77</v>
      </c>
      <c r="C241" t="s" s="0">
        <v>77</v>
      </c>
      <c r="D241" t="s" s="0">
        <v>77</v>
      </c>
      <c r="E241" t="s" s="0">
        <v>5765</v>
      </c>
      <c r="F241" t="s" s="0">
        <v>5766</v>
      </c>
      <c r="G241" t="s" s="0">
        <v>5767</v>
      </c>
      <c r="H241" t="s" s="0">
        <v>81</v>
      </c>
      <c r="I241" t="s" s="0">
        <v>238</v>
      </c>
      <c r="J241" t="s" s="0">
        <v>5768</v>
      </c>
      <c r="K241" t="s" s="0">
        <v>5769</v>
      </c>
      <c r="L241" t="s" s="0">
        <v>81</v>
      </c>
      <c r="M241" t="s" s="0">
        <v>81</v>
      </c>
      <c r="N241" t="s" s="0">
        <v>81</v>
      </c>
      <c r="O241" t="s" s="0">
        <v>5770</v>
      </c>
      <c r="P241" t="s" s="0">
        <v>5771</v>
      </c>
      <c r="Q241" t="s" s="0">
        <v>87</v>
      </c>
      <c r="R241" t="s" s="0">
        <v>81</v>
      </c>
      <c r="S241" t="s" s="0">
        <v>81</v>
      </c>
      <c r="T241" t="s" s="0">
        <v>81</v>
      </c>
      <c r="U241" t="s" s="0">
        <v>81</v>
      </c>
      <c r="V241" t="s" s="0">
        <v>5772</v>
      </c>
      <c r="W241" t="s" s="0">
        <v>5773</v>
      </c>
      <c r="X241" t="s" s="0">
        <v>81</v>
      </c>
      <c r="Y241" t="s" s="0">
        <v>81</v>
      </c>
      <c r="Z241" t="s" s="0">
        <v>90</v>
      </c>
      <c r="AA241" t="s" s="0">
        <v>91</v>
      </c>
      <c r="AB241" t="s" s="0">
        <v>81</v>
      </c>
      <c r="AC241" t="s" s="0">
        <v>81</v>
      </c>
      <c r="AD241" t="s" s="0">
        <v>81</v>
      </c>
      <c r="AE241" t="s" s="0">
        <v>81</v>
      </c>
      <c r="AF241" t="s" s="0">
        <v>81</v>
      </c>
      <c r="AG241" t="s" s="0">
        <v>5774</v>
      </c>
      <c r="AH241" t="s" s="0">
        <v>5775</v>
      </c>
      <c r="AI241" t="s" s="0">
        <v>81</v>
      </c>
      <c r="AJ241" t="s" s="0">
        <v>5776</v>
      </c>
      <c r="AK241" t="s" s="0">
        <v>81</v>
      </c>
      <c r="AL241" t="s" s="0">
        <v>4006</v>
      </c>
      <c r="AM241" t="s" s="0">
        <v>316</v>
      </c>
      <c r="AN241" t="s" s="0">
        <v>316</v>
      </c>
      <c r="AO241" t="s" s="0">
        <v>211</v>
      </c>
      <c r="AP241" t="s" s="0">
        <v>109</v>
      </c>
      <c r="AQ241" t="s" s="0">
        <v>636</v>
      </c>
      <c r="AR241" t="s" s="0">
        <v>637</v>
      </c>
      <c r="AS241" t="s" s="0">
        <v>638</v>
      </c>
      <c r="AT241" t="s" s="0">
        <v>5777</v>
      </c>
      <c r="AU241" t="s" s="0">
        <v>5778</v>
      </c>
      <c r="AV241" t="s" s="0">
        <v>81</v>
      </c>
      <c r="AW241" t="s" s="0">
        <v>5779</v>
      </c>
      <c r="AX241" t="s" s="0">
        <v>5780</v>
      </c>
      <c r="AY241" t="s" s="0">
        <v>5781</v>
      </c>
      <c r="AZ241" t="s" s="0">
        <v>185</v>
      </c>
      <c r="BA241" t="s" s="0">
        <v>252</v>
      </c>
      <c r="BB241" t="s" s="0">
        <v>175</v>
      </c>
      <c r="BC241" t="s" s="0">
        <v>4172</v>
      </c>
      <c r="BD241" t="s" s="0">
        <v>81</v>
      </c>
      <c r="BE241" t="s" s="0">
        <v>81</v>
      </c>
      <c r="BF241" t="s" s="0">
        <v>81</v>
      </c>
      <c r="BG241" t="s" s="0">
        <v>5782</v>
      </c>
      <c r="BH241" t="s" s="0">
        <v>5783</v>
      </c>
      <c r="BI241" t="s" s="0">
        <v>81</v>
      </c>
      <c r="BJ241" t="s" s="0">
        <v>5784</v>
      </c>
      <c r="BK241" t="s" s="477">
        <f>HYPERLINK("http://dx.doi.org/10.1080/20502877.2025.2482282","http://dx.doi.org/10.1080/20502877.2025.2482282")</f>
        <v>5785</v>
      </c>
      <c r="BL241" t="s" s="0">
        <v>81</v>
      </c>
      <c r="BM241" t="s" s="0">
        <v>1025</v>
      </c>
      <c r="BN241" t="s" s="0">
        <v>109</v>
      </c>
      <c r="BO241" t="s" s="0">
        <v>676</v>
      </c>
      <c r="BP241" t="s" s="0">
        <v>677</v>
      </c>
      <c r="BQ241" t="s" s="0">
        <v>5786</v>
      </c>
      <c r="BR241" t="s" s="0">
        <v>5787</v>
      </c>
      <c r="BS241" t="s" s="0">
        <v>5788</v>
      </c>
      <c r="BT241" t="s" s="478">
        <f>HYPERLINK("https://www.webofscience.com/wos/woscc/full-record/WOS:001454339600001","View Record in Web of Science")</f>
        <v>114</v>
      </c>
      <c r="BU241" t="s" s="0">
        <v>2239</v>
      </c>
      <c r="BV241" t="s" s="0">
        <v>81</v>
      </c>
      <c r="BW241" t="s" s="0">
        <v>81</v>
      </c>
      <c r="BX241" t="s" s="0">
        <v>116</v>
      </c>
    </row>
    <row r="242">
      <c r="A242" t="s" s="0">
        <v>77</v>
      </c>
      <c r="B242" t="s" s="0">
        <v>77</v>
      </c>
      <c r="C242" t="s" s="0">
        <v>156</v>
      </c>
      <c r="D242" t="s" s="0">
        <v>77</v>
      </c>
      <c r="E242" t="s" s="0">
        <v>5789</v>
      </c>
      <c r="F242" t="s" s="0">
        <v>5790</v>
      </c>
      <c r="G242" t="s" s="0">
        <v>5791</v>
      </c>
      <c r="H242" t="s" s="0">
        <v>81</v>
      </c>
      <c r="I242" t="s" s="0">
        <v>82</v>
      </c>
      <c r="J242" t="s" s="0">
        <v>5792</v>
      </c>
      <c r="K242" t="s" s="0">
        <v>5793</v>
      </c>
      <c r="L242" t="s" s="0">
        <v>5794</v>
      </c>
      <c r="M242" t="s" s="0">
        <v>5794</v>
      </c>
      <c r="N242" t="s" s="0">
        <v>5795</v>
      </c>
      <c r="O242" t="s" s="0">
        <v>5796</v>
      </c>
      <c r="P242" t="s" s="0">
        <v>5797</v>
      </c>
      <c r="Q242" t="s" s="0">
        <v>87</v>
      </c>
      <c r="R242" t="s" s="0">
        <v>81</v>
      </c>
      <c r="S242" t="s" s="0">
        <v>81</v>
      </c>
      <c r="T242" t="s" s="0">
        <v>81</v>
      </c>
      <c r="U242" t="s" s="0">
        <v>81</v>
      </c>
      <c r="V242" t="s" s="0">
        <v>5798</v>
      </c>
      <c r="W242" t="s" s="0">
        <v>1340</v>
      </c>
      <c r="X242" t="s" s="0">
        <v>81</v>
      </c>
      <c r="Y242" t="s" s="0">
        <v>81</v>
      </c>
      <c r="Z242" t="s" s="0">
        <v>90</v>
      </c>
      <c r="AA242" t="s" s="0">
        <v>91</v>
      </c>
      <c r="AB242" t="s" s="0">
        <v>81</v>
      </c>
      <c r="AC242" t="s" s="0">
        <v>81</v>
      </c>
      <c r="AD242" t="s" s="0">
        <v>81</v>
      </c>
      <c r="AE242" t="s" s="0">
        <v>81</v>
      </c>
      <c r="AF242" t="s" s="0">
        <v>81</v>
      </c>
      <c r="AG242" t="s" s="0">
        <v>5799</v>
      </c>
      <c r="AH242" t="s" s="0">
        <v>4648</v>
      </c>
      <c r="AI242" t="s" s="0">
        <v>5800</v>
      </c>
      <c r="AJ242" t="s" s="0">
        <v>5801</v>
      </c>
      <c r="AK242" t="s" s="0">
        <v>81</v>
      </c>
      <c r="AL242" t="s" s="0">
        <v>4518</v>
      </c>
      <c r="AM242" t="s" s="0">
        <v>291</v>
      </c>
      <c r="AN242" t="s" s="0">
        <v>222</v>
      </c>
      <c r="AO242" t="s" s="0">
        <v>77</v>
      </c>
      <c r="AP242" t="s" s="0">
        <v>222</v>
      </c>
      <c r="AQ242" t="s" s="0">
        <v>1344</v>
      </c>
      <c r="AR242" t="s" s="0">
        <v>1345</v>
      </c>
      <c r="AS242" t="s" s="0">
        <v>1346</v>
      </c>
      <c r="AT242" t="s" s="0">
        <v>1347</v>
      </c>
      <c r="AU242" t="s" s="0">
        <v>1348</v>
      </c>
      <c r="AV242" t="s" s="0">
        <v>81</v>
      </c>
      <c r="AW242" t="s" s="0">
        <v>1349</v>
      </c>
      <c r="AX242" t="s" s="0">
        <v>1350</v>
      </c>
      <c r="AY242" t="s" s="0">
        <v>190</v>
      </c>
      <c r="AZ242" t="s" s="0">
        <v>185</v>
      </c>
      <c r="BA242" t="s" s="0">
        <v>5802</v>
      </c>
      <c r="BB242" t="s" s="0">
        <v>81</v>
      </c>
      <c r="BC242" t="s" s="0">
        <v>81</v>
      </c>
      <c r="BD242" t="s" s="0">
        <v>81</v>
      </c>
      <c r="BE242" t="s" s="0">
        <v>81</v>
      </c>
      <c r="BF242" t="s" s="0">
        <v>81</v>
      </c>
      <c r="BG242" t="s" s="0">
        <v>81</v>
      </c>
      <c r="BH242" t="s" s="0">
        <v>81</v>
      </c>
      <c r="BI242" t="s" s="0">
        <v>5803</v>
      </c>
      <c r="BJ242" t="s" s="0">
        <v>5804</v>
      </c>
      <c r="BK242" t="s" s="479">
        <f>HYPERLINK("http://dx.doi.org/10.1016/j.eswa.2023.121226","http://dx.doi.org/10.1016/j.eswa.2023.121226")</f>
        <v>5805</v>
      </c>
      <c r="BL242" t="s" s="0">
        <v>81</v>
      </c>
      <c r="BM242" t="s" s="0">
        <v>265</v>
      </c>
      <c r="BN242" t="s" s="0">
        <v>925</v>
      </c>
      <c r="BO242" t="s" s="0">
        <v>1356</v>
      </c>
      <c r="BP242" t="s" s="0">
        <v>1357</v>
      </c>
      <c r="BQ242" t="s" s="0">
        <v>5806</v>
      </c>
      <c r="BR242" t="s" s="0">
        <v>81</v>
      </c>
      <c r="BS242" t="s" s="0">
        <v>5807</v>
      </c>
      <c r="BT242" t="s" s="480">
        <f>HYPERLINK("https://www.webofscience.com/wos/woscc/full-record/WOS:001082839300001","View Record in Web of Science")</f>
        <v>114</v>
      </c>
      <c r="BU242" t="s" s="0">
        <v>81</v>
      </c>
      <c r="BV242" t="s" s="0">
        <v>81</v>
      </c>
      <c r="BW242" t="s" s="0">
        <v>81</v>
      </c>
      <c r="BX242" t="s" s="0">
        <v>116</v>
      </c>
    </row>
    <row r="243">
      <c r="A243" t="s" s="0">
        <v>77</v>
      </c>
      <c r="B243" t="s" s="0">
        <v>77</v>
      </c>
      <c r="C243" t="s" s="0">
        <v>77</v>
      </c>
      <c r="D243" t="s" s="0">
        <v>77</v>
      </c>
      <c r="E243" t="s" s="0">
        <v>5808</v>
      </c>
      <c r="F243" t="s" s="0">
        <v>5809</v>
      </c>
      <c r="G243" t="s" s="0">
        <v>5810</v>
      </c>
      <c r="H243" t="s" s="0">
        <v>81</v>
      </c>
      <c r="I243" t="s" s="0">
        <v>82</v>
      </c>
      <c r="J243" t="s" s="0">
        <v>5811</v>
      </c>
      <c r="K243" t="s" s="0">
        <v>5812</v>
      </c>
      <c r="L243" t="s" s="0">
        <v>81</v>
      </c>
      <c r="M243" t="s" s="0">
        <v>81</v>
      </c>
      <c r="N243" t="s" s="0">
        <v>81</v>
      </c>
      <c r="O243" t="s" s="0">
        <v>5813</v>
      </c>
      <c r="P243" t="s" s="0">
        <v>5814</v>
      </c>
      <c r="Q243" t="s" s="0">
        <v>87</v>
      </c>
      <c r="R243" t="s" s="0">
        <v>81</v>
      </c>
      <c r="S243" t="s" s="0">
        <v>81</v>
      </c>
      <c r="T243" t="s" s="0">
        <v>81</v>
      </c>
      <c r="U243" t="s" s="0">
        <v>81</v>
      </c>
      <c r="V243" t="s" s="0">
        <v>5815</v>
      </c>
      <c r="W243" t="s" s="0">
        <v>89</v>
      </c>
      <c r="X243" t="s" s="0">
        <v>81</v>
      </c>
      <c r="Y243" t="s" s="0">
        <v>81</v>
      </c>
      <c r="Z243" t="s" s="0">
        <v>90</v>
      </c>
      <c r="AA243" t="s" s="0">
        <v>91</v>
      </c>
      <c r="AB243" t="s" s="0">
        <v>81</v>
      </c>
      <c r="AC243" t="s" s="0">
        <v>81</v>
      </c>
      <c r="AD243" t="s" s="0">
        <v>81</v>
      </c>
      <c r="AE243" t="s" s="0">
        <v>81</v>
      </c>
      <c r="AF243" t="s" s="0">
        <v>81</v>
      </c>
      <c r="AG243" t="s" s="0">
        <v>5816</v>
      </c>
      <c r="AH243" t="s" s="0">
        <v>81</v>
      </c>
      <c r="AI243" t="s" s="0">
        <v>5817</v>
      </c>
      <c r="AJ243" t="s" s="0">
        <v>5818</v>
      </c>
      <c r="AK243" t="s" s="0">
        <v>81</v>
      </c>
      <c r="AL243" t="s" s="0">
        <v>696</v>
      </c>
      <c r="AM243" t="s" s="0">
        <v>196</v>
      </c>
      <c r="AN243" t="s" s="0">
        <v>196</v>
      </c>
      <c r="AO243" t="s" s="0">
        <v>156</v>
      </c>
      <c r="AP243" t="s" s="0">
        <v>104</v>
      </c>
      <c r="AQ243" t="s" s="0">
        <v>98</v>
      </c>
      <c r="AR243" t="s" s="0">
        <v>99</v>
      </c>
      <c r="AS243" t="s" s="0">
        <v>100</v>
      </c>
      <c r="AT243" t="s" s="0">
        <v>101</v>
      </c>
      <c r="AU243" t="s" s="0">
        <v>81</v>
      </c>
      <c r="AV243" t="s" s="0">
        <v>81</v>
      </c>
      <c r="AW243" t="s" s="0">
        <v>89</v>
      </c>
      <c r="AX243" t="s" s="0">
        <v>102</v>
      </c>
      <c r="AY243" t="s" s="0">
        <v>290</v>
      </c>
      <c r="AZ243" t="s" s="0">
        <v>290</v>
      </c>
      <c r="BA243" t="s" s="0">
        <v>486</v>
      </c>
      <c r="BB243" t="s" s="0">
        <v>81</v>
      </c>
      <c r="BC243" t="s" s="0">
        <v>81</v>
      </c>
      <c r="BD243" t="s" s="0">
        <v>81</v>
      </c>
      <c r="BE243" t="s" s="0">
        <v>81</v>
      </c>
      <c r="BF243" t="s" s="0">
        <v>81</v>
      </c>
      <c r="BG243" t="s" s="0">
        <v>5819</v>
      </c>
      <c r="BH243" t="s" s="0">
        <v>5820</v>
      </c>
      <c r="BI243" t="s" s="0">
        <v>81</v>
      </c>
      <c r="BJ243" t="s" s="0">
        <v>5821</v>
      </c>
      <c r="BK243" t="s" s="481">
        <f>HYPERLINK("http://dx.doi.org/10.1109/ACCESS.2024.3522862","http://dx.doi.org/10.1109/ACCESS.2024.3522862")</f>
        <v>5822</v>
      </c>
      <c r="BL243" t="s" s="0">
        <v>81</v>
      </c>
      <c r="BM243" t="s" s="0">
        <v>81</v>
      </c>
      <c r="BN243" t="s" s="0">
        <v>295</v>
      </c>
      <c r="BO243" t="s" s="0">
        <v>110</v>
      </c>
      <c r="BP243" t="s" s="0">
        <v>111</v>
      </c>
      <c r="BQ243" t="s" s="0">
        <v>5823</v>
      </c>
      <c r="BR243" t="s" s="0">
        <v>81</v>
      </c>
      <c r="BS243" t="s" s="0">
        <v>5824</v>
      </c>
      <c r="BT243" t="s" s="482">
        <f>HYPERLINK("https://www.webofscience.com/wos/woscc/full-record/WOS:001389554800043","View Record in Web of Science")</f>
        <v>114</v>
      </c>
      <c r="BU243" t="s" s="0">
        <v>301</v>
      </c>
      <c r="BV243" t="s" s="0">
        <v>81</v>
      </c>
      <c r="BW243" t="s" s="0">
        <v>81</v>
      </c>
      <c r="BX243" t="s" s="0">
        <v>116</v>
      </c>
    </row>
    <row r="244">
      <c r="A244" t="s" s="0">
        <v>77</v>
      </c>
      <c r="B244" t="s" s="0">
        <v>77</v>
      </c>
      <c r="C244" t="s" s="0">
        <v>77</v>
      </c>
      <c r="D244" t="s" s="0">
        <v>77</v>
      </c>
      <c r="E244" t="s" s="0">
        <v>5825</v>
      </c>
      <c r="F244" t="s" s="0">
        <v>5826</v>
      </c>
      <c r="G244" t="s" s="0">
        <v>5827</v>
      </c>
      <c r="H244" t="s" s="0">
        <v>81</v>
      </c>
      <c r="I244" t="s" s="0">
        <v>238</v>
      </c>
      <c r="J244" t="s" s="0">
        <v>5828</v>
      </c>
      <c r="K244" t="s" s="0">
        <v>5829</v>
      </c>
      <c r="L244" t="s" s="0">
        <v>81</v>
      </c>
      <c r="M244" t="s" s="0">
        <v>81</v>
      </c>
      <c r="N244" t="s" s="0">
        <v>81</v>
      </c>
      <c r="O244" t="s" s="0">
        <v>5830</v>
      </c>
      <c r="P244" t="s" s="0">
        <v>5831</v>
      </c>
      <c r="Q244" t="s" s="0">
        <v>87</v>
      </c>
      <c r="R244" t="s" s="0">
        <v>81</v>
      </c>
      <c r="S244" t="s" s="0">
        <v>81</v>
      </c>
      <c r="T244" t="s" s="0">
        <v>81</v>
      </c>
      <c r="U244" t="s" s="0">
        <v>81</v>
      </c>
      <c r="V244" t="s" s="0">
        <v>5832</v>
      </c>
      <c r="W244" t="s" s="0">
        <v>5833</v>
      </c>
      <c r="X244" t="s" s="0">
        <v>81</v>
      </c>
      <c r="Y244" t="s" s="0">
        <v>81</v>
      </c>
      <c r="Z244" t="s" s="0">
        <v>90</v>
      </c>
      <c r="AA244" t="s" s="0">
        <v>91</v>
      </c>
      <c r="AB244" t="s" s="0">
        <v>81</v>
      </c>
      <c r="AC244" t="s" s="0">
        <v>81</v>
      </c>
      <c r="AD244" t="s" s="0">
        <v>81</v>
      </c>
      <c r="AE244" t="s" s="0">
        <v>81</v>
      </c>
      <c r="AF244" t="s" s="0">
        <v>81</v>
      </c>
      <c r="AG244" t="s" s="0">
        <v>5834</v>
      </c>
      <c r="AH244" t="s" s="0">
        <v>81</v>
      </c>
      <c r="AI244" t="s" s="0">
        <v>5835</v>
      </c>
      <c r="AJ244" t="s" s="0">
        <v>5836</v>
      </c>
      <c r="AK244" t="s" s="0">
        <v>81</v>
      </c>
      <c r="AL244" t="s" s="0">
        <v>150</v>
      </c>
      <c r="AM244" t="s" s="0">
        <v>77</v>
      </c>
      <c r="AN244" t="s" s="0">
        <v>77</v>
      </c>
      <c r="AO244" t="s" s="0">
        <v>97</v>
      </c>
      <c r="AP244" t="s" s="0">
        <v>97</v>
      </c>
      <c r="AQ244" t="s" s="0">
        <v>284</v>
      </c>
      <c r="AR244" t="s" s="0">
        <v>285</v>
      </c>
      <c r="AS244" t="s" s="0">
        <v>286</v>
      </c>
      <c r="AT244" t="s" s="0">
        <v>81</v>
      </c>
      <c r="AU244" t="s" s="0">
        <v>5837</v>
      </c>
      <c r="AV244" t="s" s="0">
        <v>81</v>
      </c>
      <c r="AW244" t="s" s="0">
        <v>5838</v>
      </c>
      <c r="AX244" t="s" s="0">
        <v>5839</v>
      </c>
      <c r="AY244" t="s" s="0">
        <v>5840</v>
      </c>
      <c r="AZ244" t="s" s="0">
        <v>103</v>
      </c>
      <c r="BA244" t="s" s="0">
        <v>134</v>
      </c>
      <c r="BB244" t="s" s="0">
        <v>133</v>
      </c>
      <c r="BC244" t="s" s="0">
        <v>81</v>
      </c>
      <c r="BD244" t="s" s="0">
        <v>81</v>
      </c>
      <c r="BE244" t="s" s="0">
        <v>81</v>
      </c>
      <c r="BF244" t="s" s="0">
        <v>81</v>
      </c>
      <c r="BG244" t="s" s="0">
        <v>81</v>
      </c>
      <c r="BH244" t="s" s="0">
        <v>81</v>
      </c>
      <c r="BI244" t="s" s="0">
        <v>5841</v>
      </c>
      <c r="BJ244" t="s" s="0">
        <v>5842</v>
      </c>
      <c r="BK244" t="s" s="483">
        <f>HYPERLINK("http://dx.doi.org/10.3390/jimaging12050211","http://dx.doi.org/10.3390/jimaging12050211")</f>
        <v>5843</v>
      </c>
      <c r="BL244" t="s" s="0">
        <v>81</v>
      </c>
      <c r="BM244" t="s" s="0">
        <v>81</v>
      </c>
      <c r="BN244" t="s" s="0">
        <v>109</v>
      </c>
      <c r="BO244" t="s" s="0">
        <v>5844</v>
      </c>
      <c r="BP244" t="s" s="0">
        <v>5844</v>
      </c>
      <c r="BQ244" t="s" s="0">
        <v>5845</v>
      </c>
      <c r="BR244" t="s" s="0">
        <v>5846</v>
      </c>
      <c r="BS244" t="s" s="0">
        <v>5847</v>
      </c>
      <c r="BT244" t="s" s="484">
        <f>HYPERLINK("https://www.webofscience.com/wos/woscc/full-record/WOS:001774724400001","View Record in Web of Science")</f>
        <v>114</v>
      </c>
      <c r="BU244" t="s" s="0">
        <v>301</v>
      </c>
      <c r="BV244" t="s" s="0">
        <v>81</v>
      </c>
      <c r="BW244" t="s" s="0">
        <v>81</v>
      </c>
      <c r="BX244" t="s" s="0">
        <v>116</v>
      </c>
    </row>
    <row r="245">
      <c r="A245" t="s" s="0">
        <v>77</v>
      </c>
      <c r="B245" t="s" s="0">
        <v>77</v>
      </c>
      <c r="C245" t="s" s="0">
        <v>77</v>
      </c>
      <c r="D245" t="s" s="0">
        <v>77</v>
      </c>
      <c r="E245" t="s" s="0">
        <v>5848</v>
      </c>
      <c r="F245" t="s" s="0">
        <v>5849</v>
      </c>
      <c r="G245" t="s" s="0">
        <v>5850</v>
      </c>
      <c r="H245" t="s" s="0">
        <v>81</v>
      </c>
      <c r="I245" t="s" s="0">
        <v>238</v>
      </c>
      <c r="J245" t="s" s="0">
        <v>5851</v>
      </c>
      <c r="K245" t="s" s="0">
        <v>5852</v>
      </c>
      <c r="L245" t="s" s="0">
        <v>5853</v>
      </c>
      <c r="M245" t="s" s="0">
        <v>5854</v>
      </c>
      <c r="N245" t="s" s="0">
        <v>5855</v>
      </c>
      <c r="O245" t="s" s="0">
        <v>5856</v>
      </c>
      <c r="P245" t="s" s="0">
        <v>5857</v>
      </c>
      <c r="Q245" t="s" s="0">
        <v>87</v>
      </c>
      <c r="R245" t="s" s="0">
        <v>81</v>
      </c>
      <c r="S245" t="s" s="0">
        <v>81</v>
      </c>
      <c r="T245" t="s" s="0">
        <v>81</v>
      </c>
      <c r="U245" t="s" s="0">
        <v>81</v>
      </c>
      <c r="V245" t="s" s="0">
        <v>5858</v>
      </c>
      <c r="W245" t="s" s="0">
        <v>5859</v>
      </c>
      <c r="X245" t="s" s="0">
        <v>81</v>
      </c>
      <c r="Y245" t="s" s="0">
        <v>81</v>
      </c>
      <c r="Z245" t="s" s="0">
        <v>90</v>
      </c>
      <c r="AA245" t="s" s="0">
        <v>91</v>
      </c>
      <c r="AB245" t="s" s="0">
        <v>81</v>
      </c>
      <c r="AC245" t="s" s="0">
        <v>81</v>
      </c>
      <c r="AD245" t="s" s="0">
        <v>81</v>
      </c>
      <c r="AE245" t="s" s="0">
        <v>81</v>
      </c>
      <c r="AF245" t="s" s="0">
        <v>81</v>
      </c>
      <c r="AG245" t="s" s="0">
        <v>5860</v>
      </c>
      <c r="AH245" t="s" s="0">
        <v>81</v>
      </c>
      <c r="AI245" t="s" s="0">
        <v>5861</v>
      </c>
      <c r="AJ245" t="s" s="0">
        <v>5862</v>
      </c>
      <c r="AK245" t="s" s="0">
        <v>81</v>
      </c>
      <c r="AL245" t="s" s="0">
        <v>485</v>
      </c>
      <c r="AM245" t="s" s="0">
        <v>77</v>
      </c>
      <c r="AN245" t="s" s="0">
        <v>77</v>
      </c>
      <c r="AO245" t="s" s="0">
        <v>77</v>
      </c>
      <c r="AP245" t="s" s="0">
        <v>77</v>
      </c>
      <c r="AQ245" t="s" s="0">
        <v>1809</v>
      </c>
      <c r="AR245" t="s" s="0">
        <v>1810</v>
      </c>
      <c r="AS245" t="s" s="0">
        <v>1811</v>
      </c>
      <c r="AT245" t="s" s="0">
        <v>5863</v>
      </c>
      <c r="AU245" t="s" s="0">
        <v>5864</v>
      </c>
      <c r="AV245" t="s" s="0">
        <v>81</v>
      </c>
      <c r="AW245" t="s" s="0">
        <v>5865</v>
      </c>
      <c r="AX245" t="s" s="0">
        <v>5866</v>
      </c>
      <c r="AY245" t="s" s="0">
        <v>1940</v>
      </c>
      <c r="AZ245" t="s" s="0">
        <v>103</v>
      </c>
      <c r="BA245" t="s" s="0">
        <v>295</v>
      </c>
      <c r="BB245" t="s" s="0">
        <v>97</v>
      </c>
      <c r="BC245" t="s" s="0">
        <v>81</v>
      </c>
      <c r="BD245" t="s" s="0">
        <v>81</v>
      </c>
      <c r="BE245" t="s" s="0">
        <v>81</v>
      </c>
      <c r="BF245" t="s" s="0">
        <v>81</v>
      </c>
      <c r="BG245" t="s" s="0">
        <v>5867</v>
      </c>
      <c r="BH245" t="s" s="0">
        <v>5868</v>
      </c>
      <c r="BI245" t="s" s="0">
        <v>81</v>
      </c>
      <c r="BJ245" t="s" s="0">
        <v>5869</v>
      </c>
      <c r="BK245" t="s" s="485">
        <f>HYPERLINK("http://dx.doi.org/10.1177/18724981251391747","http://dx.doi.org/10.1177/18724981251391747")</f>
        <v>5870</v>
      </c>
      <c r="BL245" t="s" s="0">
        <v>81</v>
      </c>
      <c r="BM245" t="s" s="0">
        <v>1940</v>
      </c>
      <c r="BN245" t="s" s="0">
        <v>486</v>
      </c>
      <c r="BO245" t="s" s="0">
        <v>409</v>
      </c>
      <c r="BP245" t="s" s="0">
        <v>152</v>
      </c>
      <c r="BQ245" t="s" s="0">
        <v>5871</v>
      </c>
      <c r="BR245" t="s" s="0">
        <v>81</v>
      </c>
      <c r="BS245" t="s" s="0">
        <v>5872</v>
      </c>
      <c r="BT245" t="s" s="486">
        <f>HYPERLINK("https://www.webofscience.com/wos/woscc/full-record/WOS:001614528300001","View Record in Web of Science")</f>
        <v>114</v>
      </c>
      <c r="BU245" t="s" s="0">
        <v>81</v>
      </c>
      <c r="BV245" t="s" s="0">
        <v>81</v>
      </c>
      <c r="BW245" t="s" s="0">
        <v>81</v>
      </c>
      <c r="BX245" t="s" s="0">
        <v>116</v>
      </c>
    </row>
    <row r="246">
      <c r="A246" t="s" s="0">
        <v>77</v>
      </c>
      <c r="B246" t="s" s="0">
        <v>77</v>
      </c>
      <c r="C246" t="s" s="0">
        <v>77</v>
      </c>
      <c r="D246" t="s" s="0">
        <v>77</v>
      </c>
      <c r="E246" t="s" s="0">
        <v>5873</v>
      </c>
      <c r="F246" t="s" s="0">
        <v>5874</v>
      </c>
      <c r="G246" t="s" s="0">
        <v>5875</v>
      </c>
      <c r="H246" t="s" s="0">
        <v>81</v>
      </c>
      <c r="I246" t="s" s="0">
        <v>82</v>
      </c>
      <c r="J246" t="s" s="0">
        <v>5876</v>
      </c>
      <c r="K246" t="s" s="0">
        <v>5877</v>
      </c>
      <c r="L246" t="s" s="0">
        <v>81</v>
      </c>
      <c r="M246" t="s" s="0">
        <v>81</v>
      </c>
      <c r="N246" t="s" s="0">
        <v>81</v>
      </c>
      <c r="O246" t="s" s="0">
        <v>5878</v>
      </c>
      <c r="P246" t="s" s="0">
        <v>5879</v>
      </c>
      <c r="Q246" t="s" s="0">
        <v>87</v>
      </c>
      <c r="R246" t="s" s="0">
        <v>81</v>
      </c>
      <c r="S246" t="s" s="0">
        <v>81</v>
      </c>
      <c r="T246" t="s" s="0">
        <v>81</v>
      </c>
      <c r="U246" t="s" s="0">
        <v>81</v>
      </c>
      <c r="V246" t="s" s="0">
        <v>5880</v>
      </c>
      <c r="W246" t="s" s="0">
        <v>5881</v>
      </c>
      <c r="X246" t="s" s="0">
        <v>81</v>
      </c>
      <c r="Y246" t="s" s="0">
        <v>81</v>
      </c>
      <c r="Z246" t="s" s="0">
        <v>90</v>
      </c>
      <c r="AA246" t="s" s="0">
        <v>1581</v>
      </c>
      <c r="AB246" t="s" s="0">
        <v>81</v>
      </c>
      <c r="AC246" t="s" s="0">
        <v>81</v>
      </c>
      <c r="AD246" t="s" s="0">
        <v>81</v>
      </c>
      <c r="AE246" t="s" s="0">
        <v>81</v>
      </c>
      <c r="AF246" t="s" s="0">
        <v>81</v>
      </c>
      <c r="AG246" t="s" s="0">
        <v>5882</v>
      </c>
      <c r="AH246" t="s" s="0">
        <v>81</v>
      </c>
      <c r="AI246" t="s" s="0">
        <v>5883</v>
      </c>
      <c r="AJ246" t="s" s="0">
        <v>81</v>
      </c>
      <c r="AK246" t="s" s="0">
        <v>81</v>
      </c>
      <c r="AL246" t="s" s="0">
        <v>543</v>
      </c>
      <c r="AM246" t="s" s="0">
        <v>97</v>
      </c>
      <c r="AN246" t="s" s="0">
        <v>97</v>
      </c>
      <c r="AO246" t="s" s="0">
        <v>97</v>
      </c>
      <c r="AP246" t="s" s="0">
        <v>97</v>
      </c>
      <c r="AQ246" t="s" s="0">
        <v>603</v>
      </c>
      <c r="AR246" t="s" s="0">
        <v>604</v>
      </c>
      <c r="AS246" t="s" s="0">
        <v>605</v>
      </c>
      <c r="AT246" t="s" s="0">
        <v>5884</v>
      </c>
      <c r="AU246" t="s" s="0">
        <v>5885</v>
      </c>
      <c r="AV246" t="s" s="0">
        <v>81</v>
      </c>
      <c r="AW246" t="s" s="0">
        <v>5886</v>
      </c>
      <c r="AX246" t="s" s="0">
        <v>5887</v>
      </c>
      <c r="AY246" t="s" s="0">
        <v>81</v>
      </c>
      <c r="AZ246" t="s" s="0">
        <v>103</v>
      </c>
      <c r="BA246" t="s" s="0">
        <v>81</v>
      </c>
      <c r="BB246" t="s" s="0">
        <v>81</v>
      </c>
      <c r="BC246" t="s" s="0">
        <v>81</v>
      </c>
      <c r="BD246" t="s" s="0">
        <v>81</v>
      </c>
      <c r="BE246" t="s" s="0">
        <v>81</v>
      </c>
      <c r="BF246" t="s" s="0">
        <v>81</v>
      </c>
      <c r="BG246" t="s" s="0">
        <v>81</v>
      </c>
      <c r="BH246" t="s" s="0">
        <v>81</v>
      </c>
      <c r="BI246" t="s" s="0">
        <v>81</v>
      </c>
      <c r="BJ246" t="s" s="0">
        <v>5888</v>
      </c>
      <c r="BK246" t="s" s="487">
        <f>HYPERLINK("http://dx.doi.org/10.1080/17538157.2026.2628838","http://dx.doi.org/10.1080/17538157.2026.2628838")</f>
        <v>5889</v>
      </c>
      <c r="BL246" t="s" s="0">
        <v>81</v>
      </c>
      <c r="BM246" t="s" s="0">
        <v>2108</v>
      </c>
      <c r="BN246" t="s" s="0">
        <v>291</v>
      </c>
      <c r="BO246" t="s" s="0">
        <v>792</v>
      </c>
      <c r="BP246" t="s" s="0">
        <v>792</v>
      </c>
      <c r="BQ246" t="s" s="0">
        <v>5890</v>
      </c>
      <c r="BR246" t="s" s="0">
        <v>5891</v>
      </c>
      <c r="BS246" t="s" s="0">
        <v>5892</v>
      </c>
      <c r="BT246" t="s" s="488">
        <f>HYPERLINK("https://www.webofscience.com/wos/woscc/full-record/WOS:001692014600001","View Record in Web of Science")</f>
        <v>114</v>
      </c>
      <c r="BU246" t="s" s="0">
        <v>81</v>
      </c>
      <c r="BV246" t="s" s="0">
        <v>81</v>
      </c>
      <c r="BW246" t="s" s="0">
        <v>81</v>
      </c>
      <c r="BX246" t="s" s="0">
        <v>116</v>
      </c>
    </row>
    <row r="247">
      <c r="A247" t="s" s="0">
        <v>77</v>
      </c>
      <c r="B247" t="s" s="0">
        <v>77</v>
      </c>
      <c r="C247" t="s" s="0">
        <v>175</v>
      </c>
      <c r="D247" t="s" s="0">
        <v>77</v>
      </c>
      <c r="E247" t="s" s="0">
        <v>5893</v>
      </c>
      <c r="F247" t="s" s="0">
        <v>5894</v>
      </c>
      <c r="G247" t="s" s="0">
        <v>5895</v>
      </c>
      <c r="H247" t="s" s="0">
        <v>81</v>
      </c>
      <c r="I247" t="s" s="0">
        <v>82</v>
      </c>
      <c r="J247" t="s" s="0">
        <v>5896</v>
      </c>
      <c r="K247" t="s" s="0">
        <v>5897</v>
      </c>
      <c r="L247" t="s" s="0">
        <v>5898</v>
      </c>
      <c r="M247" t="s" s="0">
        <v>5899</v>
      </c>
      <c r="N247" t="s" s="0">
        <v>5900</v>
      </c>
      <c r="O247" t="s" s="0">
        <v>5901</v>
      </c>
      <c r="P247" t="s" s="0">
        <v>5902</v>
      </c>
      <c r="Q247" t="s" s="0">
        <v>87</v>
      </c>
      <c r="R247" t="s" s="0">
        <v>81</v>
      </c>
      <c r="S247" t="s" s="0">
        <v>81</v>
      </c>
      <c r="T247" t="s" s="0">
        <v>81</v>
      </c>
      <c r="U247" t="s" s="0">
        <v>81</v>
      </c>
      <c r="V247" t="s" s="0">
        <v>5903</v>
      </c>
      <c r="W247" t="s" s="0">
        <v>5904</v>
      </c>
      <c r="X247" t="s" s="0">
        <v>81</v>
      </c>
      <c r="Y247" t="s" s="0">
        <v>81</v>
      </c>
      <c r="Z247" t="s" s="0">
        <v>90</v>
      </c>
      <c r="AA247" t="s" s="0">
        <v>91</v>
      </c>
      <c r="AB247" t="s" s="0">
        <v>81</v>
      </c>
      <c r="AC247" t="s" s="0">
        <v>81</v>
      </c>
      <c r="AD247" t="s" s="0">
        <v>81</v>
      </c>
      <c r="AE247" t="s" s="0">
        <v>81</v>
      </c>
      <c r="AF247" t="s" s="0">
        <v>81</v>
      </c>
      <c r="AG247" t="s" s="0">
        <v>5905</v>
      </c>
      <c r="AH247" t="s" s="0">
        <v>5906</v>
      </c>
      <c r="AI247" t="s" s="0">
        <v>5907</v>
      </c>
      <c r="AJ247" t="s" s="0">
        <v>5908</v>
      </c>
      <c r="AK247" t="s" s="0">
        <v>81</v>
      </c>
      <c r="AL247" t="s" s="0">
        <v>2331</v>
      </c>
      <c r="AM247" t="s" s="0">
        <v>3518</v>
      </c>
      <c r="AN247" t="s" s="0">
        <v>343</v>
      </c>
      <c r="AO247" t="s" s="0">
        <v>234</v>
      </c>
      <c r="AP247" t="s" s="0">
        <v>434</v>
      </c>
      <c r="AQ247" t="s" s="0">
        <v>136</v>
      </c>
      <c r="AR247" t="s" s="0">
        <v>137</v>
      </c>
      <c r="AS247" t="s" s="0">
        <v>138</v>
      </c>
      <c r="AT247" t="s" s="0">
        <v>5909</v>
      </c>
      <c r="AU247" t="s" s="0">
        <v>81</v>
      </c>
      <c r="AV247" t="s" s="0">
        <v>81</v>
      </c>
      <c r="AW247" t="s" s="0">
        <v>5904</v>
      </c>
      <c r="AX247" t="s" s="0">
        <v>5910</v>
      </c>
      <c r="AY247" t="s" s="0">
        <v>1183</v>
      </c>
      <c r="AZ247" t="s" s="0">
        <v>185</v>
      </c>
      <c r="BA247" t="s" s="0">
        <v>211</v>
      </c>
      <c r="BB247" t="s" s="0">
        <v>316</v>
      </c>
      <c r="BC247" t="s" s="0">
        <v>81</v>
      </c>
      <c r="BD247" t="s" s="0">
        <v>81</v>
      </c>
      <c r="BE247" t="s" s="0">
        <v>81</v>
      </c>
      <c r="BF247" t="s" s="0">
        <v>81</v>
      </c>
      <c r="BG247" t="s" s="0">
        <v>5911</v>
      </c>
      <c r="BH247" t="s" s="0">
        <v>5912</v>
      </c>
      <c r="BI247" t="s" s="0">
        <v>81</v>
      </c>
      <c r="BJ247" t="s" s="0">
        <v>5913</v>
      </c>
      <c r="BK247" t="s" s="489">
        <f>HYPERLINK("http://dx.doi.org/10.1016/j.icte.2024.09.008","http://dx.doi.org/10.1016/j.icte.2024.09.008")</f>
        <v>5914</v>
      </c>
      <c r="BL247" t="s" s="0">
        <v>81</v>
      </c>
      <c r="BM247" t="s" s="0">
        <v>1183</v>
      </c>
      <c r="BN247" t="s" s="0">
        <v>434</v>
      </c>
      <c r="BO247" t="s" s="0">
        <v>5915</v>
      </c>
      <c r="BP247" t="s" s="0">
        <v>3593</v>
      </c>
      <c r="BQ247" t="s" s="0">
        <v>5916</v>
      </c>
      <c r="BR247" t="s" s="0">
        <v>81</v>
      </c>
      <c r="BS247" t="s" s="0">
        <v>5917</v>
      </c>
      <c r="BT247" t="s" s="490">
        <f>HYPERLINK("https://www.webofscience.com/wos/woscc/full-record/WOS:001406999900001","View Record in Web of Science")</f>
        <v>114</v>
      </c>
      <c r="BU247" t="s" s="0">
        <v>115</v>
      </c>
      <c r="BV247" t="s" s="0">
        <v>81</v>
      </c>
      <c r="BW247" t="s" s="0">
        <v>81</v>
      </c>
      <c r="BX247" t="s" s="0">
        <v>116</v>
      </c>
    </row>
    <row r="248">
      <c r="A248" t="s" s="0">
        <v>156</v>
      </c>
      <c r="B248" t="s" s="0">
        <v>77</v>
      </c>
      <c r="C248" t="s" s="0">
        <v>196</v>
      </c>
      <c r="D248" t="s" s="0">
        <v>77</v>
      </c>
      <c r="E248" t="s" s="0">
        <v>5918</v>
      </c>
      <c r="F248" t="s" s="0">
        <v>5919</v>
      </c>
      <c r="G248" t="s" s="0">
        <v>5920</v>
      </c>
      <c r="H248" t="s" s="0">
        <v>81</v>
      </c>
      <c r="I248" t="s" s="0">
        <v>82</v>
      </c>
      <c r="J248" t="s" s="0">
        <v>5921</v>
      </c>
      <c r="K248" t="s" s="0">
        <v>5922</v>
      </c>
      <c r="L248" t="s" s="0">
        <v>5923</v>
      </c>
      <c r="M248" t="s" s="0">
        <v>5924</v>
      </c>
      <c r="N248" t="s" s="0">
        <v>5925</v>
      </c>
      <c r="O248" t="s" s="0">
        <v>5926</v>
      </c>
      <c r="P248" t="s" s="0">
        <v>5927</v>
      </c>
      <c r="Q248" t="s" s="0">
        <v>87</v>
      </c>
      <c r="R248" t="s" s="0">
        <v>81</v>
      </c>
      <c r="S248" t="s" s="0">
        <v>81</v>
      </c>
      <c r="T248" t="s" s="0">
        <v>81</v>
      </c>
      <c r="U248" t="s" s="0">
        <v>81</v>
      </c>
      <c r="V248" t="s" s="0">
        <v>5928</v>
      </c>
      <c r="W248" t="s" s="0">
        <v>5929</v>
      </c>
      <c r="X248" t="s" s="0">
        <v>81</v>
      </c>
      <c r="Y248" t="s" s="0">
        <v>81</v>
      </c>
      <c r="Z248" t="s" s="0">
        <v>90</v>
      </c>
      <c r="AA248" t="s" s="0">
        <v>91</v>
      </c>
      <c r="AB248" t="s" s="0">
        <v>81</v>
      </c>
      <c r="AC248" t="s" s="0">
        <v>81</v>
      </c>
      <c r="AD248" t="s" s="0">
        <v>81</v>
      </c>
      <c r="AE248" t="s" s="0">
        <v>81</v>
      </c>
      <c r="AF248" t="s" s="0">
        <v>81</v>
      </c>
      <c r="AG248" t="s" s="0">
        <v>5930</v>
      </c>
      <c r="AH248" t="s" s="0">
        <v>5931</v>
      </c>
      <c r="AI248" t="s" s="0">
        <v>5932</v>
      </c>
      <c r="AJ248" t="s" s="0">
        <v>5933</v>
      </c>
      <c r="AK248" t="s" s="0">
        <v>81</v>
      </c>
      <c r="AL248" t="s" s="0">
        <v>398</v>
      </c>
      <c r="AM248" t="s" s="0">
        <v>925</v>
      </c>
      <c r="AN248" t="s" s="0">
        <v>367</v>
      </c>
      <c r="AO248" t="s" s="0">
        <v>316</v>
      </c>
      <c r="AP248" t="s" s="0">
        <v>2447</v>
      </c>
      <c r="AQ248" t="s" s="0">
        <v>1608</v>
      </c>
      <c r="AR248" t="s" s="0">
        <v>1609</v>
      </c>
      <c r="AS248" t="s" s="0">
        <v>1610</v>
      </c>
      <c r="AT248" t="s" s="0">
        <v>5934</v>
      </c>
      <c r="AU248" t="s" s="0">
        <v>5935</v>
      </c>
      <c r="AV248" t="s" s="0">
        <v>81</v>
      </c>
      <c r="AW248" t="s" s="0">
        <v>5936</v>
      </c>
      <c r="AX248" t="s" s="0">
        <v>5937</v>
      </c>
      <c r="AY248" t="s" s="0">
        <v>514</v>
      </c>
      <c r="AZ248" t="s" s="0">
        <v>185</v>
      </c>
      <c r="BA248" t="s" s="0">
        <v>5938</v>
      </c>
      <c r="BB248" t="s" s="0">
        <v>81</v>
      </c>
      <c r="BC248" t="s" s="0">
        <v>81</v>
      </c>
      <c r="BD248" t="s" s="0">
        <v>81</v>
      </c>
      <c r="BE248" t="s" s="0">
        <v>81</v>
      </c>
      <c r="BF248" t="s" s="0">
        <v>81</v>
      </c>
      <c r="BG248" t="s" s="0">
        <v>81</v>
      </c>
      <c r="BH248" t="s" s="0">
        <v>81</v>
      </c>
      <c r="BI248" t="s" s="0">
        <v>5939</v>
      </c>
      <c r="BJ248" t="s" s="0">
        <v>5940</v>
      </c>
      <c r="BK248" t="s" s="491">
        <f>HYPERLINK("http://dx.doi.org/10.1016/j.archger.2023.105317","http://dx.doi.org/10.1016/j.archger.2023.105317")</f>
        <v>5941</v>
      </c>
      <c r="BL248" t="s" s="0">
        <v>81</v>
      </c>
      <c r="BM248" t="s" s="0">
        <v>514</v>
      </c>
      <c r="BN248" t="s" s="0">
        <v>191</v>
      </c>
      <c r="BO248" t="s" s="0">
        <v>5942</v>
      </c>
      <c r="BP248" t="s" s="0">
        <v>5942</v>
      </c>
      <c r="BQ248" t="s" s="0">
        <v>5943</v>
      </c>
      <c r="BR248" t="s" s="0">
        <v>5944</v>
      </c>
      <c r="BS248" t="s" s="0">
        <v>5945</v>
      </c>
      <c r="BT248" t="s" s="492">
        <f>HYPERLINK("https://www.webofscience.com/wos/woscc/full-record/WOS:001154098800001","View Record in Web of Science")</f>
        <v>114</v>
      </c>
      <c r="BU248" t="s" s="0">
        <v>81</v>
      </c>
      <c r="BV248" t="s" s="0">
        <v>81</v>
      </c>
      <c r="BW248" t="s" s="0">
        <v>81</v>
      </c>
      <c r="BX248" t="s" s="0">
        <v>116</v>
      </c>
    </row>
    <row r="249">
      <c r="A249" t="s" s="0">
        <v>77</v>
      </c>
      <c r="B249" t="s" s="0">
        <v>77</v>
      </c>
      <c r="C249" t="s" s="0">
        <v>77</v>
      </c>
      <c r="D249" t="s" s="0">
        <v>77</v>
      </c>
      <c r="E249" t="s" s="0">
        <v>5946</v>
      </c>
      <c r="F249" t="s" s="0">
        <v>5947</v>
      </c>
      <c r="G249" t="s" s="0">
        <v>5948</v>
      </c>
      <c r="H249" t="s" s="0">
        <v>81</v>
      </c>
      <c r="I249" t="s" s="0">
        <v>589</v>
      </c>
      <c r="J249" t="s" s="0">
        <v>5949</v>
      </c>
      <c r="K249" t="s" s="0">
        <v>5950</v>
      </c>
      <c r="L249" t="s" s="0">
        <v>5951</v>
      </c>
      <c r="M249" t="s" s="0">
        <v>5952</v>
      </c>
      <c r="N249" t="s" s="0">
        <v>5953</v>
      </c>
      <c r="O249" t="s" s="0">
        <v>5954</v>
      </c>
      <c r="P249" t="s" s="0">
        <v>5955</v>
      </c>
      <c r="Q249" t="s" s="0">
        <v>87</v>
      </c>
      <c r="R249" t="s" s="0">
        <v>81</v>
      </c>
      <c r="S249" t="s" s="0">
        <v>81</v>
      </c>
      <c r="T249" t="s" s="0">
        <v>81</v>
      </c>
      <c r="U249" t="s" s="0">
        <v>81</v>
      </c>
      <c r="V249" t="s" s="0">
        <v>5956</v>
      </c>
      <c r="W249" t="s" s="0">
        <v>5957</v>
      </c>
      <c r="X249" t="s" s="0">
        <v>81</v>
      </c>
      <c r="Y249" t="s" s="0">
        <v>81</v>
      </c>
      <c r="Z249" t="s" s="0">
        <v>90</v>
      </c>
      <c r="AA249" t="s" s="0">
        <v>91</v>
      </c>
      <c r="AB249" t="s" s="0">
        <v>81</v>
      </c>
      <c r="AC249" t="s" s="0">
        <v>81</v>
      </c>
      <c r="AD249" t="s" s="0">
        <v>81</v>
      </c>
      <c r="AE249" t="s" s="0">
        <v>81</v>
      </c>
      <c r="AF249" t="s" s="0">
        <v>81</v>
      </c>
      <c r="AG249" t="s" s="0">
        <v>5958</v>
      </c>
      <c r="AH249" t="s" s="0">
        <v>5959</v>
      </c>
      <c r="AI249" t="s" s="0">
        <v>5960</v>
      </c>
      <c r="AJ249" t="s" s="0">
        <v>81</v>
      </c>
      <c r="AK249" t="s" s="0">
        <v>81</v>
      </c>
      <c r="AL249" t="s" s="0">
        <v>251</v>
      </c>
      <c r="AM249" t="s" s="0">
        <v>175</v>
      </c>
      <c r="AN249" t="s" s="0">
        <v>175</v>
      </c>
      <c r="AO249" t="s" s="0">
        <v>756</v>
      </c>
      <c r="AP249" t="s" s="0">
        <v>1561</v>
      </c>
      <c r="AQ249" t="s" s="0">
        <v>136</v>
      </c>
      <c r="AR249" t="s" s="0">
        <v>137</v>
      </c>
      <c r="AS249" t="s" s="0">
        <v>138</v>
      </c>
      <c r="AT249" t="s" s="0">
        <v>5961</v>
      </c>
      <c r="AU249" t="s" s="0">
        <v>5962</v>
      </c>
      <c r="AV249" t="s" s="0">
        <v>81</v>
      </c>
      <c r="AW249" t="s" s="0">
        <v>5963</v>
      </c>
      <c r="AX249" t="s" s="0">
        <v>5964</v>
      </c>
      <c r="AY249" t="s" s="0">
        <v>1743</v>
      </c>
      <c r="AZ249" t="s" s="0">
        <v>290</v>
      </c>
      <c r="BA249" t="s" s="0">
        <v>1892</v>
      </c>
      <c r="BB249" t="s" s="0">
        <v>81</v>
      </c>
      <c r="BC249" t="s" s="0">
        <v>81</v>
      </c>
      <c r="BD249" t="s" s="0">
        <v>81</v>
      </c>
      <c r="BE249" t="s" s="0">
        <v>81</v>
      </c>
      <c r="BF249" t="s" s="0">
        <v>81</v>
      </c>
      <c r="BG249" t="s" s="0">
        <v>81</v>
      </c>
      <c r="BH249" t="s" s="0">
        <v>81</v>
      </c>
      <c r="BI249" t="s" s="0">
        <v>5965</v>
      </c>
      <c r="BJ249" t="s" s="0">
        <v>5966</v>
      </c>
      <c r="BK249" t="s" s="493">
        <f>HYPERLINK("http://dx.doi.org/10.1016/j.actpsy.2025.105945","http://dx.doi.org/10.1016/j.actpsy.2025.105945")</f>
        <v>5967</v>
      </c>
      <c r="BL249" t="s" s="0">
        <v>81</v>
      </c>
      <c r="BM249" t="s" s="0">
        <v>1743</v>
      </c>
      <c r="BN249" t="s" s="0">
        <v>134</v>
      </c>
      <c r="BO249" t="s" s="0">
        <v>5968</v>
      </c>
      <c r="BP249" t="s" s="0">
        <v>2785</v>
      </c>
      <c r="BQ249" t="s" s="0">
        <v>5969</v>
      </c>
      <c r="BR249" t="s" s="0">
        <v>5970</v>
      </c>
      <c r="BS249" t="s" s="0">
        <v>5971</v>
      </c>
      <c r="BT249" t="s" s="494">
        <f>HYPERLINK("https://www.webofscience.com/wos/woscc/full-record/WOS:001626098000001","View Record in Web of Science")</f>
        <v>114</v>
      </c>
      <c r="BU249" t="s" s="0">
        <v>301</v>
      </c>
      <c r="BV249" t="s" s="0">
        <v>81</v>
      </c>
      <c r="BW249" t="s" s="0">
        <v>81</v>
      </c>
      <c r="BX249" t="s" s="0">
        <v>116</v>
      </c>
    </row>
    <row r="250">
      <c r="A250" t="s" s="0">
        <v>77</v>
      </c>
      <c r="B250" t="s" s="0">
        <v>77</v>
      </c>
      <c r="C250" t="s" s="0">
        <v>77</v>
      </c>
      <c r="D250" t="s" s="0">
        <v>77</v>
      </c>
      <c r="E250" t="s" s="0">
        <v>5972</v>
      </c>
      <c r="F250" t="s" s="0">
        <v>5973</v>
      </c>
      <c r="G250" t="s" s="0">
        <v>5974</v>
      </c>
      <c r="H250" t="s" s="0">
        <v>81</v>
      </c>
      <c r="I250" t="s" s="0">
        <v>82</v>
      </c>
      <c r="J250" t="s" s="0">
        <v>5975</v>
      </c>
      <c r="K250" t="s" s="0">
        <v>5976</v>
      </c>
      <c r="L250" t="s" s="0">
        <v>5977</v>
      </c>
      <c r="M250" t="s" s="0">
        <v>5978</v>
      </c>
      <c r="N250" t="s" s="0">
        <v>5979</v>
      </c>
      <c r="O250" t="s" s="0">
        <v>5980</v>
      </c>
      <c r="P250" t="s" s="0">
        <v>5981</v>
      </c>
      <c r="Q250" t="s" s="0">
        <v>87</v>
      </c>
      <c r="R250" t="s" s="0">
        <v>81</v>
      </c>
      <c r="S250" t="s" s="0">
        <v>81</v>
      </c>
      <c r="T250" t="s" s="0">
        <v>81</v>
      </c>
      <c r="U250" t="s" s="0">
        <v>81</v>
      </c>
      <c r="V250" t="s" s="0">
        <v>5982</v>
      </c>
      <c r="W250" t="s" s="0">
        <v>5983</v>
      </c>
      <c r="X250" t="s" s="0">
        <v>81</v>
      </c>
      <c r="Y250" t="s" s="0">
        <v>81</v>
      </c>
      <c r="Z250" t="s" s="0">
        <v>90</v>
      </c>
      <c r="AA250" t="s" s="0">
        <v>91</v>
      </c>
      <c r="AB250" t="s" s="0">
        <v>81</v>
      </c>
      <c r="AC250" t="s" s="0">
        <v>81</v>
      </c>
      <c r="AD250" t="s" s="0">
        <v>81</v>
      </c>
      <c r="AE250" t="s" s="0">
        <v>81</v>
      </c>
      <c r="AF250" t="s" s="0">
        <v>81</v>
      </c>
      <c r="AG250" t="s" s="0">
        <v>5984</v>
      </c>
      <c r="AH250" t="s" s="0">
        <v>81</v>
      </c>
      <c r="AI250" t="s" s="0">
        <v>5985</v>
      </c>
      <c r="AJ250" t="s" s="0">
        <v>5986</v>
      </c>
      <c r="AK250" t="s" s="0">
        <v>81</v>
      </c>
      <c r="AL250" t="s" s="0">
        <v>210</v>
      </c>
      <c r="AM250" t="s" s="0">
        <v>77</v>
      </c>
      <c r="AN250" t="s" s="0">
        <v>77</v>
      </c>
      <c r="AO250" t="s" s="0">
        <v>196</v>
      </c>
      <c r="AP250" t="s" s="0">
        <v>316</v>
      </c>
      <c r="AQ250" t="s" s="0">
        <v>212</v>
      </c>
      <c r="AR250" t="s" s="0">
        <v>429</v>
      </c>
      <c r="AS250" t="s" s="0">
        <v>784</v>
      </c>
      <c r="AT250" t="s" s="0">
        <v>5987</v>
      </c>
      <c r="AU250" t="s" s="0">
        <v>5988</v>
      </c>
      <c r="AV250" t="s" s="0">
        <v>81</v>
      </c>
      <c r="AW250" t="s" s="0">
        <v>5989</v>
      </c>
      <c r="AX250" t="s" s="0">
        <v>5990</v>
      </c>
      <c r="AY250" t="s" s="0">
        <v>2353</v>
      </c>
      <c r="AZ250" t="s" s="0">
        <v>290</v>
      </c>
      <c r="BA250" t="s" s="0">
        <v>174</v>
      </c>
      <c r="BB250" t="s" s="0">
        <v>316</v>
      </c>
      <c r="BC250" t="s" s="0">
        <v>81</v>
      </c>
      <c r="BD250" t="s" s="0">
        <v>81</v>
      </c>
      <c r="BE250" t="s" s="0">
        <v>81</v>
      </c>
      <c r="BF250" t="s" s="0">
        <v>81</v>
      </c>
      <c r="BG250" t="s" s="0">
        <v>5991</v>
      </c>
      <c r="BH250" t="s" s="0">
        <v>5992</v>
      </c>
      <c r="BI250" t="s" s="0">
        <v>81</v>
      </c>
      <c r="BJ250" t="s" s="0">
        <v>5993</v>
      </c>
      <c r="BK250" t="s" s="495">
        <f>HYPERLINK("http://dx.doi.org/10.1007/s10278-024-01367-5","http://dx.doi.org/10.1007/s10278-024-01367-5")</f>
        <v>5994</v>
      </c>
      <c r="BL250" t="s" s="0">
        <v>81</v>
      </c>
      <c r="BM250" t="s" s="0">
        <v>289</v>
      </c>
      <c r="BN250" t="s" s="0">
        <v>211</v>
      </c>
      <c r="BO250" t="s" s="0">
        <v>738</v>
      </c>
      <c r="BP250" t="s" s="0">
        <v>738</v>
      </c>
      <c r="BQ250" t="s" s="0">
        <v>5995</v>
      </c>
      <c r="BR250" t="s" s="0">
        <v>5996</v>
      </c>
      <c r="BS250" t="s" s="0">
        <v>5997</v>
      </c>
      <c r="BT250" t="s" s="496">
        <f>HYPERLINK("https://www.webofscience.com/wos/woscc/full-record/WOS:001431094600001","View Record in Web of Science")</f>
        <v>114</v>
      </c>
      <c r="BU250" t="s" s="0">
        <v>155</v>
      </c>
      <c r="BV250" t="s" s="0">
        <v>81</v>
      </c>
      <c r="BW250" t="s" s="0">
        <v>81</v>
      </c>
      <c r="BX250" t="s" s="0">
        <v>116</v>
      </c>
    </row>
    <row r="251">
      <c r="A251" t="s" s="0">
        <v>77</v>
      </c>
      <c r="B251" t="s" s="0">
        <v>77</v>
      </c>
      <c r="C251" t="s" s="0">
        <v>77</v>
      </c>
      <c r="D251" t="s" s="0">
        <v>77</v>
      </c>
      <c r="E251" t="s" s="0">
        <v>5998</v>
      </c>
      <c r="F251" t="s" s="0">
        <v>5999</v>
      </c>
      <c r="G251" t="s" s="0">
        <v>6000</v>
      </c>
      <c r="H251" t="s" s="0">
        <v>81</v>
      </c>
      <c r="I251" t="s" s="0">
        <v>238</v>
      </c>
      <c r="J251" t="s" s="0">
        <v>6001</v>
      </c>
      <c r="K251" t="s" s="0">
        <v>6002</v>
      </c>
      <c r="L251" t="s" s="0">
        <v>6003</v>
      </c>
      <c r="M251" t="s" s="0">
        <v>6004</v>
      </c>
      <c r="N251" t="s" s="0">
        <v>6005</v>
      </c>
      <c r="O251" t="s" s="0">
        <v>6006</v>
      </c>
      <c r="P251" t="s" s="0">
        <v>6007</v>
      </c>
      <c r="Q251" t="s" s="0">
        <v>87</v>
      </c>
      <c r="R251" t="s" s="0">
        <v>81</v>
      </c>
      <c r="S251" t="s" s="0">
        <v>81</v>
      </c>
      <c r="T251" t="s" s="0">
        <v>81</v>
      </c>
      <c r="U251" t="s" s="0">
        <v>81</v>
      </c>
      <c r="V251" t="s" s="0">
        <v>6008</v>
      </c>
      <c r="W251" t="s" s="0">
        <v>6009</v>
      </c>
      <c r="X251" t="s" s="0">
        <v>81</v>
      </c>
      <c r="Y251" t="s" s="0">
        <v>81</v>
      </c>
      <c r="Z251" t="s" s="0">
        <v>90</v>
      </c>
      <c r="AA251" t="s" s="0">
        <v>91</v>
      </c>
      <c r="AB251" t="s" s="0">
        <v>81</v>
      </c>
      <c r="AC251" t="s" s="0">
        <v>81</v>
      </c>
      <c r="AD251" t="s" s="0">
        <v>81</v>
      </c>
      <c r="AE251" t="s" s="0">
        <v>81</v>
      </c>
      <c r="AF251" t="s" s="0">
        <v>81</v>
      </c>
      <c r="AG251" t="s" s="0">
        <v>6010</v>
      </c>
      <c r="AH251" t="s" s="0">
        <v>6011</v>
      </c>
      <c r="AI251" t="s" s="0">
        <v>6012</v>
      </c>
      <c r="AJ251" t="s" s="0">
        <v>6013</v>
      </c>
      <c r="AK251" t="s" s="0">
        <v>81</v>
      </c>
      <c r="AL251" t="s" s="0">
        <v>544</v>
      </c>
      <c r="AM251" t="s" s="0">
        <v>316</v>
      </c>
      <c r="AN251" t="s" s="0">
        <v>381</v>
      </c>
      <c r="AO251" t="s" s="0">
        <v>77</v>
      </c>
      <c r="AP251" t="s" s="0">
        <v>175</v>
      </c>
      <c r="AQ251" t="s" s="0">
        <v>368</v>
      </c>
      <c r="AR251" t="s" s="0">
        <v>369</v>
      </c>
      <c r="AS251" t="s" s="0">
        <v>370</v>
      </c>
      <c r="AT251" t="s" s="0">
        <v>81</v>
      </c>
      <c r="AU251" t="s" s="0">
        <v>6014</v>
      </c>
      <c r="AV251" t="s" s="0">
        <v>81</v>
      </c>
      <c r="AW251" t="s" s="0">
        <v>6015</v>
      </c>
      <c r="AX251" t="s" s="0">
        <v>6016</v>
      </c>
      <c r="AY251" t="s" s="0">
        <v>6017</v>
      </c>
      <c r="AZ251" t="s" s="0">
        <v>260</v>
      </c>
      <c r="BA251" t="s" s="0">
        <v>133</v>
      </c>
      <c r="BB251" t="s" s="0">
        <v>81</v>
      </c>
      <c r="BC251" t="s" s="0">
        <v>81</v>
      </c>
      <c r="BD251" t="s" s="0">
        <v>81</v>
      </c>
      <c r="BE251" t="s" s="0">
        <v>81</v>
      </c>
      <c r="BF251" t="s" s="0">
        <v>81</v>
      </c>
      <c r="BG251" t="s" s="0">
        <v>81</v>
      </c>
      <c r="BH251" t="s" s="0">
        <v>81</v>
      </c>
      <c r="BI251" t="s" s="0">
        <v>6018</v>
      </c>
      <c r="BJ251" t="s" s="0">
        <v>6019</v>
      </c>
      <c r="BK251" t="s" s="497">
        <f>HYPERLINK("http://dx.doi.org/10.3389/fcomp.2023.1071174","http://dx.doi.org/10.3389/fcomp.2023.1071174")</f>
        <v>6020</v>
      </c>
      <c r="BL251" t="s" s="0">
        <v>81</v>
      </c>
      <c r="BM251" t="s" s="0">
        <v>81</v>
      </c>
      <c r="BN251" t="s" s="0">
        <v>104</v>
      </c>
      <c r="BO251" t="s" s="0">
        <v>1493</v>
      </c>
      <c r="BP251" t="s" s="0">
        <v>152</v>
      </c>
      <c r="BQ251" t="s" s="0">
        <v>6021</v>
      </c>
      <c r="BR251" t="s" s="0">
        <v>81</v>
      </c>
      <c r="BS251" t="s" s="0">
        <v>6022</v>
      </c>
      <c r="BT251" t="s" s="498">
        <f>HYPERLINK("https://www.webofscience.com/wos/woscc/full-record/WOS:000941089400001","View Record in Web of Science")</f>
        <v>114</v>
      </c>
      <c r="BU251" t="s" s="0">
        <v>301</v>
      </c>
      <c r="BV251" t="s" s="0">
        <v>81</v>
      </c>
      <c r="BW251" t="s" s="0">
        <v>81</v>
      </c>
      <c r="BX251" t="s" s="0">
        <v>116</v>
      </c>
    </row>
    <row r="252">
      <c r="A252" t="s" s="0">
        <v>77</v>
      </c>
      <c r="B252" t="s" s="0">
        <v>77</v>
      </c>
      <c r="C252" t="s" s="0">
        <v>175</v>
      </c>
      <c r="D252" t="s" s="0">
        <v>77</v>
      </c>
      <c r="E252" t="s" s="0">
        <v>6023</v>
      </c>
      <c r="F252" t="s" s="0">
        <v>6024</v>
      </c>
      <c r="G252" t="s" s="0">
        <v>6025</v>
      </c>
      <c r="H252" t="s" s="0">
        <v>81</v>
      </c>
      <c r="I252" t="s" s="0">
        <v>82</v>
      </c>
      <c r="J252" t="s" s="0">
        <v>6026</v>
      </c>
      <c r="K252" t="s" s="0">
        <v>6027</v>
      </c>
      <c r="L252" t="s" s="0">
        <v>6028</v>
      </c>
      <c r="M252" t="s" s="0">
        <v>6029</v>
      </c>
      <c r="N252" t="s" s="0">
        <v>6030</v>
      </c>
      <c r="O252" t="s" s="0">
        <v>6031</v>
      </c>
      <c r="P252" t="s" s="0">
        <v>6032</v>
      </c>
      <c r="Q252" t="s" s="0">
        <v>87</v>
      </c>
      <c r="R252" t="s" s="0">
        <v>81</v>
      </c>
      <c r="S252" t="s" s="0">
        <v>81</v>
      </c>
      <c r="T252" t="s" s="0">
        <v>81</v>
      </c>
      <c r="U252" t="s" s="0">
        <v>81</v>
      </c>
      <c r="V252" t="s" s="0">
        <v>6033</v>
      </c>
      <c r="W252" t="s" s="0">
        <v>6034</v>
      </c>
      <c r="X252" t="s" s="0">
        <v>81</v>
      </c>
      <c r="Y252" t="s" s="0">
        <v>81</v>
      </c>
      <c r="Z252" t="s" s="0">
        <v>90</v>
      </c>
      <c r="AA252" t="s" s="0">
        <v>91</v>
      </c>
      <c r="AB252" t="s" s="0">
        <v>81</v>
      </c>
      <c r="AC252" t="s" s="0">
        <v>81</v>
      </c>
      <c r="AD252" t="s" s="0">
        <v>81</v>
      </c>
      <c r="AE252" t="s" s="0">
        <v>81</v>
      </c>
      <c r="AF252" t="s" s="0">
        <v>81</v>
      </c>
      <c r="AG252" t="s" s="0">
        <v>6035</v>
      </c>
      <c r="AH252" t="s" s="0">
        <v>6036</v>
      </c>
      <c r="AI252" t="s" s="0">
        <v>6037</v>
      </c>
      <c r="AJ252" t="s" s="0">
        <v>6038</v>
      </c>
      <c r="AK252" t="s" s="0">
        <v>81</v>
      </c>
      <c r="AL252" t="s" s="0">
        <v>697</v>
      </c>
      <c r="AM252" t="s" s="0">
        <v>381</v>
      </c>
      <c r="AN252" t="s" s="0">
        <v>211</v>
      </c>
      <c r="AO252" t="s" s="0">
        <v>156</v>
      </c>
      <c r="AP252" t="s" s="0">
        <v>191</v>
      </c>
      <c r="AQ252" t="s" s="0">
        <v>284</v>
      </c>
      <c r="AR252" t="s" s="0">
        <v>285</v>
      </c>
      <c r="AS252" t="s" s="0">
        <v>286</v>
      </c>
      <c r="AT252" t="s" s="0">
        <v>6039</v>
      </c>
      <c r="AU252" t="s" s="0">
        <v>6040</v>
      </c>
      <c r="AV252" t="s" s="0">
        <v>81</v>
      </c>
      <c r="AW252" t="s" s="0">
        <v>6034</v>
      </c>
      <c r="AX252" t="s" s="0">
        <v>6041</v>
      </c>
      <c r="AY252" t="s" s="0">
        <v>6042</v>
      </c>
      <c r="AZ252" t="s" s="0">
        <v>290</v>
      </c>
      <c r="BA252" t="s" s="0">
        <v>819</v>
      </c>
      <c r="BB252" t="s" s="0">
        <v>196</v>
      </c>
      <c r="BC252" t="s" s="0">
        <v>81</v>
      </c>
      <c r="BD252" t="s" s="0">
        <v>81</v>
      </c>
      <c r="BE252" t="s" s="0">
        <v>81</v>
      </c>
      <c r="BF252" t="s" s="0">
        <v>81</v>
      </c>
      <c r="BG252" t="s" s="0">
        <v>81</v>
      </c>
      <c r="BH252" t="s" s="0">
        <v>81</v>
      </c>
      <c r="BI252" t="s" s="0">
        <v>6043</v>
      </c>
      <c r="BJ252" t="s" s="0">
        <v>6044</v>
      </c>
      <c r="BK252" t="s" s="499">
        <f>HYPERLINK("http://dx.doi.org/10.3390/medicina61030405","http://dx.doi.org/10.3390/medicina61030405")</f>
        <v>6045</v>
      </c>
      <c r="BL252" t="s" s="0">
        <v>81</v>
      </c>
      <c r="BM252" t="s" s="0">
        <v>81</v>
      </c>
      <c r="BN252" t="s" s="0">
        <v>291</v>
      </c>
      <c r="BO252" t="s" s="0">
        <v>296</v>
      </c>
      <c r="BP252" t="s" s="0">
        <v>297</v>
      </c>
      <c r="BQ252" t="s" s="0">
        <v>6046</v>
      </c>
      <c r="BR252" t="s" s="0">
        <v>6047</v>
      </c>
      <c r="BS252" t="s" s="0">
        <v>6048</v>
      </c>
      <c r="BT252" t="s" s="500">
        <f>HYPERLINK("https://www.webofscience.com/wos/woscc/full-record/WOS:001452719200001","View Record in Web of Science")</f>
        <v>114</v>
      </c>
      <c r="BU252" t="s" s="0">
        <v>301</v>
      </c>
      <c r="BV252" t="s" s="0">
        <v>81</v>
      </c>
      <c r="BW252" t="s" s="0">
        <v>81</v>
      </c>
      <c r="BX252" t="s" s="0">
        <v>116</v>
      </c>
    </row>
    <row r="253">
      <c r="A253" t="s" s="0">
        <v>196</v>
      </c>
      <c r="B253" t="s" s="0">
        <v>77</v>
      </c>
      <c r="C253" t="s" s="0">
        <v>211</v>
      </c>
      <c r="D253" t="s" s="0">
        <v>97</v>
      </c>
      <c r="E253" t="s" s="0">
        <v>6049</v>
      </c>
      <c r="F253" t="s" s="0">
        <v>6050</v>
      </c>
      <c r="G253" t="s" s="0">
        <v>6051</v>
      </c>
      <c r="H253" t="s" s="0">
        <v>81</v>
      </c>
      <c r="I253" t="s" s="0">
        <v>82</v>
      </c>
      <c r="J253" t="s" s="0">
        <v>6052</v>
      </c>
      <c r="K253" t="s" s="0">
        <v>6053</v>
      </c>
      <c r="L253" t="s" s="0">
        <v>81</v>
      </c>
      <c r="M253" t="s" s="0">
        <v>81</v>
      </c>
      <c r="N253" t="s" s="0">
        <v>81</v>
      </c>
      <c r="O253" t="s" s="0">
        <v>6054</v>
      </c>
      <c r="P253" t="s" s="0">
        <v>6055</v>
      </c>
      <c r="Q253" t="s" s="0">
        <v>87</v>
      </c>
      <c r="R253" t="s" s="0">
        <v>81</v>
      </c>
      <c r="S253" t="s" s="0">
        <v>81</v>
      </c>
      <c r="T253" t="s" s="0">
        <v>81</v>
      </c>
      <c r="U253" t="s" s="0">
        <v>81</v>
      </c>
      <c r="V253" t="s" s="0">
        <v>6056</v>
      </c>
      <c r="W253" t="s" s="0">
        <v>6057</v>
      </c>
      <c r="X253" t="s" s="0">
        <v>81</v>
      </c>
      <c r="Y253" t="s" s="0">
        <v>81</v>
      </c>
      <c r="Z253" t="s" s="0">
        <v>90</v>
      </c>
      <c r="AA253" t="s" s="0">
        <v>91</v>
      </c>
      <c r="AB253" t="s" s="0">
        <v>81</v>
      </c>
      <c r="AC253" t="s" s="0">
        <v>81</v>
      </c>
      <c r="AD253" t="s" s="0">
        <v>81</v>
      </c>
      <c r="AE253" t="s" s="0">
        <v>81</v>
      </c>
      <c r="AF253" t="s" s="0">
        <v>81</v>
      </c>
      <c r="AG253" t="s" s="0">
        <v>6058</v>
      </c>
      <c r="AH253" t="s" s="0">
        <v>81</v>
      </c>
      <c r="AI253" t="s" s="0">
        <v>6059</v>
      </c>
      <c r="AJ253" t="s" s="0">
        <v>6060</v>
      </c>
      <c r="AK253" t="s" s="0">
        <v>81</v>
      </c>
      <c r="AL253" t="s" s="0">
        <v>671</v>
      </c>
      <c r="AM253" t="s" s="0">
        <v>1762</v>
      </c>
      <c r="AN253" t="s" s="0">
        <v>3786</v>
      </c>
      <c r="AO253" t="s" s="0">
        <v>133</v>
      </c>
      <c r="AP253" t="s" s="0">
        <v>2819</v>
      </c>
      <c r="AQ253" t="s" s="0">
        <v>3061</v>
      </c>
      <c r="AR253" t="s" s="0">
        <v>3062</v>
      </c>
      <c r="AS253" t="s" s="0">
        <v>3063</v>
      </c>
      <c r="AT253" t="s" s="0">
        <v>6061</v>
      </c>
      <c r="AU253" t="s" s="0">
        <v>81</v>
      </c>
      <c r="AV253" t="s" s="0">
        <v>81</v>
      </c>
      <c r="AW253" t="s" s="0">
        <v>6062</v>
      </c>
      <c r="AX253" t="s" s="0">
        <v>6063</v>
      </c>
      <c r="AY253" t="s" s="0">
        <v>260</v>
      </c>
      <c r="AZ253" t="s" s="0">
        <v>260</v>
      </c>
      <c r="BA253" t="s" s="0">
        <v>261</v>
      </c>
      <c r="BB253" t="s" s="0">
        <v>81</v>
      </c>
      <c r="BC253" t="s" s="0">
        <v>81</v>
      </c>
      <c r="BD253" t="s" s="0">
        <v>81</v>
      </c>
      <c r="BE253" t="s" s="0">
        <v>81</v>
      </c>
      <c r="BF253" t="s" s="0">
        <v>81</v>
      </c>
      <c r="BG253" t="s" s="0">
        <v>81</v>
      </c>
      <c r="BH253" t="s" s="0">
        <v>81</v>
      </c>
      <c r="BI253" t="s" s="0">
        <v>6064</v>
      </c>
      <c r="BJ253" t="s" s="0">
        <v>6065</v>
      </c>
      <c r="BK253" t="s" s="501">
        <f>HYPERLINK("http://dx.doi.org/10.2196/50373","http://dx.doi.org/10.2196/50373")</f>
        <v>6066</v>
      </c>
      <c r="BL253" t="s" s="0">
        <v>81</v>
      </c>
      <c r="BM253" t="s" s="0">
        <v>81</v>
      </c>
      <c r="BN253" t="s" s="0">
        <v>211</v>
      </c>
      <c r="BO253" t="s" s="0">
        <v>6067</v>
      </c>
      <c r="BP253" t="s" s="0">
        <v>6068</v>
      </c>
      <c r="BQ253" t="s" s="0">
        <v>6069</v>
      </c>
      <c r="BR253" t="s" s="0">
        <v>6070</v>
      </c>
      <c r="BS253" t="s" s="0">
        <v>6071</v>
      </c>
      <c r="BT253" t="s" s="502">
        <f>HYPERLINK("https://www.webofscience.com/wos/woscc/full-record/WOS:001146163200001","View Record in Web of Science")</f>
        <v>114</v>
      </c>
      <c r="BU253" t="s" s="0">
        <v>301</v>
      </c>
      <c r="BV253" t="s" s="0">
        <v>81</v>
      </c>
      <c r="BW253" t="s" s="0">
        <v>81</v>
      </c>
      <c r="BX253" t="s" s="0">
        <v>116</v>
      </c>
    </row>
    <row r="254">
      <c r="A254" t="s" s="0">
        <v>77</v>
      </c>
      <c r="B254" t="s" s="0">
        <v>77</v>
      </c>
      <c r="C254" t="s" s="0">
        <v>77</v>
      </c>
      <c r="D254" t="s" s="0">
        <v>77</v>
      </c>
      <c r="E254" t="s" s="0">
        <v>6072</v>
      </c>
      <c r="F254" t="s" s="0">
        <v>6073</v>
      </c>
      <c r="G254" t="s" s="0">
        <v>6074</v>
      </c>
      <c r="H254" t="s" s="0">
        <v>81</v>
      </c>
      <c r="I254" t="s" s="0">
        <v>238</v>
      </c>
      <c r="J254" t="s" s="0">
        <v>6075</v>
      </c>
      <c r="K254" t="s" s="0">
        <v>6076</v>
      </c>
      <c r="L254" t="s" s="0">
        <v>6077</v>
      </c>
      <c r="M254" t="s" s="0">
        <v>6077</v>
      </c>
      <c r="N254" t="s" s="0">
        <v>6078</v>
      </c>
      <c r="O254" t="s" s="0">
        <v>6079</v>
      </c>
      <c r="P254" t="s" s="0">
        <v>6080</v>
      </c>
      <c r="Q254" t="s" s="0">
        <v>87</v>
      </c>
      <c r="R254" t="s" s="0">
        <v>81</v>
      </c>
      <c r="S254" t="s" s="0">
        <v>81</v>
      </c>
      <c r="T254" t="s" s="0">
        <v>81</v>
      </c>
      <c r="U254" t="s" s="0">
        <v>81</v>
      </c>
      <c r="V254" t="s" s="0">
        <v>6081</v>
      </c>
      <c r="W254" t="s" s="0">
        <v>1416</v>
      </c>
      <c r="X254" t="s" s="0">
        <v>81</v>
      </c>
      <c r="Y254" t="s" s="0">
        <v>81</v>
      </c>
      <c r="Z254" t="s" s="0">
        <v>90</v>
      </c>
      <c r="AA254" t="s" s="0">
        <v>91</v>
      </c>
      <c r="AB254" t="s" s="0">
        <v>81</v>
      </c>
      <c r="AC254" t="s" s="0">
        <v>81</v>
      </c>
      <c r="AD254" t="s" s="0">
        <v>81</v>
      </c>
      <c r="AE254" t="s" s="0">
        <v>81</v>
      </c>
      <c r="AF254" t="s" s="0">
        <v>81</v>
      </c>
      <c r="AG254" t="s" s="0">
        <v>6082</v>
      </c>
      <c r="AH254" t="s" s="0">
        <v>6083</v>
      </c>
      <c r="AI254" t="s" s="0">
        <v>81</v>
      </c>
      <c r="AJ254" t="s" s="0">
        <v>81</v>
      </c>
      <c r="AK254" t="s" s="0">
        <v>81</v>
      </c>
      <c r="AL254" t="s" s="0">
        <v>150</v>
      </c>
      <c r="AM254" t="s" s="0">
        <v>77</v>
      </c>
      <c r="AN254" t="s" s="0">
        <v>77</v>
      </c>
      <c r="AO254" t="s" s="0">
        <v>77</v>
      </c>
      <c r="AP254" t="s" s="0">
        <v>77</v>
      </c>
      <c r="AQ254" t="s" s="0">
        <v>368</v>
      </c>
      <c r="AR254" t="s" s="0">
        <v>369</v>
      </c>
      <c r="AS254" t="s" s="0">
        <v>370</v>
      </c>
      <c r="AT254" t="s" s="0">
        <v>81</v>
      </c>
      <c r="AU254" t="s" s="0">
        <v>1421</v>
      </c>
      <c r="AV254" t="s" s="0">
        <v>81</v>
      </c>
      <c r="AW254" t="s" s="0">
        <v>1422</v>
      </c>
      <c r="AX254" t="s" s="0">
        <v>1423</v>
      </c>
      <c r="AY254" t="s" s="0">
        <v>6084</v>
      </c>
      <c r="AZ254" t="s" s="0">
        <v>103</v>
      </c>
      <c r="BA254" t="s" s="0">
        <v>381</v>
      </c>
      <c r="BB254" t="s" s="0">
        <v>81</v>
      </c>
      <c r="BC254" t="s" s="0">
        <v>81</v>
      </c>
      <c r="BD254" t="s" s="0">
        <v>81</v>
      </c>
      <c r="BE254" t="s" s="0">
        <v>81</v>
      </c>
      <c r="BF254" t="s" s="0">
        <v>81</v>
      </c>
      <c r="BG254" t="s" s="0">
        <v>81</v>
      </c>
      <c r="BH254" t="s" s="0">
        <v>81</v>
      </c>
      <c r="BI254" t="s" s="0">
        <v>6085</v>
      </c>
      <c r="BJ254" t="s" s="0">
        <v>6086</v>
      </c>
      <c r="BK254" t="s" s="503">
        <f>HYPERLINK("http://dx.doi.org/10.3389/fdgth.2026.1852739","http://dx.doi.org/10.3389/fdgth.2026.1852739")</f>
        <v>6087</v>
      </c>
      <c r="BL254" t="s" s="0">
        <v>81</v>
      </c>
      <c r="BM254" t="s" s="0">
        <v>81</v>
      </c>
      <c r="BN254" t="s" s="0">
        <v>295</v>
      </c>
      <c r="BO254" t="s" s="0">
        <v>792</v>
      </c>
      <c r="BP254" t="s" s="0">
        <v>792</v>
      </c>
      <c r="BQ254" t="s" s="0">
        <v>6088</v>
      </c>
      <c r="BR254" t="s" s="0">
        <v>81</v>
      </c>
      <c r="BS254" t="s" s="0">
        <v>6089</v>
      </c>
      <c r="BT254" t="s" s="504">
        <f>HYPERLINK("https://www.webofscience.com/wos/woscc/full-record/WOS:001845695400001","View Record in Web of Science")</f>
        <v>114</v>
      </c>
      <c r="BU254" t="s" s="0">
        <v>115</v>
      </c>
      <c r="BV254" t="s" s="0">
        <v>81</v>
      </c>
      <c r="BW254" t="s" s="0">
        <v>81</v>
      </c>
      <c r="BX254" t="s" s="0">
        <v>116</v>
      </c>
    </row>
    <row r="255">
      <c r="A255" t="s" s="0">
        <v>77</v>
      </c>
      <c r="B255" t="s" s="0">
        <v>77</v>
      </c>
      <c r="C255" t="s" s="0">
        <v>77</v>
      </c>
      <c r="D255" t="s" s="0">
        <v>77</v>
      </c>
      <c r="E255" t="s" s="0">
        <v>6090</v>
      </c>
      <c r="F255" t="s" s="0">
        <v>6091</v>
      </c>
      <c r="G255" t="s" s="0">
        <v>6092</v>
      </c>
      <c r="H255" t="s" s="0">
        <v>81</v>
      </c>
      <c r="I255" t="s" s="0">
        <v>238</v>
      </c>
      <c r="J255" t="s" s="0">
        <v>6093</v>
      </c>
      <c r="K255" t="s" s="0">
        <v>6094</v>
      </c>
      <c r="L255" t="s" s="0">
        <v>6095</v>
      </c>
      <c r="M255" t="s" s="0">
        <v>6095</v>
      </c>
      <c r="N255" t="s" s="0">
        <v>6096</v>
      </c>
      <c r="O255" t="s" s="0">
        <v>6097</v>
      </c>
      <c r="P255" t="s" s="0">
        <v>6098</v>
      </c>
      <c r="Q255" t="s" s="0">
        <v>87</v>
      </c>
      <c r="R255" t="s" s="0">
        <v>81</v>
      </c>
      <c r="S255" t="s" s="0">
        <v>81</v>
      </c>
      <c r="T255" t="s" s="0">
        <v>81</v>
      </c>
      <c r="U255" t="s" s="0">
        <v>81</v>
      </c>
      <c r="V255" t="s" s="0">
        <v>6099</v>
      </c>
      <c r="W255" t="s" s="0">
        <v>2096</v>
      </c>
      <c r="X255" t="s" s="0">
        <v>81</v>
      </c>
      <c r="Y255" t="s" s="0">
        <v>81</v>
      </c>
      <c r="Z255" t="s" s="0">
        <v>90</v>
      </c>
      <c r="AA255" t="s" s="0">
        <v>91</v>
      </c>
      <c r="AB255" t="s" s="0">
        <v>81</v>
      </c>
      <c r="AC255" t="s" s="0">
        <v>81</v>
      </c>
      <c r="AD255" t="s" s="0">
        <v>81</v>
      </c>
      <c r="AE255" t="s" s="0">
        <v>81</v>
      </c>
      <c r="AF255" t="s" s="0">
        <v>81</v>
      </c>
      <c r="AG255" t="s" s="0">
        <v>6100</v>
      </c>
      <c r="AH255" t="s" s="0">
        <v>81</v>
      </c>
      <c r="AI255" t="s" s="0">
        <v>81</v>
      </c>
      <c r="AJ255" t="s" s="0">
        <v>81</v>
      </c>
      <c r="AK255" t="s" s="0">
        <v>81</v>
      </c>
      <c r="AL255" t="s" s="0">
        <v>3518</v>
      </c>
      <c r="AM255" t="s" s="0">
        <v>97</v>
      </c>
      <c r="AN255" t="s" s="0">
        <v>97</v>
      </c>
      <c r="AO255" t="s" s="0">
        <v>196</v>
      </c>
      <c r="AP255" t="s" s="0">
        <v>196</v>
      </c>
      <c r="AQ255" t="s" s="0">
        <v>212</v>
      </c>
      <c r="AR255" t="s" s="0">
        <v>429</v>
      </c>
      <c r="AS255" t="s" s="0">
        <v>784</v>
      </c>
      <c r="AT255" t="s" s="0">
        <v>2100</v>
      </c>
      <c r="AU255" t="s" s="0">
        <v>2101</v>
      </c>
      <c r="AV255" t="s" s="0">
        <v>81</v>
      </c>
      <c r="AW255" t="s" s="0">
        <v>2102</v>
      </c>
      <c r="AX255" t="s" s="0">
        <v>2103</v>
      </c>
      <c r="AY255" t="s" s="0">
        <v>6101</v>
      </c>
      <c r="AZ255" t="s" s="0">
        <v>103</v>
      </c>
      <c r="BA255" t="s" s="0">
        <v>1883</v>
      </c>
      <c r="BB255" t="s" s="0">
        <v>381</v>
      </c>
      <c r="BC255" t="s" s="0">
        <v>4172</v>
      </c>
      <c r="BD255" t="s" s="0">
        <v>81</v>
      </c>
      <c r="BE255" t="s" s="0">
        <v>81</v>
      </c>
      <c r="BF255" t="s" s="0">
        <v>81</v>
      </c>
      <c r="BG255" t="s" s="0">
        <v>6102</v>
      </c>
      <c r="BH255" t="s" s="0">
        <v>6103</v>
      </c>
      <c r="BI255" t="s" s="0">
        <v>81</v>
      </c>
      <c r="BJ255" t="s" s="0">
        <v>6104</v>
      </c>
      <c r="BK255" t="s" s="505">
        <f>HYPERLINK("http://dx.doi.org/10.1007/s00146-026-02980-4","http://dx.doi.org/10.1007/s00146-026-02980-4")</f>
        <v>6105</v>
      </c>
      <c r="BL255" t="s" s="0">
        <v>81</v>
      </c>
      <c r="BM255" t="s" s="0">
        <v>143</v>
      </c>
      <c r="BN255" t="s" s="0">
        <v>291</v>
      </c>
      <c r="BO255" t="s" s="0">
        <v>409</v>
      </c>
      <c r="BP255" t="s" s="0">
        <v>152</v>
      </c>
      <c r="BQ255" t="s" s="0">
        <v>6106</v>
      </c>
      <c r="BR255" t="s" s="0">
        <v>81</v>
      </c>
      <c r="BS255" t="s" s="0">
        <v>6107</v>
      </c>
      <c r="BT255" t="s" s="506">
        <f>HYPERLINK("https://www.webofscience.com/wos/woscc/full-record/WOS:001719082500001","View Record in Web of Science")</f>
        <v>114</v>
      </c>
      <c r="BU255" t="s" s="0">
        <v>155</v>
      </c>
      <c r="BV255" t="s" s="0">
        <v>81</v>
      </c>
      <c r="BW255" t="s" s="0">
        <v>81</v>
      </c>
      <c r="BX255" t="s" s="0">
        <v>116</v>
      </c>
    </row>
    <row r="256">
      <c r="A256" t="s" s="0">
        <v>77</v>
      </c>
      <c r="B256" t="s" s="0">
        <v>77</v>
      </c>
      <c r="C256" t="s" s="0">
        <v>77</v>
      </c>
      <c r="D256" t="s" s="0">
        <v>77</v>
      </c>
      <c r="E256" t="s" s="0">
        <v>6108</v>
      </c>
      <c r="F256" t="s" s="0">
        <v>6109</v>
      </c>
      <c r="G256" t="s" s="0">
        <v>6110</v>
      </c>
      <c r="H256" t="s" s="0">
        <v>81</v>
      </c>
      <c r="I256" t="s" s="0">
        <v>82</v>
      </c>
      <c r="J256" t="s" s="0">
        <v>6111</v>
      </c>
      <c r="K256" t="s" s="0">
        <v>6112</v>
      </c>
      <c r="L256" t="s" s="0">
        <v>81</v>
      </c>
      <c r="M256" t="s" s="0">
        <v>81</v>
      </c>
      <c r="N256" t="s" s="0">
        <v>81</v>
      </c>
      <c r="O256" t="s" s="0">
        <v>6113</v>
      </c>
      <c r="P256" t="s" s="0">
        <v>6114</v>
      </c>
      <c r="Q256" t="s" s="0">
        <v>87</v>
      </c>
      <c r="R256" t="s" s="0">
        <v>81</v>
      </c>
      <c r="S256" t="s" s="0">
        <v>81</v>
      </c>
      <c r="T256" t="s" s="0">
        <v>81</v>
      </c>
      <c r="U256" t="s" s="0">
        <v>81</v>
      </c>
      <c r="V256" t="s" s="0">
        <v>6115</v>
      </c>
      <c r="W256" t="s" s="0">
        <v>6116</v>
      </c>
      <c r="X256" t="s" s="0">
        <v>81</v>
      </c>
      <c r="Y256" t="s" s="0">
        <v>81</v>
      </c>
      <c r="Z256" t="s" s="0">
        <v>90</v>
      </c>
      <c r="AA256" t="s" s="0">
        <v>91</v>
      </c>
      <c r="AB256" t="s" s="0">
        <v>81</v>
      </c>
      <c r="AC256" t="s" s="0">
        <v>81</v>
      </c>
      <c r="AD256" t="s" s="0">
        <v>81</v>
      </c>
      <c r="AE256" t="s" s="0">
        <v>81</v>
      </c>
      <c r="AF256" t="s" s="0">
        <v>81</v>
      </c>
      <c r="AG256" t="s" s="0">
        <v>6117</v>
      </c>
      <c r="AH256" t="s" s="0">
        <v>340</v>
      </c>
      <c r="AI256" t="s" s="0">
        <v>6118</v>
      </c>
      <c r="AJ256" t="s" s="0">
        <v>6119</v>
      </c>
      <c r="AK256" t="s" s="0">
        <v>81</v>
      </c>
      <c r="AL256" t="s" s="0">
        <v>664</v>
      </c>
      <c r="AM256" t="s" s="0">
        <v>77</v>
      </c>
      <c r="AN256" t="s" s="0">
        <v>77</v>
      </c>
      <c r="AO256" t="s" s="0">
        <v>316</v>
      </c>
      <c r="AP256" t="s" s="0">
        <v>381</v>
      </c>
      <c r="AQ256" t="s" s="0">
        <v>6120</v>
      </c>
      <c r="AR256" t="s" s="0">
        <v>2571</v>
      </c>
      <c r="AS256" t="s" s="0">
        <v>6121</v>
      </c>
      <c r="AT256" t="s" s="0">
        <v>6122</v>
      </c>
      <c r="AU256" t="s" s="0">
        <v>6123</v>
      </c>
      <c r="AV256" t="s" s="0">
        <v>81</v>
      </c>
      <c r="AW256" t="s" s="0">
        <v>6124</v>
      </c>
      <c r="AX256" t="s" s="0">
        <v>6125</v>
      </c>
      <c r="AY256" t="s" s="0">
        <v>2353</v>
      </c>
      <c r="AZ256" t="s" s="0">
        <v>290</v>
      </c>
      <c r="BA256" t="s" s="0">
        <v>135</v>
      </c>
      <c r="BB256" t="s" s="0">
        <v>6126</v>
      </c>
      <c r="BC256" t="s" s="0">
        <v>81</v>
      </c>
      <c r="BD256" t="s" s="0">
        <v>81</v>
      </c>
      <c r="BE256" t="s" s="0">
        <v>81</v>
      </c>
      <c r="BF256" t="s" s="0">
        <v>81</v>
      </c>
      <c r="BG256" t="s" s="0">
        <v>81</v>
      </c>
      <c r="BH256" t="s" s="0">
        <v>81</v>
      </c>
      <c r="BI256" t="s" s="0">
        <v>6127</v>
      </c>
      <c r="BJ256" t="s" s="0">
        <v>6128</v>
      </c>
      <c r="BK256" t="s" s="507">
        <f>HYPERLINK("http://dx.doi.org/10.1142/S0219720025500210","http://dx.doi.org/10.1142/S0219720025500210")</f>
        <v>6129</v>
      </c>
      <c r="BL256" t="s" s="0">
        <v>81</v>
      </c>
      <c r="BM256" t="s" s="0">
        <v>81</v>
      </c>
      <c r="BN256" t="s" s="0">
        <v>434</v>
      </c>
      <c r="BO256" t="s" s="0">
        <v>6130</v>
      </c>
      <c r="BP256" t="s" s="0">
        <v>6131</v>
      </c>
      <c r="BQ256" t="s" s="0">
        <v>6132</v>
      </c>
      <c r="BR256" t="s" s="0">
        <v>6133</v>
      </c>
      <c r="BS256" t="s" s="0">
        <v>6134</v>
      </c>
      <c r="BT256" t="s" s="508">
        <f>HYPERLINK("https://www.webofscience.com/wos/woscc/full-record/WOS:001642306400003","View Record in Web of Science")</f>
        <v>114</v>
      </c>
      <c r="BU256" t="s" s="0">
        <v>81</v>
      </c>
      <c r="BV256" t="s" s="0">
        <v>81</v>
      </c>
      <c r="BW256" t="s" s="0">
        <v>81</v>
      </c>
      <c r="BX256" t="s" s="0">
        <v>116</v>
      </c>
    </row>
    <row r="257">
      <c r="A257" t="s" s="0">
        <v>77</v>
      </c>
      <c r="B257" t="s" s="0">
        <v>77</v>
      </c>
      <c r="C257" t="s" s="0">
        <v>77</v>
      </c>
      <c r="D257" t="s" s="0">
        <v>77</v>
      </c>
      <c r="E257" t="s" s="0">
        <v>6135</v>
      </c>
      <c r="F257" t="s" s="0">
        <v>6136</v>
      </c>
      <c r="G257" t="s" s="0">
        <v>6137</v>
      </c>
      <c r="H257" t="s" s="0">
        <v>81</v>
      </c>
      <c r="I257" t="s" s="0">
        <v>238</v>
      </c>
      <c r="J257" t="s" s="0">
        <v>6138</v>
      </c>
      <c r="K257" t="s" s="0">
        <v>6139</v>
      </c>
      <c r="L257" t="s" s="0">
        <v>81</v>
      </c>
      <c r="M257" t="s" s="0">
        <v>81</v>
      </c>
      <c r="N257" t="s" s="0">
        <v>81</v>
      </c>
      <c r="O257" t="s" s="0">
        <v>6140</v>
      </c>
      <c r="P257" t="s" s="0">
        <v>6141</v>
      </c>
      <c r="Q257" t="s" s="0">
        <v>87</v>
      </c>
      <c r="R257" t="s" s="0">
        <v>81</v>
      </c>
      <c r="S257" t="s" s="0">
        <v>81</v>
      </c>
      <c r="T257" t="s" s="0">
        <v>81</v>
      </c>
      <c r="U257" t="s" s="0">
        <v>81</v>
      </c>
      <c r="V257" t="s" s="0">
        <v>6142</v>
      </c>
      <c r="W257" t="s" s="0">
        <v>6143</v>
      </c>
      <c r="X257" t="s" s="0">
        <v>81</v>
      </c>
      <c r="Y257" t="s" s="0">
        <v>81</v>
      </c>
      <c r="Z257" t="s" s="0">
        <v>90</v>
      </c>
      <c r="AA257" t="s" s="0">
        <v>91</v>
      </c>
      <c r="AB257" t="s" s="0">
        <v>81</v>
      </c>
      <c r="AC257" t="s" s="0">
        <v>81</v>
      </c>
      <c r="AD257" t="s" s="0">
        <v>81</v>
      </c>
      <c r="AE257" t="s" s="0">
        <v>81</v>
      </c>
      <c r="AF257" t="s" s="0">
        <v>81</v>
      </c>
      <c r="AG257" t="s" s="0">
        <v>6144</v>
      </c>
      <c r="AH257" t="s" s="0">
        <v>6145</v>
      </c>
      <c r="AI257" t="s" s="0">
        <v>6146</v>
      </c>
      <c r="AJ257" t="s" s="0">
        <v>6147</v>
      </c>
      <c r="AK257" t="s" s="0">
        <v>81</v>
      </c>
      <c r="AL257" t="s" s="0">
        <v>174</v>
      </c>
      <c r="AM257" t="s" s="0">
        <v>77</v>
      </c>
      <c r="AN257" t="s" s="0">
        <v>97</v>
      </c>
      <c r="AO257" t="s" s="0">
        <v>211</v>
      </c>
      <c r="AP257" t="s" s="0">
        <v>211</v>
      </c>
      <c r="AQ257" t="s" s="0">
        <v>992</v>
      </c>
      <c r="AR257" t="s" s="0">
        <v>993</v>
      </c>
      <c r="AS257" t="s" s="0">
        <v>994</v>
      </c>
      <c r="AT257" t="s" s="0">
        <v>6148</v>
      </c>
      <c r="AU257" t="s" s="0">
        <v>81</v>
      </c>
      <c r="AV257" t="s" s="0">
        <v>81</v>
      </c>
      <c r="AW257" t="s" s="0">
        <v>6149</v>
      </c>
      <c r="AX257" t="s" s="0">
        <v>6150</v>
      </c>
      <c r="AY257" t="s" s="0">
        <v>998</v>
      </c>
      <c r="AZ257" t="s" s="0">
        <v>103</v>
      </c>
      <c r="BA257" t="s" s="0">
        <v>134</v>
      </c>
      <c r="BB257" t="s" s="0">
        <v>97</v>
      </c>
      <c r="BC257" t="s" s="0">
        <v>81</v>
      </c>
      <c r="BD257" t="s" s="0">
        <v>81</v>
      </c>
      <c r="BE257" t="s" s="0">
        <v>81</v>
      </c>
      <c r="BF257" t="s" s="0">
        <v>81</v>
      </c>
      <c r="BG257" t="s" s="0">
        <v>81</v>
      </c>
      <c r="BH257" t="s" s="0">
        <v>81</v>
      </c>
      <c r="BI257" t="s" s="0">
        <v>6151</v>
      </c>
      <c r="BJ257" t="s" s="0">
        <v>6152</v>
      </c>
      <c r="BK257" t="s" s="509">
        <f>HYPERLINK("http://dx.doi.org/10.1088/2057-1976/ae34b4","http://dx.doi.org/10.1088/2057-1976/ae34b4")</f>
        <v>6153</v>
      </c>
      <c r="BL257" t="s" s="0">
        <v>81</v>
      </c>
      <c r="BM257" t="s" s="0">
        <v>81</v>
      </c>
      <c r="BN257" t="s" s="0">
        <v>134</v>
      </c>
      <c r="BO257" t="s" s="0">
        <v>738</v>
      </c>
      <c r="BP257" t="s" s="0">
        <v>738</v>
      </c>
      <c r="BQ257" t="s" s="0">
        <v>6154</v>
      </c>
      <c r="BR257" t="s" s="0">
        <v>6155</v>
      </c>
      <c r="BS257" t="s" s="0">
        <v>6156</v>
      </c>
      <c r="BT257" t="s" s="510">
        <f>HYPERLINK("https://www.webofscience.com/wos/woscc/full-record/WOS:001661915000001","View Record in Web of Science")</f>
        <v>114</v>
      </c>
      <c r="BU257" t="s" s="0">
        <v>1055</v>
      </c>
      <c r="BV257" t="s" s="0">
        <v>81</v>
      </c>
      <c r="BW257" t="s" s="0">
        <v>81</v>
      </c>
      <c r="BX257" t="s" s="0">
        <v>116</v>
      </c>
    </row>
    <row r="258">
      <c r="A258" t="s" s="0">
        <v>77</v>
      </c>
      <c r="B258" t="s" s="0">
        <v>77</v>
      </c>
      <c r="C258" t="s" s="0">
        <v>97</v>
      </c>
      <c r="D258" t="s" s="0">
        <v>77</v>
      </c>
      <c r="E258" t="s" s="0">
        <v>6157</v>
      </c>
      <c r="F258" t="s" s="0">
        <v>6158</v>
      </c>
      <c r="G258" t="s" s="0">
        <v>6159</v>
      </c>
      <c r="H258" t="s" s="0">
        <v>81</v>
      </c>
      <c r="I258" t="s" s="0">
        <v>238</v>
      </c>
      <c r="J258" t="s" s="0">
        <v>6160</v>
      </c>
      <c r="K258" t="s" s="0">
        <v>81</v>
      </c>
      <c r="L258" t="s" s="0">
        <v>81</v>
      </c>
      <c r="M258" t="s" s="0">
        <v>81</v>
      </c>
      <c r="N258" t="s" s="0">
        <v>81</v>
      </c>
      <c r="O258" t="s" s="0">
        <v>6161</v>
      </c>
      <c r="P258" t="s" s="0">
        <v>6162</v>
      </c>
      <c r="Q258" t="s" s="0">
        <v>87</v>
      </c>
      <c r="R258" t="s" s="0">
        <v>81</v>
      </c>
      <c r="S258" t="s" s="0">
        <v>81</v>
      </c>
      <c r="T258" t="s" s="0">
        <v>81</v>
      </c>
      <c r="U258" t="s" s="0">
        <v>81</v>
      </c>
      <c r="V258" t="s" s="0">
        <v>6163</v>
      </c>
      <c r="W258" t="s" s="0">
        <v>1879</v>
      </c>
      <c r="X258" t="s" s="0">
        <v>81</v>
      </c>
      <c r="Y258" t="s" s="0">
        <v>81</v>
      </c>
      <c r="Z258" t="s" s="0">
        <v>90</v>
      </c>
      <c r="AA258" t="s" s="0">
        <v>91</v>
      </c>
      <c r="AB258" t="s" s="0">
        <v>81</v>
      </c>
      <c r="AC258" t="s" s="0">
        <v>81</v>
      </c>
      <c r="AD258" t="s" s="0">
        <v>81</v>
      </c>
      <c r="AE258" t="s" s="0">
        <v>81</v>
      </c>
      <c r="AF258" t="s" s="0">
        <v>81</v>
      </c>
      <c r="AG258" t="s" s="0">
        <v>6164</v>
      </c>
      <c r="AH258" t="s" s="0">
        <v>1956</v>
      </c>
      <c r="AI258" t="s" s="0">
        <v>81</v>
      </c>
      <c r="AJ258" t="s" s="0">
        <v>6165</v>
      </c>
      <c r="AK258" t="s" s="0">
        <v>81</v>
      </c>
      <c r="AL258" t="s" s="0">
        <v>252</v>
      </c>
      <c r="AM258" t="s" s="0">
        <v>175</v>
      </c>
      <c r="AN258" t="s" s="0">
        <v>175</v>
      </c>
      <c r="AO258" t="s" s="0">
        <v>77</v>
      </c>
      <c r="AP258" t="s" s="0">
        <v>175</v>
      </c>
      <c r="AQ258" t="s" s="0">
        <v>1884</v>
      </c>
      <c r="AR258" t="s" s="0">
        <v>1885</v>
      </c>
      <c r="AS258" t="s" s="0">
        <v>1886</v>
      </c>
      <c r="AT258" t="s" s="0">
        <v>1887</v>
      </c>
      <c r="AU258" t="s" s="0">
        <v>1888</v>
      </c>
      <c r="AV258" t="s" s="0">
        <v>81</v>
      </c>
      <c r="AW258" t="s" s="0">
        <v>1889</v>
      </c>
      <c r="AX258" t="s" s="0">
        <v>1890</v>
      </c>
      <c r="AY258" t="s" s="0">
        <v>184</v>
      </c>
      <c r="AZ258" t="s" s="0">
        <v>185</v>
      </c>
      <c r="BA258" t="s" s="0">
        <v>291</v>
      </c>
      <c r="BB258" t="s" s="0">
        <v>316</v>
      </c>
      <c r="BC258" t="s" s="0">
        <v>81</v>
      </c>
      <c r="BD258" t="s" s="0">
        <v>81</v>
      </c>
      <c r="BE258" t="s" s="0">
        <v>81</v>
      </c>
      <c r="BF258" t="s" s="0">
        <v>81</v>
      </c>
      <c r="BG258" t="s" s="0">
        <v>6166</v>
      </c>
      <c r="BH258" t="s" s="0">
        <v>6167</v>
      </c>
      <c r="BI258" t="s" s="0">
        <v>81</v>
      </c>
      <c r="BJ258" t="s" s="0">
        <v>81</v>
      </c>
      <c r="BK258" t="s" s="0">
        <v>81</v>
      </c>
      <c r="BL258" t="s" s="0">
        <v>81</v>
      </c>
      <c r="BM258" t="s" s="0">
        <v>81</v>
      </c>
      <c r="BN258" t="s" s="0">
        <v>211</v>
      </c>
      <c r="BO258" t="s" s="0">
        <v>1895</v>
      </c>
      <c r="BP258" t="s" s="0">
        <v>152</v>
      </c>
      <c r="BQ258" t="s" s="0">
        <v>6168</v>
      </c>
      <c r="BR258" t="s" s="0">
        <v>81</v>
      </c>
      <c r="BS258" t="s" s="0">
        <v>6169</v>
      </c>
      <c r="BT258" t="s" s="511">
        <f>HYPERLINK("https://www.webofscience.com/wos/woscc/full-record/WOS:001277730000001","View Record in Web of Science")</f>
        <v>114</v>
      </c>
      <c r="BU258" t="s" s="0">
        <v>81</v>
      </c>
      <c r="BV258" t="s" s="0">
        <v>81</v>
      </c>
      <c r="BW258" t="s" s="0">
        <v>81</v>
      </c>
      <c r="BX258" t="s" s="0">
        <v>116</v>
      </c>
    </row>
    <row r="259">
      <c r="A259" t="s" s="0">
        <v>77</v>
      </c>
      <c r="B259" t="s" s="0">
        <v>77</v>
      </c>
      <c r="C259" t="s" s="0">
        <v>97</v>
      </c>
      <c r="D259" t="s" s="0">
        <v>77</v>
      </c>
      <c r="E259" t="s" s="0">
        <v>6170</v>
      </c>
      <c r="F259" t="s" s="0">
        <v>6171</v>
      </c>
      <c r="G259" t="s" s="0">
        <v>6172</v>
      </c>
      <c r="H259" t="s" s="0">
        <v>81</v>
      </c>
      <c r="I259" t="s" s="0">
        <v>82</v>
      </c>
      <c r="J259" t="s" s="0">
        <v>6173</v>
      </c>
      <c r="K259" t="s" s="0">
        <v>6174</v>
      </c>
      <c r="L259" t="s" s="0">
        <v>6175</v>
      </c>
      <c r="M259" t="s" s="0">
        <v>6176</v>
      </c>
      <c r="N259" t="s" s="0">
        <v>6177</v>
      </c>
      <c r="O259" t="s" s="0">
        <v>6178</v>
      </c>
      <c r="P259" t="s" s="0">
        <v>6179</v>
      </c>
      <c r="Q259" t="s" s="0">
        <v>87</v>
      </c>
      <c r="R259" t="s" s="0">
        <v>81</v>
      </c>
      <c r="S259" t="s" s="0">
        <v>81</v>
      </c>
      <c r="T259" t="s" s="0">
        <v>81</v>
      </c>
      <c r="U259" t="s" s="0">
        <v>81</v>
      </c>
      <c r="V259" t="s" s="0">
        <v>6180</v>
      </c>
      <c r="W259" t="s" s="0">
        <v>6181</v>
      </c>
      <c r="X259" t="s" s="0">
        <v>81</v>
      </c>
      <c r="Y259" t="s" s="0">
        <v>81</v>
      </c>
      <c r="Z259" t="s" s="0">
        <v>90</v>
      </c>
      <c r="AA259" t="s" s="0">
        <v>91</v>
      </c>
      <c r="AB259" t="s" s="0">
        <v>81</v>
      </c>
      <c r="AC259" t="s" s="0">
        <v>81</v>
      </c>
      <c r="AD259" t="s" s="0">
        <v>81</v>
      </c>
      <c r="AE259" t="s" s="0">
        <v>81</v>
      </c>
      <c r="AF259" t="s" s="0">
        <v>81</v>
      </c>
      <c r="AG259" t="s" s="0">
        <v>6182</v>
      </c>
      <c r="AH259" t="s" s="0">
        <v>81</v>
      </c>
      <c r="AI259" t="s" s="0">
        <v>6183</v>
      </c>
      <c r="AJ259" t="s" s="0">
        <v>81</v>
      </c>
      <c r="AK259" t="s" s="0">
        <v>81</v>
      </c>
      <c r="AL259" t="s" s="0">
        <v>890</v>
      </c>
      <c r="AM259" t="s" s="0">
        <v>156</v>
      </c>
      <c r="AN259" t="s" s="0">
        <v>156</v>
      </c>
      <c r="AO259" t="s" s="0">
        <v>191</v>
      </c>
      <c r="AP259" t="s" s="0">
        <v>191</v>
      </c>
      <c r="AQ259" t="s" s="0">
        <v>368</v>
      </c>
      <c r="AR259" t="s" s="0">
        <v>369</v>
      </c>
      <c r="AS259" t="s" s="0">
        <v>370</v>
      </c>
      <c r="AT259" t="s" s="0">
        <v>6184</v>
      </c>
      <c r="AU259" t="s" s="0">
        <v>81</v>
      </c>
      <c r="AV259" t="s" s="0">
        <v>81</v>
      </c>
      <c r="AW259" t="s" s="0">
        <v>6185</v>
      </c>
      <c r="AX259" t="s" s="0">
        <v>6186</v>
      </c>
      <c r="AY259" t="s" s="0">
        <v>6187</v>
      </c>
      <c r="AZ259" t="s" s="0">
        <v>103</v>
      </c>
      <c r="BA259" t="s" s="0">
        <v>925</v>
      </c>
      <c r="BB259" t="s" s="0">
        <v>81</v>
      </c>
      <c r="BC259" t="s" s="0">
        <v>81</v>
      </c>
      <c r="BD259" t="s" s="0">
        <v>81</v>
      </c>
      <c r="BE259" t="s" s="0">
        <v>81</v>
      </c>
      <c r="BF259" t="s" s="0">
        <v>81</v>
      </c>
      <c r="BG259" t="s" s="0">
        <v>81</v>
      </c>
      <c r="BH259" t="s" s="0">
        <v>81</v>
      </c>
      <c r="BI259" t="s" s="0">
        <v>6188</v>
      </c>
      <c r="BJ259" t="s" s="0">
        <v>6189</v>
      </c>
      <c r="BK259" t="s" s="512">
        <f>HYPERLINK("http://dx.doi.org/10.3389/fneur.2025.1617446","http://dx.doi.org/10.3389/fneur.2025.1617446")</f>
        <v>6190</v>
      </c>
      <c r="BL259" t="s" s="0">
        <v>81</v>
      </c>
      <c r="BM259" t="s" s="0">
        <v>81</v>
      </c>
      <c r="BN259" t="s" s="0">
        <v>222</v>
      </c>
      <c r="BO259" t="s" s="0">
        <v>3906</v>
      </c>
      <c r="BP259" t="s" s="0">
        <v>2504</v>
      </c>
      <c r="BQ259" t="s" s="0">
        <v>6191</v>
      </c>
      <c r="BR259" t="s" s="0">
        <v>6192</v>
      </c>
      <c r="BS259" t="s" s="0">
        <v>6193</v>
      </c>
      <c r="BT259" t="s" s="513">
        <f>HYPERLINK("https://www.webofscience.com/wos/woscc/full-record/WOS:001670230000001","View Record in Web of Science")</f>
        <v>114</v>
      </c>
      <c r="BU259" t="s" s="0">
        <v>301</v>
      </c>
      <c r="BV259" t="s" s="0">
        <v>81</v>
      </c>
      <c r="BW259" t="s" s="0">
        <v>81</v>
      </c>
      <c r="BX259" t="s" s="0">
        <v>116</v>
      </c>
    </row>
    <row r="260">
      <c r="A260" t="s" s="0">
        <v>77</v>
      </c>
      <c r="B260" t="s" s="0">
        <v>77</v>
      </c>
      <c r="C260" t="s" s="0">
        <v>77</v>
      </c>
      <c r="D260" t="s" s="0">
        <v>77</v>
      </c>
      <c r="E260" t="s" s="0">
        <v>6194</v>
      </c>
      <c r="F260" t="s" s="0">
        <v>6195</v>
      </c>
      <c r="G260" t="s" s="0">
        <v>6196</v>
      </c>
      <c r="H260" t="s" s="0">
        <v>81</v>
      </c>
      <c r="I260" t="s" s="0">
        <v>82</v>
      </c>
      <c r="J260" t="s" s="0">
        <v>6197</v>
      </c>
      <c r="K260" t="s" s="0">
        <v>6198</v>
      </c>
      <c r="L260" t="s" s="0">
        <v>6199</v>
      </c>
      <c r="M260" t="s" s="0">
        <v>6200</v>
      </c>
      <c r="N260" t="s" s="0">
        <v>6201</v>
      </c>
      <c r="O260" t="s" s="0">
        <v>6202</v>
      </c>
      <c r="P260" t="s" s="0">
        <v>6203</v>
      </c>
      <c r="Q260" t="s" s="0">
        <v>87</v>
      </c>
      <c r="R260" t="s" s="0">
        <v>81</v>
      </c>
      <c r="S260" t="s" s="0">
        <v>81</v>
      </c>
      <c r="T260" t="s" s="0">
        <v>81</v>
      </c>
      <c r="U260" t="s" s="0">
        <v>81</v>
      </c>
      <c r="V260" t="s" s="0">
        <v>6204</v>
      </c>
      <c r="W260" t="s" s="0">
        <v>2293</v>
      </c>
      <c r="X260" t="s" s="0">
        <v>81</v>
      </c>
      <c r="Y260" t="s" s="0">
        <v>81</v>
      </c>
      <c r="Z260" t="s" s="0">
        <v>90</v>
      </c>
      <c r="AA260" t="s" s="0">
        <v>91</v>
      </c>
      <c r="AB260" t="s" s="0">
        <v>81</v>
      </c>
      <c r="AC260" t="s" s="0">
        <v>81</v>
      </c>
      <c r="AD260" t="s" s="0">
        <v>81</v>
      </c>
      <c r="AE260" t="s" s="0">
        <v>81</v>
      </c>
      <c r="AF260" t="s" s="0">
        <v>81</v>
      </c>
      <c r="AG260" t="s" s="0">
        <v>6205</v>
      </c>
      <c r="AH260" t="s" s="0">
        <v>81</v>
      </c>
      <c r="AI260" t="s" s="0">
        <v>81</v>
      </c>
      <c r="AJ260" t="s" s="0">
        <v>81</v>
      </c>
      <c r="AK260" t="s" s="0">
        <v>81</v>
      </c>
      <c r="AL260" t="s" s="0">
        <v>1374</v>
      </c>
      <c r="AM260" t="s" s="0">
        <v>77</v>
      </c>
      <c r="AN260" t="s" s="0">
        <v>77</v>
      </c>
      <c r="AO260" t="s" s="0">
        <v>175</v>
      </c>
      <c r="AP260" t="s" s="0">
        <v>175</v>
      </c>
      <c r="AQ260" t="s" s="0">
        <v>136</v>
      </c>
      <c r="AR260" t="s" s="0">
        <v>137</v>
      </c>
      <c r="AS260" t="s" s="0">
        <v>138</v>
      </c>
      <c r="AT260" t="s" s="0">
        <v>2297</v>
      </c>
      <c r="AU260" t="s" s="0">
        <v>2298</v>
      </c>
      <c r="AV260" t="s" s="0">
        <v>81</v>
      </c>
      <c r="AW260" t="s" s="0">
        <v>2299</v>
      </c>
      <c r="AX260" t="s" s="0">
        <v>2300</v>
      </c>
      <c r="AY260" t="s" s="0">
        <v>3366</v>
      </c>
      <c r="AZ260" t="s" s="0">
        <v>103</v>
      </c>
      <c r="BA260" t="s" s="0">
        <v>321</v>
      </c>
      <c r="BB260" t="s" s="0">
        <v>81</v>
      </c>
      <c r="BC260" t="s" s="0">
        <v>81</v>
      </c>
      <c r="BD260" t="s" s="0">
        <v>81</v>
      </c>
      <c r="BE260" t="s" s="0">
        <v>81</v>
      </c>
      <c r="BF260" t="s" s="0">
        <v>81</v>
      </c>
      <c r="BG260" t="s" s="0">
        <v>81</v>
      </c>
      <c r="BH260" t="s" s="0">
        <v>81</v>
      </c>
      <c r="BI260" t="s" s="0">
        <v>6206</v>
      </c>
      <c r="BJ260" t="s" s="0">
        <v>6207</v>
      </c>
      <c r="BK260" t="s" s="514">
        <f>HYPERLINK("http://dx.doi.org/10.1016/j.media.2026.104122","http://dx.doi.org/10.1016/j.media.2026.104122")</f>
        <v>6208</v>
      </c>
      <c r="BL260" t="s" s="0">
        <v>81</v>
      </c>
      <c r="BM260" t="s" s="0">
        <v>675</v>
      </c>
      <c r="BN260" t="s" s="0">
        <v>291</v>
      </c>
      <c r="BO260" t="s" s="0">
        <v>2306</v>
      </c>
      <c r="BP260" t="s" s="0">
        <v>2307</v>
      </c>
      <c r="BQ260" t="s" s="0">
        <v>6209</v>
      </c>
      <c r="BR260" t="s" s="0">
        <v>6210</v>
      </c>
      <c r="BS260" t="s" s="0">
        <v>6211</v>
      </c>
      <c r="BT260" t="s" s="515">
        <f>HYPERLINK("https://www.webofscience.com/wos/woscc/full-record/WOS:001765051000001","View Record in Web of Science")</f>
        <v>114</v>
      </c>
      <c r="BU260" t="s" s="0">
        <v>81</v>
      </c>
      <c r="BV260" t="s" s="0">
        <v>81</v>
      </c>
      <c r="BW260" t="s" s="0">
        <v>81</v>
      </c>
      <c r="BX260" t="s" s="0">
        <v>116</v>
      </c>
    </row>
    <row r="261">
      <c r="A261" t="s" s="0">
        <v>77</v>
      </c>
      <c r="B261" t="s" s="0">
        <v>77</v>
      </c>
      <c r="C261" t="s" s="0">
        <v>156</v>
      </c>
      <c r="D261" t="s" s="0">
        <v>77</v>
      </c>
      <c r="E261" t="s" s="0">
        <v>6212</v>
      </c>
      <c r="F261" t="s" s="0">
        <v>6213</v>
      </c>
      <c r="G261" t="s" s="0">
        <v>6214</v>
      </c>
      <c r="H261" t="s" s="0">
        <v>81</v>
      </c>
      <c r="I261" t="s" s="0">
        <v>82</v>
      </c>
      <c r="J261" t="s" s="0">
        <v>6215</v>
      </c>
      <c r="K261" t="s" s="0">
        <v>6216</v>
      </c>
      <c r="L261" t="s" s="0">
        <v>6217</v>
      </c>
      <c r="M261" t="s" s="0">
        <v>6217</v>
      </c>
      <c r="N261" t="s" s="0">
        <v>6218</v>
      </c>
      <c r="O261" t="s" s="0">
        <v>6219</v>
      </c>
      <c r="P261" t="s" s="0">
        <v>6220</v>
      </c>
      <c r="Q261" t="s" s="0">
        <v>87</v>
      </c>
      <c r="R261" t="s" s="0">
        <v>81</v>
      </c>
      <c r="S261" t="s" s="0">
        <v>81</v>
      </c>
      <c r="T261" t="s" s="0">
        <v>81</v>
      </c>
      <c r="U261" t="s" s="0">
        <v>81</v>
      </c>
      <c r="V261" t="s" s="0">
        <v>6221</v>
      </c>
      <c r="W261" t="s" s="0">
        <v>6222</v>
      </c>
      <c r="X261" t="s" s="0">
        <v>81</v>
      </c>
      <c r="Y261" t="s" s="0">
        <v>81</v>
      </c>
      <c r="Z261" t="s" s="0">
        <v>90</v>
      </c>
      <c r="AA261" t="s" s="0">
        <v>91</v>
      </c>
      <c r="AB261" t="s" s="0">
        <v>81</v>
      </c>
      <c r="AC261" t="s" s="0">
        <v>81</v>
      </c>
      <c r="AD261" t="s" s="0">
        <v>81</v>
      </c>
      <c r="AE261" t="s" s="0">
        <v>81</v>
      </c>
      <c r="AF261" t="s" s="0">
        <v>81</v>
      </c>
      <c r="AG261" t="s" s="0">
        <v>6223</v>
      </c>
      <c r="AH261" t="s" s="0">
        <v>81</v>
      </c>
      <c r="AI261" t="s" s="0">
        <v>6224</v>
      </c>
      <c r="AJ261" t="s" s="0">
        <v>6225</v>
      </c>
      <c r="AK261" t="s" s="0">
        <v>81</v>
      </c>
      <c r="AL261" t="s" s="0">
        <v>1912</v>
      </c>
      <c r="AM261" t="s" s="0">
        <v>316</v>
      </c>
      <c r="AN261" t="s" s="0">
        <v>316</v>
      </c>
      <c r="AO261" t="s" s="0">
        <v>196</v>
      </c>
      <c r="AP261" t="s" s="0">
        <v>104</v>
      </c>
      <c r="AQ261" t="s" s="0">
        <v>2208</v>
      </c>
      <c r="AR261" t="s" s="0">
        <v>2209</v>
      </c>
      <c r="AS261" t="s" s="0">
        <v>2210</v>
      </c>
      <c r="AT261" t="s" s="0">
        <v>6226</v>
      </c>
      <c r="AU261" t="s" s="0">
        <v>6227</v>
      </c>
      <c r="AV261" t="s" s="0">
        <v>81</v>
      </c>
      <c r="AW261" t="s" s="0">
        <v>6228</v>
      </c>
      <c r="AX261" t="s" s="0">
        <v>6229</v>
      </c>
      <c r="AY261" t="s" s="0">
        <v>2502</v>
      </c>
      <c r="AZ261" t="s" s="0">
        <v>290</v>
      </c>
      <c r="BA261" t="s" s="0">
        <v>1607</v>
      </c>
      <c r="BB261" t="s" s="0">
        <v>156</v>
      </c>
      <c r="BC261" t="s" s="0">
        <v>81</v>
      </c>
      <c r="BD261" t="s" s="0">
        <v>81</v>
      </c>
      <c r="BE261" t="s" s="0">
        <v>81</v>
      </c>
      <c r="BF261" t="s" s="0">
        <v>81</v>
      </c>
      <c r="BG261" t="s" s="0">
        <v>6230</v>
      </c>
      <c r="BH261" t="s" s="0">
        <v>6231</v>
      </c>
      <c r="BI261" t="s" s="0">
        <v>81</v>
      </c>
      <c r="BJ261" t="s" s="0">
        <v>6232</v>
      </c>
      <c r="BK261" t="s" s="516">
        <f>HYPERLINK("http://dx.doi.org/10.1007/s40846-025-00949-0","http://dx.doi.org/10.1007/s40846-025-00949-0")</f>
        <v>6233</v>
      </c>
      <c r="BL261" t="s" s="0">
        <v>81</v>
      </c>
      <c r="BM261" t="s" s="0">
        <v>2502</v>
      </c>
      <c r="BN261" t="s" s="0">
        <v>191</v>
      </c>
      <c r="BO261" t="s" s="0">
        <v>2082</v>
      </c>
      <c r="BP261" t="s" s="0">
        <v>1003</v>
      </c>
      <c r="BQ261" t="s" s="0">
        <v>6234</v>
      </c>
      <c r="BR261" t="s" s="0">
        <v>81</v>
      </c>
      <c r="BS261" t="s" s="0">
        <v>6235</v>
      </c>
      <c r="BT261" t="s" s="517">
        <f>HYPERLINK("https://www.webofscience.com/wos/woscc/full-record/WOS:001471192100001","View Record in Web of Science")</f>
        <v>114</v>
      </c>
      <c r="BU261" t="s" s="0">
        <v>81</v>
      </c>
      <c r="BV261" t="s" s="0">
        <v>81</v>
      </c>
      <c r="BW261" t="s" s="0">
        <v>81</v>
      </c>
      <c r="BX261" t="s" s="0">
        <v>116</v>
      </c>
    </row>
    <row r="262">
      <c r="A262" t="s" s="0">
        <v>77</v>
      </c>
      <c r="B262" t="s" s="0">
        <v>77</v>
      </c>
      <c r="C262" t="s" s="0">
        <v>77</v>
      </c>
      <c r="D262" t="s" s="0">
        <v>77</v>
      </c>
      <c r="E262" t="s" s="0">
        <v>6236</v>
      </c>
      <c r="F262" t="s" s="0">
        <v>6237</v>
      </c>
      <c r="G262" t="s" s="0">
        <v>6238</v>
      </c>
      <c r="H262" t="s" s="0">
        <v>81</v>
      </c>
      <c r="I262" t="s" s="0">
        <v>82</v>
      </c>
      <c r="J262" t="s" s="0">
        <v>6239</v>
      </c>
      <c r="K262" t="s" s="0">
        <v>6240</v>
      </c>
      <c r="L262" t="s" s="0">
        <v>6241</v>
      </c>
      <c r="M262" t="s" s="0">
        <v>6242</v>
      </c>
      <c r="N262" t="s" s="0">
        <v>6243</v>
      </c>
      <c r="O262" t="s" s="0">
        <v>6244</v>
      </c>
      <c r="P262" t="s" s="0">
        <v>6245</v>
      </c>
      <c r="Q262" t="s" s="0">
        <v>87</v>
      </c>
      <c r="R262" t="s" s="0">
        <v>81</v>
      </c>
      <c r="S262" t="s" s="0">
        <v>81</v>
      </c>
      <c r="T262" t="s" s="0">
        <v>81</v>
      </c>
      <c r="U262" t="s" s="0">
        <v>81</v>
      </c>
      <c r="V262" t="s" s="0">
        <v>6246</v>
      </c>
      <c r="W262" t="s" s="0">
        <v>910</v>
      </c>
      <c r="X262" t="s" s="0">
        <v>81</v>
      </c>
      <c r="Y262" t="s" s="0">
        <v>81</v>
      </c>
      <c r="Z262" t="s" s="0">
        <v>90</v>
      </c>
      <c r="AA262" t="s" s="0">
        <v>91</v>
      </c>
      <c r="AB262" t="s" s="0">
        <v>81</v>
      </c>
      <c r="AC262" t="s" s="0">
        <v>81</v>
      </c>
      <c r="AD262" t="s" s="0">
        <v>81</v>
      </c>
      <c r="AE262" t="s" s="0">
        <v>81</v>
      </c>
      <c r="AF262" t="s" s="0">
        <v>81</v>
      </c>
      <c r="AG262" t="s" s="0">
        <v>6247</v>
      </c>
      <c r="AH262" t="s" s="0">
        <v>81</v>
      </c>
      <c r="AI262" t="s" s="0">
        <v>6248</v>
      </c>
      <c r="AJ262" t="s" s="0">
        <v>6249</v>
      </c>
      <c r="AK262" t="s" s="0">
        <v>81</v>
      </c>
      <c r="AL262" t="s" s="0">
        <v>1442</v>
      </c>
      <c r="AM262" t="s" s="0">
        <v>97</v>
      </c>
      <c r="AN262" t="s" s="0">
        <v>156</v>
      </c>
      <c r="AO262" t="s" s="0">
        <v>156</v>
      </c>
      <c r="AP262" t="s" s="0">
        <v>156</v>
      </c>
      <c r="AQ262" t="s" s="0">
        <v>915</v>
      </c>
      <c r="AR262" t="s" s="0">
        <v>916</v>
      </c>
      <c r="AS262" t="s" s="0">
        <v>917</v>
      </c>
      <c r="AT262" t="s" s="0">
        <v>918</v>
      </c>
      <c r="AU262" t="s" s="0">
        <v>81</v>
      </c>
      <c r="AV262" t="s" s="0">
        <v>81</v>
      </c>
      <c r="AW262" t="s" s="0">
        <v>919</v>
      </c>
      <c r="AX262" t="s" s="0">
        <v>920</v>
      </c>
      <c r="AY262" t="s" s="0">
        <v>2645</v>
      </c>
      <c r="AZ262" t="s" s="0">
        <v>290</v>
      </c>
      <c r="BA262" t="s" s="0">
        <v>291</v>
      </c>
      <c r="BB262" t="s" s="0">
        <v>97</v>
      </c>
      <c r="BC262" t="s" s="0">
        <v>81</v>
      </c>
      <c r="BD262" t="s" s="0">
        <v>81</v>
      </c>
      <c r="BE262" t="s" s="0">
        <v>81</v>
      </c>
      <c r="BF262" t="s" s="0">
        <v>81</v>
      </c>
      <c r="BG262" t="s" s="0">
        <v>81</v>
      </c>
      <c r="BH262" t="s" s="0">
        <v>81</v>
      </c>
      <c r="BI262" t="s" s="0">
        <v>6250</v>
      </c>
      <c r="BJ262" t="s" s="0">
        <v>6251</v>
      </c>
      <c r="BK262" t="s" s="518">
        <f>HYPERLINK("http://dx.doi.org/10.1038/s41598-025-27934-6","http://dx.doi.org/10.1038/s41598-025-27934-6")</f>
        <v>6252</v>
      </c>
      <c r="BL262" t="s" s="0">
        <v>81</v>
      </c>
      <c r="BM262" t="s" s="0">
        <v>81</v>
      </c>
      <c r="BN262" t="s" s="0">
        <v>176</v>
      </c>
      <c r="BO262" t="s" s="0">
        <v>926</v>
      </c>
      <c r="BP262" t="s" s="0">
        <v>927</v>
      </c>
      <c r="BQ262" t="s" s="0">
        <v>6253</v>
      </c>
      <c r="BR262" t="s" s="0">
        <v>6254</v>
      </c>
      <c r="BS262" t="s" s="0">
        <v>6255</v>
      </c>
      <c r="BT262" t="s" s="519">
        <f>HYPERLINK("https://www.webofscience.com/wos/woscc/full-record/WOS:001643674900019","View Record in Web of Science")</f>
        <v>114</v>
      </c>
      <c r="BU262" t="s" s="0">
        <v>301</v>
      </c>
      <c r="BV262" t="s" s="0">
        <v>81</v>
      </c>
      <c r="BW262" t="s" s="0">
        <v>81</v>
      </c>
      <c r="BX262" t="s" s="0">
        <v>116</v>
      </c>
    </row>
    <row r="263">
      <c r="A263" t="s" s="0">
        <v>77</v>
      </c>
      <c r="B263" t="s" s="0">
        <v>77</v>
      </c>
      <c r="C263" t="s" s="0">
        <v>77</v>
      </c>
      <c r="D263" t="s" s="0">
        <v>77</v>
      </c>
      <c r="E263" t="s" s="0">
        <v>6256</v>
      </c>
      <c r="F263" t="s" s="0">
        <v>6257</v>
      </c>
      <c r="G263" t="s" s="0">
        <v>6258</v>
      </c>
      <c r="H263" t="s" s="0">
        <v>81</v>
      </c>
      <c r="I263" t="s" s="0">
        <v>82</v>
      </c>
      <c r="J263" t="s" s="0">
        <v>6259</v>
      </c>
      <c r="K263" t="s" s="0">
        <v>6260</v>
      </c>
      <c r="L263" t="s" s="0">
        <v>6261</v>
      </c>
      <c r="M263" t="s" s="0">
        <v>6262</v>
      </c>
      <c r="N263" t="s" s="0">
        <v>6263</v>
      </c>
      <c r="O263" t="s" s="0">
        <v>6264</v>
      </c>
      <c r="P263" t="s" s="0">
        <v>6265</v>
      </c>
      <c r="Q263" t="s" s="0">
        <v>87</v>
      </c>
      <c r="R263" t="s" s="0">
        <v>81</v>
      </c>
      <c r="S263" t="s" s="0">
        <v>81</v>
      </c>
      <c r="T263" t="s" s="0">
        <v>81</v>
      </c>
      <c r="U263" t="s" s="0">
        <v>81</v>
      </c>
      <c r="V263" t="s" s="0">
        <v>6266</v>
      </c>
      <c r="W263" t="s" s="0">
        <v>3058</v>
      </c>
      <c r="X263" t="s" s="0">
        <v>81</v>
      </c>
      <c r="Y263" t="s" s="0">
        <v>81</v>
      </c>
      <c r="Z263" t="s" s="0">
        <v>90</v>
      </c>
      <c r="AA263" t="s" s="0">
        <v>91</v>
      </c>
      <c r="AB263" t="s" s="0">
        <v>81</v>
      </c>
      <c r="AC263" t="s" s="0">
        <v>81</v>
      </c>
      <c r="AD263" t="s" s="0">
        <v>81</v>
      </c>
      <c r="AE263" t="s" s="0">
        <v>81</v>
      </c>
      <c r="AF263" t="s" s="0">
        <v>81</v>
      </c>
      <c r="AG263" t="s" s="0">
        <v>6267</v>
      </c>
      <c r="AH263" t="s" s="0">
        <v>6268</v>
      </c>
      <c r="AI263" t="s" s="0">
        <v>6269</v>
      </c>
      <c r="AJ263" t="s" s="0">
        <v>6270</v>
      </c>
      <c r="AK263" t="s" s="0">
        <v>81</v>
      </c>
      <c r="AL263" t="s" s="0">
        <v>6271</v>
      </c>
      <c r="AM263" t="s" s="0">
        <v>77</v>
      </c>
      <c r="AN263" t="s" s="0">
        <v>77</v>
      </c>
      <c r="AO263" t="s" s="0">
        <v>196</v>
      </c>
      <c r="AP263" t="s" s="0">
        <v>196</v>
      </c>
      <c r="AQ263" t="s" s="0">
        <v>3061</v>
      </c>
      <c r="AR263" t="s" s="0">
        <v>3062</v>
      </c>
      <c r="AS263" t="s" s="0">
        <v>3063</v>
      </c>
      <c r="AT263" t="s" s="0">
        <v>3064</v>
      </c>
      <c r="AU263" t="s" s="0">
        <v>3065</v>
      </c>
      <c r="AV263" t="s" s="0">
        <v>81</v>
      </c>
      <c r="AW263" t="s" s="0">
        <v>3066</v>
      </c>
      <c r="AX263" t="s" s="0">
        <v>3067</v>
      </c>
      <c r="AY263" t="s" s="0">
        <v>6272</v>
      </c>
      <c r="AZ263" t="s" s="0">
        <v>103</v>
      </c>
      <c r="BA263" t="s" s="0">
        <v>176</v>
      </c>
      <c r="BB263" t="s" s="0">
        <v>81</v>
      </c>
      <c r="BC263" t="s" s="0">
        <v>81</v>
      </c>
      <c r="BD263" t="s" s="0">
        <v>81</v>
      </c>
      <c r="BE263" t="s" s="0">
        <v>81</v>
      </c>
      <c r="BF263" t="s" s="0">
        <v>81</v>
      </c>
      <c r="BG263" t="s" s="0">
        <v>81</v>
      </c>
      <c r="BH263" t="s" s="0">
        <v>81</v>
      </c>
      <c r="BI263" t="s" s="0">
        <v>6273</v>
      </c>
      <c r="BJ263" t="s" s="0">
        <v>6274</v>
      </c>
      <c r="BK263" t="s" s="520">
        <f>HYPERLINK("http://dx.doi.org/10.2196/80754","http://dx.doi.org/10.2196/80754")</f>
        <v>6275</v>
      </c>
      <c r="BL263" t="s" s="0">
        <v>81</v>
      </c>
      <c r="BM263" t="s" s="0">
        <v>81</v>
      </c>
      <c r="BN263" t="s" s="0">
        <v>135</v>
      </c>
      <c r="BO263" t="s" s="0">
        <v>792</v>
      </c>
      <c r="BP263" t="s" s="0">
        <v>792</v>
      </c>
      <c r="BQ263" t="s" s="0">
        <v>6276</v>
      </c>
      <c r="BR263" t="s" s="0">
        <v>6277</v>
      </c>
      <c r="BS263" t="s" s="0">
        <v>6278</v>
      </c>
      <c r="BT263" t="s" s="521">
        <f>HYPERLINK("https://www.webofscience.com/wos/woscc/full-record/WOS:001681962700001","View Record in Web of Science")</f>
        <v>114</v>
      </c>
      <c r="BU263" t="s" s="0">
        <v>301</v>
      </c>
      <c r="BV263" t="s" s="0">
        <v>81</v>
      </c>
      <c r="BW263" t="s" s="0">
        <v>81</v>
      </c>
      <c r="BX263" t="s" s="0">
        <v>116</v>
      </c>
    </row>
    <row r="264">
      <c r="A264" t="s" s="0">
        <v>77</v>
      </c>
      <c r="B264" t="s" s="0">
        <v>77</v>
      </c>
      <c r="C264" t="s" s="0">
        <v>97</v>
      </c>
      <c r="D264" t="s" s="0">
        <v>77</v>
      </c>
      <c r="E264" t="s" s="0">
        <v>6279</v>
      </c>
      <c r="F264" t="s" s="0">
        <v>6280</v>
      </c>
      <c r="G264" t="s" s="0">
        <v>6281</v>
      </c>
      <c r="H264" t="s" s="0">
        <v>81</v>
      </c>
      <c r="I264" t="s" s="0">
        <v>82</v>
      </c>
      <c r="J264" t="s" s="0">
        <v>6282</v>
      </c>
      <c r="K264" t="s" s="0">
        <v>6283</v>
      </c>
      <c r="L264" t="s" s="0">
        <v>6284</v>
      </c>
      <c r="M264" t="s" s="0">
        <v>6285</v>
      </c>
      <c r="N264" t="s" s="0">
        <v>6286</v>
      </c>
      <c r="O264" t="s" s="0">
        <v>6287</v>
      </c>
      <c r="P264" t="s" s="0">
        <v>6288</v>
      </c>
      <c r="Q264" t="s" s="0">
        <v>87</v>
      </c>
      <c r="R264" t="s" s="0">
        <v>81</v>
      </c>
      <c r="S264" t="s" s="0">
        <v>81</v>
      </c>
      <c r="T264" t="s" s="0">
        <v>81</v>
      </c>
      <c r="U264" t="s" s="0">
        <v>81</v>
      </c>
      <c r="V264" t="s" s="0">
        <v>6289</v>
      </c>
      <c r="W264" t="s" s="0">
        <v>6290</v>
      </c>
      <c r="X264" t="s" s="0">
        <v>81</v>
      </c>
      <c r="Y264" t="s" s="0">
        <v>81</v>
      </c>
      <c r="Z264" t="s" s="0">
        <v>90</v>
      </c>
      <c r="AA264" t="s" s="0">
        <v>91</v>
      </c>
      <c r="AB264" t="s" s="0">
        <v>81</v>
      </c>
      <c r="AC264" t="s" s="0">
        <v>81</v>
      </c>
      <c r="AD264" t="s" s="0">
        <v>81</v>
      </c>
      <c r="AE264" t="s" s="0">
        <v>81</v>
      </c>
      <c r="AF264" t="s" s="0">
        <v>81</v>
      </c>
      <c r="AG264" t="s" s="0">
        <v>6291</v>
      </c>
      <c r="AH264" t="s" s="0">
        <v>6292</v>
      </c>
      <c r="AI264" t="s" s="0">
        <v>6293</v>
      </c>
      <c r="AJ264" t="s" s="0">
        <v>6294</v>
      </c>
      <c r="AK264" t="s" s="0">
        <v>81</v>
      </c>
      <c r="AL264" t="s" s="0">
        <v>696</v>
      </c>
      <c r="AM264" t="s" s="0">
        <v>97</v>
      </c>
      <c r="AN264" t="s" s="0">
        <v>196</v>
      </c>
      <c r="AO264" t="s" s="0">
        <v>196</v>
      </c>
      <c r="AP264" t="s" s="0">
        <v>196</v>
      </c>
      <c r="AQ264" t="s" s="0">
        <v>368</v>
      </c>
      <c r="AR264" t="s" s="0">
        <v>369</v>
      </c>
      <c r="AS264" t="s" s="0">
        <v>370</v>
      </c>
      <c r="AT264" t="s" s="0">
        <v>6295</v>
      </c>
      <c r="AU264" t="s" s="0">
        <v>81</v>
      </c>
      <c r="AV264" t="s" s="0">
        <v>81</v>
      </c>
      <c r="AW264" t="s" s="0">
        <v>6296</v>
      </c>
      <c r="AX264" t="s" s="0">
        <v>6297</v>
      </c>
      <c r="AY264" t="s" s="0">
        <v>6298</v>
      </c>
      <c r="AZ264" t="s" s="0">
        <v>290</v>
      </c>
      <c r="BA264" t="s" s="0">
        <v>925</v>
      </c>
      <c r="BB264" t="s" s="0">
        <v>81</v>
      </c>
      <c r="BC264" t="s" s="0">
        <v>81</v>
      </c>
      <c r="BD264" t="s" s="0">
        <v>81</v>
      </c>
      <c r="BE264" t="s" s="0">
        <v>81</v>
      </c>
      <c r="BF264" t="s" s="0">
        <v>81</v>
      </c>
      <c r="BG264" t="s" s="0">
        <v>81</v>
      </c>
      <c r="BH264" t="s" s="0">
        <v>81</v>
      </c>
      <c r="BI264" t="s" s="0">
        <v>6299</v>
      </c>
      <c r="BJ264" t="s" s="0">
        <v>6300</v>
      </c>
      <c r="BK264" t="s" s="522">
        <f>HYPERLINK("http://dx.doi.org/10.3389/fendo.2025.1689312","http://dx.doi.org/10.3389/fendo.2025.1689312")</f>
        <v>6301</v>
      </c>
      <c r="BL264" t="s" s="0">
        <v>81</v>
      </c>
      <c r="BM264" t="s" s="0">
        <v>81</v>
      </c>
      <c r="BN264" t="s" s="0">
        <v>191</v>
      </c>
      <c r="BO264" t="s" s="0">
        <v>6302</v>
      </c>
      <c r="BP264" t="s" s="0">
        <v>6302</v>
      </c>
      <c r="BQ264" t="s" s="0">
        <v>6303</v>
      </c>
      <c r="BR264" t="s" s="0">
        <v>6304</v>
      </c>
      <c r="BS264" t="s" s="0">
        <v>6305</v>
      </c>
      <c r="BT264" t="s" s="523">
        <f>HYPERLINK("https://www.webofscience.com/wos/woscc/full-record/WOS:001604858400001","View Record in Web of Science")</f>
        <v>114</v>
      </c>
      <c r="BU264" t="s" s="0">
        <v>301</v>
      </c>
      <c r="BV264" t="s" s="0">
        <v>81</v>
      </c>
      <c r="BW264" t="s" s="0">
        <v>81</v>
      </c>
      <c r="BX264" t="s" s="0">
        <v>116</v>
      </c>
    </row>
    <row r="265">
      <c r="A265" t="s" s="0">
        <v>77</v>
      </c>
      <c r="B265" t="s" s="0">
        <v>77</v>
      </c>
      <c r="C265" t="s" s="0">
        <v>175</v>
      </c>
      <c r="D265" t="s" s="0">
        <v>77</v>
      </c>
      <c r="E265" t="s" s="0">
        <v>6306</v>
      </c>
      <c r="F265" t="s" s="0">
        <v>6307</v>
      </c>
      <c r="G265" t="s" s="0">
        <v>6308</v>
      </c>
      <c r="H265" t="s" s="0">
        <v>81</v>
      </c>
      <c r="I265" t="s" s="0">
        <v>82</v>
      </c>
      <c r="J265" t="s" s="0">
        <v>6309</v>
      </c>
      <c r="K265" t="s" s="0">
        <v>6310</v>
      </c>
      <c r="L265" t="s" s="0">
        <v>6311</v>
      </c>
      <c r="M265" t="s" s="0">
        <v>6312</v>
      </c>
      <c r="N265" t="s" s="0">
        <v>6313</v>
      </c>
      <c r="O265" t="s" s="0">
        <v>6314</v>
      </c>
      <c r="P265" t="s" s="0">
        <v>6315</v>
      </c>
      <c r="Q265" t="s" s="0">
        <v>87</v>
      </c>
      <c r="R265" t="s" s="0">
        <v>81</v>
      </c>
      <c r="S265" t="s" s="0">
        <v>81</v>
      </c>
      <c r="T265" t="s" s="0">
        <v>81</v>
      </c>
      <c r="U265" t="s" s="0">
        <v>81</v>
      </c>
      <c r="V265" t="s" s="0">
        <v>6316</v>
      </c>
      <c r="W265" t="s" s="0">
        <v>1369</v>
      </c>
      <c r="X265" t="s" s="0">
        <v>81</v>
      </c>
      <c r="Y265" t="s" s="0">
        <v>81</v>
      </c>
      <c r="Z265" t="s" s="0">
        <v>90</v>
      </c>
      <c r="AA265" t="s" s="0">
        <v>91</v>
      </c>
      <c r="AB265" t="s" s="0">
        <v>81</v>
      </c>
      <c r="AC265" t="s" s="0">
        <v>81</v>
      </c>
      <c r="AD265" t="s" s="0">
        <v>81</v>
      </c>
      <c r="AE265" t="s" s="0">
        <v>81</v>
      </c>
      <c r="AF265" t="s" s="0">
        <v>81</v>
      </c>
      <c r="AG265" t="s" s="0">
        <v>6317</v>
      </c>
      <c r="AH265" t="s" s="0">
        <v>6318</v>
      </c>
      <c r="AI265" t="s" s="0">
        <v>6319</v>
      </c>
      <c r="AJ265" t="s" s="0">
        <v>6320</v>
      </c>
      <c r="AK265" t="s" s="0">
        <v>81</v>
      </c>
      <c r="AL265" t="s" s="0">
        <v>1047</v>
      </c>
      <c r="AM265" t="s" s="0">
        <v>234</v>
      </c>
      <c r="AN265" t="s" s="0">
        <v>234</v>
      </c>
      <c r="AO265" t="s" s="0">
        <v>133</v>
      </c>
      <c r="AP265" t="s" s="0">
        <v>211</v>
      </c>
      <c r="AQ265" t="s" s="0">
        <v>284</v>
      </c>
      <c r="AR265" t="s" s="0">
        <v>285</v>
      </c>
      <c r="AS265" t="s" s="0">
        <v>286</v>
      </c>
      <c r="AT265" t="s" s="0">
        <v>81</v>
      </c>
      <c r="AU265" t="s" s="0">
        <v>1375</v>
      </c>
      <c r="AV265" t="s" s="0">
        <v>81</v>
      </c>
      <c r="AW265" t="s" s="0">
        <v>1369</v>
      </c>
      <c r="AX265" t="s" s="0">
        <v>1376</v>
      </c>
      <c r="AY265" t="s" s="0">
        <v>6321</v>
      </c>
      <c r="AZ265" t="s" s="0">
        <v>290</v>
      </c>
      <c r="BA265" t="s" s="0">
        <v>222</v>
      </c>
      <c r="BB265" t="s" s="0">
        <v>291</v>
      </c>
      <c r="BC265" t="s" s="0">
        <v>81</v>
      </c>
      <c r="BD265" t="s" s="0">
        <v>81</v>
      </c>
      <c r="BE265" t="s" s="0">
        <v>81</v>
      </c>
      <c r="BF265" t="s" s="0">
        <v>81</v>
      </c>
      <c r="BG265" t="s" s="0">
        <v>81</v>
      </c>
      <c r="BH265" t="s" s="0">
        <v>81</v>
      </c>
      <c r="BI265" t="s" s="0">
        <v>6322</v>
      </c>
      <c r="BJ265" t="s" s="0">
        <v>6323</v>
      </c>
      <c r="BK265" t="s" s="524">
        <f>HYPERLINK("http://dx.doi.org/10.3390/cancers17152428","http://dx.doi.org/10.3390/cancers17152428")</f>
        <v>6324</v>
      </c>
      <c r="BL265" t="s" s="0">
        <v>81</v>
      </c>
      <c r="BM265" t="s" s="0">
        <v>81</v>
      </c>
      <c r="BN265" t="s" s="0">
        <v>252</v>
      </c>
      <c r="BO265" t="s" s="0">
        <v>1380</v>
      </c>
      <c r="BP265" t="s" s="0">
        <v>1380</v>
      </c>
      <c r="BQ265" t="s" s="0">
        <v>6325</v>
      </c>
      <c r="BR265" t="s" s="0">
        <v>6326</v>
      </c>
      <c r="BS265" t="s" s="0">
        <v>6327</v>
      </c>
      <c r="BT265" t="s" s="525">
        <f>HYPERLINK("https://www.webofscience.com/wos/woscc/full-record/WOS:001548732600001","View Record in Web of Science")</f>
        <v>114</v>
      </c>
      <c r="BU265" t="s" s="0">
        <v>301</v>
      </c>
      <c r="BV265" t="s" s="0">
        <v>81</v>
      </c>
      <c r="BW265" t="s" s="0">
        <v>81</v>
      </c>
      <c r="BX265" t="s" s="0">
        <v>116</v>
      </c>
    </row>
    <row r="266">
      <c r="A266" t="s" s="0">
        <v>77</v>
      </c>
      <c r="B266" t="s" s="0">
        <v>77</v>
      </c>
      <c r="C266" t="s" s="0">
        <v>156</v>
      </c>
      <c r="D266" t="s" s="0">
        <v>77</v>
      </c>
      <c r="E266" t="s" s="0">
        <v>6328</v>
      </c>
      <c r="F266" t="s" s="0">
        <v>6329</v>
      </c>
      <c r="G266" t="s" s="0">
        <v>6330</v>
      </c>
      <c r="H266" t="s" s="0">
        <v>81</v>
      </c>
      <c r="I266" t="s" s="0">
        <v>82</v>
      </c>
      <c r="J266" t="s" s="0">
        <v>6331</v>
      </c>
      <c r="K266" t="s" s="0">
        <v>6332</v>
      </c>
      <c r="L266" t="s" s="0">
        <v>81</v>
      </c>
      <c r="M266" t="s" s="0">
        <v>81</v>
      </c>
      <c r="N266" t="s" s="0">
        <v>81</v>
      </c>
      <c r="O266" t="s" s="0">
        <v>6333</v>
      </c>
      <c r="P266" t="s" s="0">
        <v>6334</v>
      </c>
      <c r="Q266" t="s" s="0">
        <v>87</v>
      </c>
      <c r="R266" t="s" s="0">
        <v>81</v>
      </c>
      <c r="S266" t="s" s="0">
        <v>81</v>
      </c>
      <c r="T266" t="s" s="0">
        <v>81</v>
      </c>
      <c r="U266" t="s" s="0">
        <v>81</v>
      </c>
      <c r="V266" t="s" s="0">
        <v>6335</v>
      </c>
      <c r="W266" t="s" s="0">
        <v>1369</v>
      </c>
      <c r="X266" t="s" s="0">
        <v>81</v>
      </c>
      <c r="Y266" t="s" s="0">
        <v>81</v>
      </c>
      <c r="Z266" t="s" s="0">
        <v>90</v>
      </c>
      <c r="AA266" t="s" s="0">
        <v>91</v>
      </c>
      <c r="AB266" t="s" s="0">
        <v>81</v>
      </c>
      <c r="AC266" t="s" s="0">
        <v>81</v>
      </c>
      <c r="AD266" t="s" s="0">
        <v>81</v>
      </c>
      <c r="AE266" t="s" s="0">
        <v>81</v>
      </c>
      <c r="AF266" t="s" s="0">
        <v>81</v>
      </c>
      <c r="AG266" t="s" s="0">
        <v>6336</v>
      </c>
      <c r="AH266" t="s" s="0">
        <v>6337</v>
      </c>
      <c r="AI266" t="s" s="0">
        <v>754</v>
      </c>
      <c r="AJ266" t="s" s="0">
        <v>6338</v>
      </c>
      <c r="AK266" t="s" s="0">
        <v>81</v>
      </c>
      <c r="AL266" t="s" s="0">
        <v>543</v>
      </c>
      <c r="AM266" t="s" s="0">
        <v>211</v>
      </c>
      <c r="AN266" t="s" s="0">
        <v>211</v>
      </c>
      <c r="AO266" t="s" s="0">
        <v>77</v>
      </c>
      <c r="AP266" t="s" s="0">
        <v>175</v>
      </c>
      <c r="AQ266" t="s" s="0">
        <v>284</v>
      </c>
      <c r="AR266" t="s" s="0">
        <v>285</v>
      </c>
      <c r="AS266" t="s" s="0">
        <v>317</v>
      </c>
      <c r="AT266" t="s" s="0">
        <v>81</v>
      </c>
      <c r="AU266" t="s" s="0">
        <v>1375</v>
      </c>
      <c r="AV266" t="s" s="0">
        <v>81</v>
      </c>
      <c r="AW266" t="s" s="0">
        <v>1369</v>
      </c>
      <c r="AX266" t="s" s="0">
        <v>1376</v>
      </c>
      <c r="AY266" t="s" s="0">
        <v>6339</v>
      </c>
      <c r="AZ266" t="s" s="0">
        <v>260</v>
      </c>
      <c r="BA266" t="s" s="0">
        <v>291</v>
      </c>
      <c r="BB266" t="s" s="0">
        <v>210</v>
      </c>
      <c r="BC266" t="s" s="0">
        <v>81</v>
      </c>
      <c r="BD266" t="s" s="0">
        <v>81</v>
      </c>
      <c r="BE266" t="s" s="0">
        <v>81</v>
      </c>
      <c r="BF266" t="s" s="0">
        <v>81</v>
      </c>
      <c r="BG266" t="s" s="0">
        <v>81</v>
      </c>
      <c r="BH266" t="s" s="0">
        <v>81</v>
      </c>
      <c r="BI266" t="s" s="0">
        <v>6340</v>
      </c>
      <c r="BJ266" t="s" s="0">
        <v>6341</v>
      </c>
      <c r="BK266" t="s" s="526">
        <f>HYPERLINK("http://dx.doi.org/10.3390/cancers15225386","http://dx.doi.org/10.3390/cancers15225386")</f>
        <v>6342</v>
      </c>
      <c r="BL266" t="s" s="0">
        <v>81</v>
      </c>
      <c r="BM266" t="s" s="0">
        <v>81</v>
      </c>
      <c r="BN266" t="s" s="0">
        <v>486</v>
      </c>
      <c r="BO266" t="s" s="0">
        <v>1380</v>
      </c>
      <c r="BP266" t="s" s="0">
        <v>1380</v>
      </c>
      <c r="BQ266" t="s" s="0">
        <v>6343</v>
      </c>
      <c r="BR266" t="s" s="0">
        <v>6344</v>
      </c>
      <c r="BS266" t="s" s="0">
        <v>6345</v>
      </c>
      <c r="BT266" t="s" s="527">
        <f>HYPERLINK("https://www.webofscience.com/wos/woscc/full-record/WOS:001115887900001","View Record in Web of Science")</f>
        <v>114</v>
      </c>
      <c r="BU266" t="s" s="0">
        <v>301</v>
      </c>
      <c r="BV266" t="s" s="0">
        <v>81</v>
      </c>
      <c r="BW266" t="s" s="0">
        <v>81</v>
      </c>
      <c r="BX266" t="s" s="0">
        <v>116</v>
      </c>
    </row>
    <row r="267">
      <c r="A267" t="s" s="0">
        <v>77</v>
      </c>
      <c r="B267" t="s" s="0">
        <v>77</v>
      </c>
      <c r="C267" t="s" s="0">
        <v>133</v>
      </c>
      <c r="D267" t="s" s="0">
        <v>77</v>
      </c>
      <c r="E267" t="s" s="0">
        <v>6346</v>
      </c>
      <c r="F267" t="s" s="0">
        <v>6347</v>
      </c>
      <c r="G267" t="s" s="0">
        <v>6348</v>
      </c>
      <c r="H267" t="s" s="0">
        <v>81</v>
      </c>
      <c r="I267" t="s" s="0">
        <v>82</v>
      </c>
      <c r="J267" t="s" s="0">
        <v>6349</v>
      </c>
      <c r="K267" t="s" s="0">
        <v>6350</v>
      </c>
      <c r="L267" t="s" s="0">
        <v>6351</v>
      </c>
      <c r="M267" t="s" s="0">
        <v>6352</v>
      </c>
      <c r="N267" t="s" s="0">
        <v>6353</v>
      </c>
      <c r="O267" t="s" s="0">
        <v>6354</v>
      </c>
      <c r="P267" t="s" s="0">
        <v>6355</v>
      </c>
      <c r="Q267" t="s" s="0">
        <v>87</v>
      </c>
      <c r="R267" t="s" s="0">
        <v>81</v>
      </c>
      <c r="S267" t="s" s="0">
        <v>81</v>
      </c>
      <c r="T267" t="s" s="0">
        <v>81</v>
      </c>
      <c r="U267" t="s" s="0">
        <v>81</v>
      </c>
      <c r="V267" t="s" s="0">
        <v>6356</v>
      </c>
      <c r="W267" t="s" s="0">
        <v>3830</v>
      </c>
      <c r="X267" t="s" s="0">
        <v>81</v>
      </c>
      <c r="Y267" t="s" s="0">
        <v>81</v>
      </c>
      <c r="Z267" t="s" s="0">
        <v>90</v>
      </c>
      <c r="AA267" t="s" s="0">
        <v>91</v>
      </c>
      <c r="AB267" t="s" s="0">
        <v>81</v>
      </c>
      <c r="AC267" t="s" s="0">
        <v>81</v>
      </c>
      <c r="AD267" t="s" s="0">
        <v>81</v>
      </c>
      <c r="AE267" t="s" s="0">
        <v>81</v>
      </c>
      <c r="AF267" t="s" s="0">
        <v>81</v>
      </c>
      <c r="AG267" t="s" s="0">
        <v>6357</v>
      </c>
      <c r="AH267" t="s" s="0">
        <v>81</v>
      </c>
      <c r="AI267" t="s" s="0">
        <v>6358</v>
      </c>
      <c r="AJ267" t="s" s="0">
        <v>6359</v>
      </c>
      <c r="AK267" t="s" s="0">
        <v>81</v>
      </c>
      <c r="AL267" t="s" s="0">
        <v>1254</v>
      </c>
      <c r="AM267" t="s" s="0">
        <v>344</v>
      </c>
      <c r="AN267" t="s" s="0">
        <v>253</v>
      </c>
      <c r="AO267" t="s" s="0">
        <v>925</v>
      </c>
      <c r="AP267" t="s" s="0">
        <v>2447</v>
      </c>
      <c r="AQ267" t="s" s="0">
        <v>284</v>
      </c>
      <c r="AR267" t="s" s="0">
        <v>285</v>
      </c>
      <c r="AS267" t="s" s="0">
        <v>286</v>
      </c>
      <c r="AT267" t="s" s="0">
        <v>3835</v>
      </c>
      <c r="AU267" t="s" s="0">
        <v>81</v>
      </c>
      <c r="AV267" t="s" s="0">
        <v>81</v>
      </c>
      <c r="AW267" t="s" s="0">
        <v>3836</v>
      </c>
      <c r="AX267" t="s" s="0">
        <v>3837</v>
      </c>
      <c r="AY267" t="s" s="0">
        <v>6360</v>
      </c>
      <c r="AZ267" t="s" s="0">
        <v>290</v>
      </c>
      <c r="BA267" t="s" s="0">
        <v>104</v>
      </c>
      <c r="BB267" t="s" s="0">
        <v>234</v>
      </c>
      <c r="BC267" t="s" s="0">
        <v>81</v>
      </c>
      <c r="BD267" t="s" s="0">
        <v>81</v>
      </c>
      <c r="BE267" t="s" s="0">
        <v>81</v>
      </c>
      <c r="BF267" t="s" s="0">
        <v>81</v>
      </c>
      <c r="BG267" t="s" s="0">
        <v>81</v>
      </c>
      <c r="BH267" t="s" s="0">
        <v>81</v>
      </c>
      <c r="BI267" t="s" s="0">
        <v>6361</v>
      </c>
      <c r="BJ267" t="s" s="0">
        <v>6362</v>
      </c>
      <c r="BK267" t="s" s="528">
        <f>HYPERLINK("http://dx.doi.org/10.3390/electronics14071294","http://dx.doi.org/10.3390/electronics14071294")</f>
        <v>6363</v>
      </c>
      <c r="BL267" t="s" s="0">
        <v>81</v>
      </c>
      <c r="BM267" t="s" s="0">
        <v>81</v>
      </c>
      <c r="BN267" t="s" s="0">
        <v>874</v>
      </c>
      <c r="BO267" t="s" s="0">
        <v>3841</v>
      </c>
      <c r="BP267" t="s" s="0">
        <v>3842</v>
      </c>
      <c r="BQ267" t="s" s="0">
        <v>6364</v>
      </c>
      <c r="BR267" t="s" s="0">
        <v>81</v>
      </c>
      <c r="BS267" t="s" s="0">
        <v>6365</v>
      </c>
      <c r="BT267" t="s" s="529">
        <f>HYPERLINK("https://www.webofscience.com/wos/woscc/full-record/WOS:001465649500001","View Record in Web of Science")</f>
        <v>114</v>
      </c>
      <c r="BU267" t="s" s="0">
        <v>115</v>
      </c>
      <c r="BV267" t="s" s="0">
        <v>81</v>
      </c>
      <c r="BW267" t="s" s="0">
        <v>81</v>
      </c>
      <c r="BX267" t="s" s="0">
        <v>116</v>
      </c>
    </row>
    <row r="268">
      <c r="A268" t="s" s="0">
        <v>77</v>
      </c>
      <c r="B268" t="s" s="0">
        <v>77</v>
      </c>
      <c r="C268" t="s" s="0">
        <v>77</v>
      </c>
      <c r="D268" t="s" s="0">
        <v>77</v>
      </c>
      <c r="E268" t="s" s="0">
        <v>6366</v>
      </c>
      <c r="F268" t="s" s="0">
        <v>6367</v>
      </c>
      <c r="G268" t="s" s="0">
        <v>6368</v>
      </c>
      <c r="H268" t="s" s="0">
        <v>81</v>
      </c>
      <c r="I268" t="s" s="0">
        <v>82</v>
      </c>
      <c r="J268" t="s" s="0">
        <v>6369</v>
      </c>
      <c r="K268" t="s" s="0">
        <v>6370</v>
      </c>
      <c r="L268" t="s" s="0">
        <v>81</v>
      </c>
      <c r="M268" t="s" s="0">
        <v>81</v>
      </c>
      <c r="N268" t="s" s="0">
        <v>81</v>
      </c>
      <c r="O268" t="s" s="0">
        <v>6371</v>
      </c>
      <c r="P268" t="s" s="0">
        <v>6372</v>
      </c>
      <c r="Q268" t="s" s="0">
        <v>87</v>
      </c>
      <c r="R268" t="s" s="0">
        <v>81</v>
      </c>
      <c r="S268" t="s" s="0">
        <v>81</v>
      </c>
      <c r="T268" t="s" s="0">
        <v>81</v>
      </c>
      <c r="U268" t="s" s="0">
        <v>81</v>
      </c>
      <c r="V268" t="s" s="0">
        <v>6373</v>
      </c>
      <c r="W268" t="s" s="0">
        <v>2158</v>
      </c>
      <c r="X268" t="s" s="0">
        <v>81</v>
      </c>
      <c r="Y268" t="s" s="0">
        <v>81</v>
      </c>
      <c r="Z268" t="s" s="0">
        <v>90</v>
      </c>
      <c r="AA268" t="s" s="0">
        <v>91</v>
      </c>
      <c r="AB268" t="s" s="0">
        <v>81</v>
      </c>
      <c r="AC268" t="s" s="0">
        <v>81</v>
      </c>
      <c r="AD268" t="s" s="0">
        <v>81</v>
      </c>
      <c r="AE268" t="s" s="0">
        <v>81</v>
      </c>
      <c r="AF268" t="s" s="0">
        <v>81</v>
      </c>
      <c r="AG268" t="s" s="0">
        <v>6374</v>
      </c>
      <c r="AH268" t="s" s="0">
        <v>6375</v>
      </c>
      <c r="AI268" t="s" s="0">
        <v>6376</v>
      </c>
      <c r="AJ268" t="s" s="0">
        <v>6377</v>
      </c>
      <c r="AK268" t="s" s="0">
        <v>81</v>
      </c>
      <c r="AL268" t="s" s="0">
        <v>544</v>
      </c>
      <c r="AM268" t="s" s="0">
        <v>97</v>
      </c>
      <c r="AN268" t="s" s="0">
        <v>156</v>
      </c>
      <c r="AO268" t="s" s="0">
        <v>133</v>
      </c>
      <c r="AP268" t="s" s="0">
        <v>486</v>
      </c>
      <c r="AQ268" t="s" s="0">
        <v>1344</v>
      </c>
      <c r="AR268" t="s" s="0">
        <v>1345</v>
      </c>
      <c r="AS268" t="s" s="0">
        <v>1346</v>
      </c>
      <c r="AT268" t="s" s="0">
        <v>2163</v>
      </c>
      <c r="AU268" t="s" s="0">
        <v>2164</v>
      </c>
      <c r="AV268" t="s" s="0">
        <v>81</v>
      </c>
      <c r="AW268" t="s" s="0">
        <v>2165</v>
      </c>
      <c r="AX268" t="s" s="0">
        <v>2166</v>
      </c>
      <c r="AY268" t="s" s="0">
        <v>6378</v>
      </c>
      <c r="AZ268" t="s" s="0">
        <v>290</v>
      </c>
      <c r="BA268" t="s" s="0">
        <v>6379</v>
      </c>
      <c r="BB268" t="s" s="0">
        <v>81</v>
      </c>
      <c r="BC268" t="s" s="0">
        <v>81</v>
      </c>
      <c r="BD268" t="s" s="0">
        <v>6380</v>
      </c>
      <c r="BE268" t="s" s="0">
        <v>81</v>
      </c>
      <c r="BF268" t="s" s="0">
        <v>81</v>
      </c>
      <c r="BG268" t="s" s="0">
        <v>81</v>
      </c>
      <c r="BH268" t="s" s="0">
        <v>81</v>
      </c>
      <c r="BI268" t="s" s="0">
        <v>6381</v>
      </c>
      <c r="BJ268" t="s" s="0">
        <v>6382</v>
      </c>
      <c r="BK268" t="s" s="530">
        <f>HYPERLINK("http://dx.doi.org/10.1016/j.engappai.2025.112657","http://dx.doi.org/10.1016/j.engappai.2025.112657")</f>
        <v>6383</v>
      </c>
      <c r="BL268" t="s" s="0">
        <v>81</v>
      </c>
      <c r="BM268" t="s" s="0">
        <v>2353</v>
      </c>
      <c r="BN268" t="s" s="0">
        <v>222</v>
      </c>
      <c r="BO268" t="s" s="0">
        <v>2172</v>
      </c>
      <c r="BP268" t="s" s="0">
        <v>2173</v>
      </c>
      <c r="BQ268" t="s" s="0">
        <v>6384</v>
      </c>
      <c r="BR268" t="s" s="0">
        <v>81</v>
      </c>
      <c r="BS268" t="s" s="0">
        <v>6385</v>
      </c>
      <c r="BT268" t="s" s="531">
        <f>HYPERLINK("https://www.webofscience.com/wos/woscc/full-record/WOS:001597551700001","View Record in Web of Science")</f>
        <v>114</v>
      </c>
      <c r="BU268" t="s" s="0">
        <v>81</v>
      </c>
      <c r="BV268" t="s" s="0">
        <v>81</v>
      </c>
      <c r="BW268" t="s" s="0">
        <v>81</v>
      </c>
      <c r="BX268" t="s" s="0">
        <v>116</v>
      </c>
    </row>
    <row r="269">
      <c r="A269" t="s" s="0">
        <v>77</v>
      </c>
      <c r="B269" t="s" s="0">
        <v>77</v>
      </c>
      <c r="C269" t="s" s="0">
        <v>97</v>
      </c>
      <c r="D269" t="s" s="0">
        <v>77</v>
      </c>
      <c r="E269" t="s" s="0">
        <v>6386</v>
      </c>
      <c r="F269" t="s" s="0">
        <v>6387</v>
      </c>
      <c r="G269" t="s" s="0">
        <v>6388</v>
      </c>
      <c r="H269" t="s" s="0">
        <v>81</v>
      </c>
      <c r="I269" t="s" s="0">
        <v>82</v>
      </c>
      <c r="J269" t="s" s="0">
        <v>6389</v>
      </c>
      <c r="K269" t="s" s="0">
        <v>6390</v>
      </c>
      <c r="L269" t="s" s="0">
        <v>6391</v>
      </c>
      <c r="M269" t="s" s="0">
        <v>6392</v>
      </c>
      <c r="N269" t="s" s="0">
        <v>6393</v>
      </c>
      <c r="O269" t="s" s="0">
        <v>6394</v>
      </c>
      <c r="P269" t="s" s="0">
        <v>6395</v>
      </c>
      <c r="Q269" t="s" s="0">
        <v>87</v>
      </c>
      <c r="R269" t="s" s="0">
        <v>81</v>
      </c>
      <c r="S269" t="s" s="0">
        <v>81</v>
      </c>
      <c r="T269" t="s" s="0">
        <v>81</v>
      </c>
      <c r="U269" t="s" s="0">
        <v>81</v>
      </c>
      <c r="V269" t="s" s="0">
        <v>6396</v>
      </c>
      <c r="W269" t="s" s="0">
        <v>2564</v>
      </c>
      <c r="X269" t="s" s="0">
        <v>81</v>
      </c>
      <c r="Y269" t="s" s="0">
        <v>81</v>
      </c>
      <c r="Z269" t="s" s="0">
        <v>90</v>
      </c>
      <c r="AA269" t="s" s="0">
        <v>91</v>
      </c>
      <c r="AB269" t="s" s="0">
        <v>81</v>
      </c>
      <c r="AC269" t="s" s="0">
        <v>81</v>
      </c>
      <c r="AD269" t="s" s="0">
        <v>81</v>
      </c>
      <c r="AE269" t="s" s="0">
        <v>81</v>
      </c>
      <c r="AF269" t="s" s="0">
        <v>81</v>
      </c>
      <c r="AG269" t="s" s="0">
        <v>6397</v>
      </c>
      <c r="AH269" t="s" s="0">
        <v>6398</v>
      </c>
      <c r="AI269" t="s" s="0">
        <v>6399</v>
      </c>
      <c r="AJ269" t="s" s="0">
        <v>6400</v>
      </c>
      <c r="AK269" t="s" s="0">
        <v>81</v>
      </c>
      <c r="AL269" t="s" s="0">
        <v>914</v>
      </c>
      <c r="AM269" t="s" s="0">
        <v>196</v>
      </c>
      <c r="AN269" t="s" s="0">
        <v>175</v>
      </c>
      <c r="AO269" t="s" s="0">
        <v>77</v>
      </c>
      <c r="AP269" t="s" s="0">
        <v>97</v>
      </c>
      <c r="AQ269" t="s" s="0">
        <v>2570</v>
      </c>
      <c r="AR269" t="s" s="0">
        <v>2571</v>
      </c>
      <c r="AS269" t="s" s="0">
        <v>2572</v>
      </c>
      <c r="AT269" t="s" s="0">
        <v>2573</v>
      </c>
      <c r="AU269" t="s" s="0">
        <v>2574</v>
      </c>
      <c r="AV269" t="s" s="0">
        <v>81</v>
      </c>
      <c r="AW269" t="s" s="0">
        <v>2575</v>
      </c>
      <c r="AX269" t="s" s="0">
        <v>2576</v>
      </c>
      <c r="AY269" t="s" s="0">
        <v>184</v>
      </c>
      <c r="AZ269" t="s" s="0">
        <v>185</v>
      </c>
      <c r="BA269" t="s" s="0">
        <v>890</v>
      </c>
      <c r="BB269" t="s" s="0">
        <v>316</v>
      </c>
      <c r="BC269" t="s" s="0">
        <v>81</v>
      </c>
      <c r="BD269" t="s" s="0">
        <v>81</v>
      </c>
      <c r="BE269" t="s" s="0">
        <v>81</v>
      </c>
      <c r="BF269" t="s" s="0">
        <v>81</v>
      </c>
      <c r="BG269" t="s" s="0">
        <v>81</v>
      </c>
      <c r="BH269" t="s" s="0">
        <v>81</v>
      </c>
      <c r="BI269" t="s" s="0">
        <v>6401</v>
      </c>
      <c r="BJ269" t="s" s="0">
        <v>6402</v>
      </c>
      <c r="BK269" t="s" s="532">
        <f>HYPERLINK("http://dx.doi.org/10.31083/j.fbl2906220","http://dx.doi.org/10.31083/j.fbl2906220")</f>
        <v>6403</v>
      </c>
      <c r="BL269" t="s" s="0">
        <v>81</v>
      </c>
      <c r="BM269" t="s" s="0">
        <v>81</v>
      </c>
      <c r="BN269" t="s" s="0">
        <v>134</v>
      </c>
      <c r="BO269" t="s" s="0">
        <v>2581</v>
      </c>
      <c r="BP269" t="s" s="0">
        <v>2581</v>
      </c>
      <c r="BQ269" t="s" s="0">
        <v>6404</v>
      </c>
      <c r="BR269" t="s" s="0">
        <v>6405</v>
      </c>
      <c r="BS269" t="s" s="0">
        <v>6406</v>
      </c>
      <c r="BT269" t="s" s="533">
        <f>HYPERLINK("https://www.webofscience.com/wos/woscc/full-record/WOS:001261057800029","View Record in Web of Science")</f>
        <v>114</v>
      </c>
      <c r="BU269" t="s" s="0">
        <v>301</v>
      </c>
      <c r="BV269" t="s" s="0">
        <v>81</v>
      </c>
      <c r="BW269" t="s" s="0">
        <v>81</v>
      </c>
      <c r="BX269" t="s" s="0">
        <v>116</v>
      </c>
    </row>
    <row r="270">
      <c r="A270" t="s" s="0">
        <v>77</v>
      </c>
      <c r="B270" t="s" s="0">
        <v>77</v>
      </c>
      <c r="C270" t="s" s="0">
        <v>104</v>
      </c>
      <c r="D270" t="s" s="0">
        <v>77</v>
      </c>
      <c r="E270" t="s" s="0">
        <v>6407</v>
      </c>
      <c r="F270" t="s" s="0">
        <v>6408</v>
      </c>
      <c r="G270" t="s" s="0">
        <v>6409</v>
      </c>
      <c r="H270" t="s" s="0">
        <v>81</v>
      </c>
      <c r="I270" t="s" s="0">
        <v>82</v>
      </c>
      <c r="J270" t="s" s="0">
        <v>6410</v>
      </c>
      <c r="K270" t="s" s="0">
        <v>6411</v>
      </c>
      <c r="L270" t="s" s="0">
        <v>81</v>
      </c>
      <c r="M270" t="s" s="0">
        <v>81</v>
      </c>
      <c r="N270" t="s" s="0">
        <v>81</v>
      </c>
      <c r="O270" t="s" s="0">
        <v>6412</v>
      </c>
      <c r="P270" t="s" s="0">
        <v>6413</v>
      </c>
      <c r="Q270" t="s" s="0">
        <v>87</v>
      </c>
      <c r="R270" t="s" s="0">
        <v>81</v>
      </c>
      <c r="S270" t="s" s="0">
        <v>81</v>
      </c>
      <c r="T270" t="s" s="0">
        <v>81</v>
      </c>
      <c r="U270" t="s" s="0">
        <v>81</v>
      </c>
      <c r="V270" t="s" s="0">
        <v>6414</v>
      </c>
      <c r="W270" t="s" s="0">
        <v>6415</v>
      </c>
      <c r="X270" t="s" s="0">
        <v>81</v>
      </c>
      <c r="Y270" t="s" s="0">
        <v>81</v>
      </c>
      <c r="Z270" t="s" s="0">
        <v>90</v>
      </c>
      <c r="AA270" t="s" s="0">
        <v>91</v>
      </c>
      <c r="AB270" t="s" s="0">
        <v>81</v>
      </c>
      <c r="AC270" t="s" s="0">
        <v>81</v>
      </c>
      <c r="AD270" t="s" s="0">
        <v>81</v>
      </c>
      <c r="AE270" t="s" s="0">
        <v>81</v>
      </c>
      <c r="AF270" t="s" s="0">
        <v>81</v>
      </c>
      <c r="AG270" t="s" s="0">
        <v>6416</v>
      </c>
      <c r="AH270" t="s" s="0">
        <v>6417</v>
      </c>
      <c r="AI270" t="s" s="0">
        <v>6418</v>
      </c>
      <c r="AJ270" t="s" s="0">
        <v>6419</v>
      </c>
      <c r="AK270" t="s" s="0">
        <v>81</v>
      </c>
      <c r="AL270" t="s" s="0">
        <v>4581</v>
      </c>
      <c r="AM270" t="s" s="0">
        <v>434</v>
      </c>
      <c r="AN270" t="s" s="0">
        <v>252</v>
      </c>
      <c r="AO270" t="s" s="0">
        <v>196</v>
      </c>
      <c r="AP270" t="s" s="0">
        <v>104</v>
      </c>
      <c r="AQ270" t="s" s="0">
        <v>284</v>
      </c>
      <c r="AR270" t="s" s="0">
        <v>285</v>
      </c>
      <c r="AS270" t="s" s="0">
        <v>286</v>
      </c>
      <c r="AT270" t="s" s="0">
        <v>81</v>
      </c>
      <c r="AU270" t="s" s="0">
        <v>6420</v>
      </c>
      <c r="AV270" t="s" s="0">
        <v>81</v>
      </c>
      <c r="AW270" t="s" s="0">
        <v>6415</v>
      </c>
      <c r="AX270" t="s" s="0">
        <v>6421</v>
      </c>
      <c r="AY270" t="s" s="0">
        <v>4259</v>
      </c>
      <c r="AZ270" t="s" s="0">
        <v>260</v>
      </c>
      <c r="BA270" t="s" s="0">
        <v>486</v>
      </c>
      <c r="BB270" t="s" s="0">
        <v>134</v>
      </c>
      <c r="BC270" t="s" s="0">
        <v>81</v>
      </c>
      <c r="BD270" t="s" s="0">
        <v>81</v>
      </c>
      <c r="BE270" t="s" s="0">
        <v>81</v>
      </c>
      <c r="BF270" t="s" s="0">
        <v>81</v>
      </c>
      <c r="BG270" t="s" s="0">
        <v>81</v>
      </c>
      <c r="BH270" t="s" s="0">
        <v>81</v>
      </c>
      <c r="BI270" t="s" s="0">
        <v>6422</v>
      </c>
      <c r="BJ270" t="s" s="0">
        <v>6423</v>
      </c>
      <c r="BK270" t="s" s="534">
        <f>HYPERLINK("http://dx.doi.org/10.3390/metabo13121204","http://dx.doi.org/10.3390/metabo13121204")</f>
        <v>6424</v>
      </c>
      <c r="BL270" t="s" s="0">
        <v>81</v>
      </c>
      <c r="BM270" t="s" s="0">
        <v>81</v>
      </c>
      <c r="BN270" t="s" s="0">
        <v>222</v>
      </c>
      <c r="BO270" t="s" s="0">
        <v>6425</v>
      </c>
      <c r="BP270" t="s" s="0">
        <v>6425</v>
      </c>
      <c r="BQ270" t="s" s="0">
        <v>6426</v>
      </c>
      <c r="BR270" t="s" s="0">
        <v>6427</v>
      </c>
      <c r="BS270" t="s" s="0">
        <v>6428</v>
      </c>
      <c r="BT270" t="s" s="535">
        <f>HYPERLINK("https://www.webofscience.com/wos/woscc/full-record/WOS:001130571500001","View Record in Web of Science")</f>
        <v>114</v>
      </c>
      <c r="BU270" t="s" s="0">
        <v>301</v>
      </c>
      <c r="BV270" t="s" s="0">
        <v>81</v>
      </c>
      <c r="BW270" t="s" s="0">
        <v>81</v>
      </c>
      <c r="BX270" t="s" s="0">
        <v>116</v>
      </c>
    </row>
    <row r="271">
      <c r="A271" t="s" s="0">
        <v>77</v>
      </c>
      <c r="B271" t="s" s="0">
        <v>77</v>
      </c>
      <c r="C271" t="s" s="0">
        <v>77</v>
      </c>
      <c r="D271" t="s" s="0">
        <v>77</v>
      </c>
      <c r="E271" t="s" s="0">
        <v>6429</v>
      </c>
      <c r="F271" t="s" s="0">
        <v>6430</v>
      </c>
      <c r="G271" t="s" s="0">
        <v>6431</v>
      </c>
      <c r="H271" t="s" s="0">
        <v>81</v>
      </c>
      <c r="I271" t="s" s="0">
        <v>82</v>
      </c>
      <c r="J271" t="s" s="0">
        <v>6432</v>
      </c>
      <c r="K271" t="s" s="0">
        <v>6433</v>
      </c>
      <c r="L271" t="s" s="0">
        <v>81</v>
      </c>
      <c r="M271" t="s" s="0">
        <v>81</v>
      </c>
      <c r="N271" t="s" s="0">
        <v>81</v>
      </c>
      <c r="O271" t="s" s="0">
        <v>6434</v>
      </c>
      <c r="P271" t="s" s="0">
        <v>6435</v>
      </c>
      <c r="Q271" t="s" s="0">
        <v>87</v>
      </c>
      <c r="R271" t="s" s="0">
        <v>81</v>
      </c>
      <c r="S271" t="s" s="0">
        <v>81</v>
      </c>
      <c r="T271" t="s" s="0">
        <v>81</v>
      </c>
      <c r="U271" t="s" s="0">
        <v>81</v>
      </c>
      <c r="V271" t="s" s="0">
        <v>6436</v>
      </c>
      <c r="W271" t="s" s="0">
        <v>1602</v>
      </c>
      <c r="X271" t="s" s="0">
        <v>81</v>
      </c>
      <c r="Y271" t="s" s="0">
        <v>81</v>
      </c>
      <c r="Z271" t="s" s="0">
        <v>90</v>
      </c>
      <c r="AA271" t="s" s="0">
        <v>91</v>
      </c>
      <c r="AB271" t="s" s="0">
        <v>81</v>
      </c>
      <c r="AC271" t="s" s="0">
        <v>81</v>
      </c>
      <c r="AD271" t="s" s="0">
        <v>81</v>
      </c>
      <c r="AE271" t="s" s="0">
        <v>81</v>
      </c>
      <c r="AF271" t="s" s="0">
        <v>81</v>
      </c>
      <c r="AG271" t="s" s="0">
        <v>6437</v>
      </c>
      <c r="AH271" t="s" s="0">
        <v>6438</v>
      </c>
      <c r="AI271" t="s" s="0">
        <v>81</v>
      </c>
      <c r="AJ271" t="s" s="0">
        <v>6439</v>
      </c>
      <c r="AK271" t="s" s="0">
        <v>81</v>
      </c>
      <c r="AL271" t="s" s="0">
        <v>1684</v>
      </c>
      <c r="AM271" t="s" s="0">
        <v>175</v>
      </c>
      <c r="AN271" t="s" s="0">
        <v>133</v>
      </c>
      <c r="AO271" t="s" s="0">
        <v>97</v>
      </c>
      <c r="AP271" t="s" s="0">
        <v>97</v>
      </c>
      <c r="AQ271" t="s" s="0">
        <v>1608</v>
      </c>
      <c r="AR271" t="s" s="0">
        <v>1609</v>
      </c>
      <c r="AS271" t="s" s="0">
        <v>1610</v>
      </c>
      <c r="AT271" t="s" s="0">
        <v>1611</v>
      </c>
      <c r="AU271" t="s" s="0">
        <v>1612</v>
      </c>
      <c r="AV271" t="s" s="0">
        <v>81</v>
      </c>
      <c r="AW271" t="s" s="0">
        <v>1613</v>
      </c>
      <c r="AX271" t="s" s="0">
        <v>1614</v>
      </c>
      <c r="AY271" t="s" s="0">
        <v>675</v>
      </c>
      <c r="AZ271" t="s" s="0">
        <v>103</v>
      </c>
      <c r="BA271" t="s" s="0">
        <v>5841</v>
      </c>
      <c r="BB271" t="s" s="0">
        <v>81</v>
      </c>
      <c r="BC271" t="s" s="0">
        <v>81</v>
      </c>
      <c r="BD271" t="s" s="0">
        <v>81</v>
      </c>
      <c r="BE271" t="s" s="0">
        <v>81</v>
      </c>
      <c r="BF271" t="s" s="0">
        <v>81</v>
      </c>
      <c r="BG271" t="s" s="0">
        <v>81</v>
      </c>
      <c r="BH271" t="s" s="0">
        <v>81</v>
      </c>
      <c r="BI271" t="s" s="0">
        <v>6440</v>
      </c>
      <c r="BJ271" t="s" s="0">
        <v>6441</v>
      </c>
      <c r="BK271" t="s" s="536">
        <f>HYPERLINK("http://dx.doi.org/10.1016/j.ijmedinf.2026.106321","http://dx.doi.org/10.1016/j.ijmedinf.2026.106321")</f>
        <v>6442</v>
      </c>
      <c r="BL271" t="s" s="0">
        <v>81</v>
      </c>
      <c r="BM271" t="s" s="0">
        <v>2108</v>
      </c>
      <c r="BN271" t="s" s="0">
        <v>486</v>
      </c>
      <c r="BO271" t="s" s="0">
        <v>1619</v>
      </c>
      <c r="BP271" t="s" s="0">
        <v>1620</v>
      </c>
      <c r="BQ271" t="s" s="0">
        <v>6443</v>
      </c>
      <c r="BR271" t="s" s="0">
        <v>6444</v>
      </c>
      <c r="BS271" t="s" s="0">
        <v>6445</v>
      </c>
      <c r="BT271" t="s" s="537">
        <f>HYPERLINK("https://www.webofscience.com/wos/woscc/full-record/WOS:001686404300001","View Record in Web of Science")</f>
        <v>114</v>
      </c>
      <c r="BU271" t="s" s="0">
        <v>81</v>
      </c>
      <c r="BV271" t="s" s="0">
        <v>81</v>
      </c>
      <c r="BW271" t="s" s="0">
        <v>81</v>
      </c>
      <c r="BX271" t="s" s="0">
        <v>116</v>
      </c>
    </row>
    <row r="272">
      <c r="A272" t="s" s="0">
        <v>77</v>
      </c>
      <c r="B272" t="s" s="0">
        <v>77</v>
      </c>
      <c r="C272" t="s" s="0">
        <v>175</v>
      </c>
      <c r="D272" t="s" s="0">
        <v>77</v>
      </c>
      <c r="E272" t="s" s="0">
        <v>6446</v>
      </c>
      <c r="F272" t="s" s="0">
        <v>6447</v>
      </c>
      <c r="G272" t="s" s="0">
        <v>6448</v>
      </c>
      <c r="H272" t="s" s="0">
        <v>81</v>
      </c>
      <c r="I272" t="s" s="0">
        <v>82</v>
      </c>
      <c r="J272" t="s" s="0">
        <v>6449</v>
      </c>
      <c r="K272" t="s" s="0">
        <v>6450</v>
      </c>
      <c r="L272" t="s" s="0">
        <v>81</v>
      </c>
      <c r="M272" t="s" s="0">
        <v>81</v>
      </c>
      <c r="N272" t="s" s="0">
        <v>81</v>
      </c>
      <c r="O272" t="s" s="0">
        <v>6451</v>
      </c>
      <c r="P272" t="s" s="0">
        <v>6452</v>
      </c>
      <c r="Q272" t="s" s="0">
        <v>87</v>
      </c>
      <c r="R272" t="s" s="0">
        <v>81</v>
      </c>
      <c r="S272" t="s" s="0">
        <v>81</v>
      </c>
      <c r="T272" t="s" s="0">
        <v>81</v>
      </c>
      <c r="U272" t="s" s="0">
        <v>81</v>
      </c>
      <c r="V272" t="s" s="0">
        <v>6453</v>
      </c>
      <c r="W272" t="s" s="0">
        <v>6454</v>
      </c>
      <c r="X272" t="s" s="0">
        <v>81</v>
      </c>
      <c r="Y272" t="s" s="0">
        <v>81</v>
      </c>
      <c r="Z272" t="s" s="0">
        <v>90</v>
      </c>
      <c r="AA272" t="s" s="0">
        <v>91</v>
      </c>
      <c r="AB272" t="s" s="0">
        <v>81</v>
      </c>
      <c r="AC272" t="s" s="0">
        <v>81</v>
      </c>
      <c r="AD272" t="s" s="0">
        <v>81</v>
      </c>
      <c r="AE272" t="s" s="0">
        <v>81</v>
      </c>
      <c r="AF272" t="s" s="0">
        <v>81</v>
      </c>
      <c r="AG272" t="s" s="0">
        <v>6455</v>
      </c>
      <c r="AH272" t="s" s="0">
        <v>6456</v>
      </c>
      <c r="AI272" t="s" s="0">
        <v>6457</v>
      </c>
      <c r="AJ272" t="s" s="0">
        <v>6458</v>
      </c>
      <c r="AK272" t="s" s="0">
        <v>81</v>
      </c>
      <c r="AL272" t="s" s="0">
        <v>398</v>
      </c>
      <c r="AM272" t="s" s="0">
        <v>486</v>
      </c>
      <c r="AN272" t="s" s="0">
        <v>104</v>
      </c>
      <c r="AO272" t="s" s="0">
        <v>77</v>
      </c>
      <c r="AP272" t="s" s="0">
        <v>381</v>
      </c>
      <c r="AQ272" t="s" s="0">
        <v>368</v>
      </c>
      <c r="AR272" t="s" s="0">
        <v>369</v>
      </c>
      <c r="AS272" t="s" s="0">
        <v>370</v>
      </c>
      <c r="AT272" t="s" s="0">
        <v>81</v>
      </c>
      <c r="AU272" t="s" s="0">
        <v>6459</v>
      </c>
      <c r="AV272" t="s" s="0">
        <v>81</v>
      </c>
      <c r="AW272" t="s" s="0">
        <v>6460</v>
      </c>
      <c r="AX272" t="s" s="0">
        <v>6461</v>
      </c>
      <c r="AY272" t="s" s="0">
        <v>6462</v>
      </c>
      <c r="AZ272" t="s" s="0">
        <v>185</v>
      </c>
      <c r="BA272" t="s" s="0">
        <v>191</v>
      </c>
      <c r="BB272" t="s" s="0">
        <v>81</v>
      </c>
      <c r="BC272" t="s" s="0">
        <v>81</v>
      </c>
      <c r="BD272" t="s" s="0">
        <v>81</v>
      </c>
      <c r="BE272" t="s" s="0">
        <v>81</v>
      </c>
      <c r="BF272" t="s" s="0">
        <v>81</v>
      </c>
      <c r="BG272" t="s" s="0">
        <v>81</v>
      </c>
      <c r="BH272" t="s" s="0">
        <v>81</v>
      </c>
      <c r="BI272" t="s" s="0">
        <v>6463</v>
      </c>
      <c r="BJ272" t="s" s="0">
        <v>6464</v>
      </c>
      <c r="BK272" t="s" s="538">
        <f>HYPERLINK("http://dx.doi.org/10.3389/fmolb.2024.1389325","http://dx.doi.org/10.3389/fmolb.2024.1389325")</f>
        <v>6465</v>
      </c>
      <c r="BL272" t="s" s="0">
        <v>81</v>
      </c>
      <c r="BM272" t="s" s="0">
        <v>81</v>
      </c>
      <c r="BN272" t="s" s="0">
        <v>486</v>
      </c>
      <c r="BO272" t="s" s="0">
        <v>6425</v>
      </c>
      <c r="BP272" t="s" s="0">
        <v>6425</v>
      </c>
      <c r="BQ272" t="s" s="0">
        <v>6466</v>
      </c>
      <c r="BR272" t="s" s="0">
        <v>6467</v>
      </c>
      <c r="BS272" t="s" s="0">
        <v>6468</v>
      </c>
      <c r="BT272" t="s" s="539">
        <f>HYPERLINK("https://www.webofscience.com/wos/woscc/full-record/WOS:001247224700001","View Record in Web of Science")</f>
        <v>114</v>
      </c>
      <c r="BU272" t="s" s="0">
        <v>301</v>
      </c>
      <c r="BV272" t="s" s="0">
        <v>81</v>
      </c>
      <c r="BW272" t="s" s="0">
        <v>81</v>
      </c>
      <c r="BX272" t="s" s="0">
        <v>116</v>
      </c>
    </row>
    <row r="273">
      <c r="A273" t="s" s="0">
        <v>77</v>
      </c>
      <c r="B273" t="s" s="0">
        <v>77</v>
      </c>
      <c r="C273" t="s" s="0">
        <v>77</v>
      </c>
      <c r="D273" t="s" s="0">
        <v>77</v>
      </c>
      <c r="E273" t="s" s="0">
        <v>6469</v>
      </c>
      <c r="F273" t="s" s="0">
        <v>6470</v>
      </c>
      <c r="G273" t="s" s="0">
        <v>6471</v>
      </c>
      <c r="H273" t="s" s="0">
        <v>81</v>
      </c>
      <c r="I273" t="s" s="0">
        <v>82</v>
      </c>
      <c r="J273" t="s" s="0">
        <v>6472</v>
      </c>
      <c r="K273" t="s" s="0">
        <v>6473</v>
      </c>
      <c r="L273" t="s" s="0">
        <v>6474</v>
      </c>
      <c r="M273" t="s" s="0">
        <v>6475</v>
      </c>
      <c r="N273" t="s" s="0">
        <v>6476</v>
      </c>
      <c r="O273" t="s" s="0">
        <v>6477</v>
      </c>
      <c r="P273" t="s" s="0">
        <v>6478</v>
      </c>
      <c r="Q273" t="s" s="0">
        <v>87</v>
      </c>
      <c r="R273" t="s" s="0">
        <v>81</v>
      </c>
      <c r="S273" t="s" s="0">
        <v>81</v>
      </c>
      <c r="T273" t="s" s="0">
        <v>81</v>
      </c>
      <c r="U273" t="s" s="0">
        <v>81</v>
      </c>
      <c r="V273" t="s" s="0">
        <v>6479</v>
      </c>
      <c r="W273" t="s" s="0">
        <v>910</v>
      </c>
      <c r="X273" t="s" s="0">
        <v>81</v>
      </c>
      <c r="Y273" t="s" s="0">
        <v>81</v>
      </c>
      <c r="Z273" t="s" s="0">
        <v>90</v>
      </c>
      <c r="AA273" t="s" s="0">
        <v>91</v>
      </c>
      <c r="AB273" t="s" s="0">
        <v>81</v>
      </c>
      <c r="AC273" t="s" s="0">
        <v>81</v>
      </c>
      <c r="AD273" t="s" s="0">
        <v>81</v>
      </c>
      <c r="AE273" t="s" s="0">
        <v>81</v>
      </c>
      <c r="AF273" t="s" s="0">
        <v>81</v>
      </c>
      <c r="AG273" t="s" s="0">
        <v>6480</v>
      </c>
      <c r="AH273" t="s" s="0">
        <v>6481</v>
      </c>
      <c r="AI273" t="s" s="0">
        <v>81</v>
      </c>
      <c r="AJ273" t="s" s="0">
        <v>81</v>
      </c>
      <c r="AK273" t="s" s="0">
        <v>81</v>
      </c>
      <c r="AL273" t="s" s="0">
        <v>405</v>
      </c>
      <c r="AM273" t="s" s="0">
        <v>77</v>
      </c>
      <c r="AN273" t="s" s="0">
        <v>77</v>
      </c>
      <c r="AO273" t="s" s="0">
        <v>77</v>
      </c>
      <c r="AP273" t="s" s="0">
        <v>77</v>
      </c>
      <c r="AQ273" t="s" s="0">
        <v>915</v>
      </c>
      <c r="AR273" t="s" s="0">
        <v>916</v>
      </c>
      <c r="AS273" t="s" s="0">
        <v>917</v>
      </c>
      <c r="AT273" t="s" s="0">
        <v>918</v>
      </c>
      <c r="AU273" t="s" s="0">
        <v>81</v>
      </c>
      <c r="AV273" t="s" s="0">
        <v>81</v>
      </c>
      <c r="AW273" t="s" s="0">
        <v>919</v>
      </c>
      <c r="AX273" t="s" s="0">
        <v>920</v>
      </c>
      <c r="AY273" t="s" s="0">
        <v>2257</v>
      </c>
      <c r="AZ273" t="s" s="0">
        <v>103</v>
      </c>
      <c r="BA273" t="s" s="0">
        <v>925</v>
      </c>
      <c r="BB273" t="s" s="0">
        <v>97</v>
      </c>
      <c r="BC273" t="s" s="0">
        <v>81</v>
      </c>
      <c r="BD273" t="s" s="0">
        <v>81</v>
      </c>
      <c r="BE273" t="s" s="0">
        <v>81</v>
      </c>
      <c r="BF273" t="s" s="0">
        <v>81</v>
      </c>
      <c r="BG273" t="s" s="0">
        <v>81</v>
      </c>
      <c r="BH273" t="s" s="0">
        <v>81</v>
      </c>
      <c r="BI273" t="s" s="0">
        <v>6482</v>
      </c>
      <c r="BJ273" t="s" s="0">
        <v>6483</v>
      </c>
      <c r="BK273" t="s" s="540">
        <f>HYPERLINK("http://dx.doi.org/10.1038/s41598-026-59740-z","http://dx.doi.org/10.1038/s41598-026-59740-z")</f>
        <v>6484</v>
      </c>
      <c r="BL273" t="s" s="0">
        <v>81</v>
      </c>
      <c r="BM273" t="s" s="0">
        <v>81</v>
      </c>
      <c r="BN273" t="s" s="0">
        <v>291</v>
      </c>
      <c r="BO273" t="s" s="0">
        <v>926</v>
      </c>
      <c r="BP273" t="s" s="0">
        <v>927</v>
      </c>
      <c r="BQ273" t="s" s="0">
        <v>6485</v>
      </c>
      <c r="BR273" t="s" s="0">
        <v>6486</v>
      </c>
      <c r="BS273" t="s" s="0">
        <v>6487</v>
      </c>
      <c r="BT273" t="s" s="541">
        <f>HYPERLINK("https://www.webofscience.com/wos/woscc/full-record/WOS:001837740000006","View Record in Web of Science")</f>
        <v>114</v>
      </c>
      <c r="BU273" t="s" s="0">
        <v>6488</v>
      </c>
      <c r="BV273" t="s" s="0">
        <v>81</v>
      </c>
      <c r="BW273" t="s" s="0">
        <v>81</v>
      </c>
      <c r="BX273" t="s" s="0">
        <v>116</v>
      </c>
    </row>
    <row r="274">
      <c r="A274" t="s" s="0">
        <v>77</v>
      </c>
      <c r="B274" t="s" s="0">
        <v>77</v>
      </c>
      <c r="C274" t="s" s="0">
        <v>156</v>
      </c>
      <c r="D274" t="s" s="0">
        <v>77</v>
      </c>
      <c r="E274" t="s" s="0">
        <v>6489</v>
      </c>
      <c r="F274" t="s" s="0">
        <v>6490</v>
      </c>
      <c r="G274" t="s" s="0">
        <v>6491</v>
      </c>
      <c r="H274" t="s" s="0">
        <v>81</v>
      </c>
      <c r="I274" t="s" s="0">
        <v>82</v>
      </c>
      <c r="J274" t="s" s="0">
        <v>6492</v>
      </c>
      <c r="K274" t="s" s="0">
        <v>6493</v>
      </c>
      <c r="L274" t="s" s="0">
        <v>6494</v>
      </c>
      <c r="M274" t="s" s="0">
        <v>6495</v>
      </c>
      <c r="N274" t="s" s="0">
        <v>6496</v>
      </c>
      <c r="O274" t="s" s="0">
        <v>6497</v>
      </c>
      <c r="P274" t="s" s="0">
        <v>6498</v>
      </c>
      <c r="Q274" t="s" s="0">
        <v>87</v>
      </c>
      <c r="R274" t="s" s="0">
        <v>81</v>
      </c>
      <c r="S274" t="s" s="0">
        <v>81</v>
      </c>
      <c r="T274" t="s" s="0">
        <v>81</v>
      </c>
      <c r="U274" t="s" s="0">
        <v>81</v>
      </c>
      <c r="V274" t="s" s="0">
        <v>6499</v>
      </c>
      <c r="W274" t="s" s="0">
        <v>2070</v>
      </c>
      <c r="X274" t="s" s="0">
        <v>81</v>
      </c>
      <c r="Y274" t="s" s="0">
        <v>81</v>
      </c>
      <c r="Z274" t="s" s="0">
        <v>90</v>
      </c>
      <c r="AA274" t="s" s="0">
        <v>91</v>
      </c>
      <c r="AB274" t="s" s="0">
        <v>81</v>
      </c>
      <c r="AC274" t="s" s="0">
        <v>81</v>
      </c>
      <c r="AD274" t="s" s="0">
        <v>81</v>
      </c>
      <c r="AE274" t="s" s="0">
        <v>81</v>
      </c>
      <c r="AF274" t="s" s="0">
        <v>81</v>
      </c>
      <c r="AG274" t="s" s="0">
        <v>6500</v>
      </c>
      <c r="AH274" t="s" s="0">
        <v>81</v>
      </c>
      <c r="AI274" t="s" s="0">
        <v>6501</v>
      </c>
      <c r="AJ274" t="s" s="0">
        <v>6502</v>
      </c>
      <c r="AK274" t="s" s="0">
        <v>81</v>
      </c>
      <c r="AL274" t="s" s="0">
        <v>97</v>
      </c>
      <c r="AM274" t="s" s="0">
        <v>97</v>
      </c>
      <c r="AN274" t="s" s="0">
        <v>196</v>
      </c>
      <c r="AO274" t="s" s="0">
        <v>156</v>
      </c>
      <c r="AP274" t="s" s="0">
        <v>316</v>
      </c>
      <c r="AQ274" t="s" s="0">
        <v>177</v>
      </c>
      <c r="AR274" t="s" s="0">
        <v>178</v>
      </c>
      <c r="AS274" t="s" s="0">
        <v>179</v>
      </c>
      <c r="AT274" t="s" s="0">
        <v>2073</v>
      </c>
      <c r="AU274" t="s" s="0">
        <v>2074</v>
      </c>
      <c r="AV274" t="s" s="0">
        <v>81</v>
      </c>
      <c r="AW274" t="s" s="0">
        <v>2075</v>
      </c>
      <c r="AX274" t="s" s="0">
        <v>2076</v>
      </c>
      <c r="AY274" t="s" s="0">
        <v>143</v>
      </c>
      <c r="AZ274" t="s" s="0">
        <v>103</v>
      </c>
      <c r="BA274" t="s" s="0">
        <v>2302</v>
      </c>
      <c r="BB274" t="s" s="0">
        <v>81</v>
      </c>
      <c r="BC274" t="s" s="0">
        <v>81</v>
      </c>
      <c r="BD274" t="s" s="0">
        <v>2974</v>
      </c>
      <c r="BE274" t="s" s="0">
        <v>81</v>
      </c>
      <c r="BF274" t="s" s="0">
        <v>81</v>
      </c>
      <c r="BG274" t="s" s="0">
        <v>81</v>
      </c>
      <c r="BH274" t="s" s="0">
        <v>81</v>
      </c>
      <c r="BI274" t="s" s="0">
        <v>6503</v>
      </c>
      <c r="BJ274" t="s" s="0">
        <v>6504</v>
      </c>
      <c r="BK274" t="s" s="542">
        <f>HYPERLINK("http://dx.doi.org/10.1016/j.bspc.2025.109085","http://dx.doi.org/10.1016/j.bspc.2025.109085")</f>
        <v>6505</v>
      </c>
      <c r="BL274" t="s" s="0">
        <v>81</v>
      </c>
      <c r="BM274" t="s" s="0">
        <v>1743</v>
      </c>
      <c r="BN274" t="s" s="0">
        <v>134</v>
      </c>
      <c r="BO274" t="s" s="0">
        <v>2082</v>
      </c>
      <c r="BP274" t="s" s="0">
        <v>1003</v>
      </c>
      <c r="BQ274" t="s" s="0">
        <v>6506</v>
      </c>
      <c r="BR274" t="s" s="0">
        <v>81</v>
      </c>
      <c r="BS274" t="s" s="0">
        <v>6507</v>
      </c>
      <c r="BT274" t="s" s="543">
        <f>HYPERLINK("https://www.webofscience.com/wos/woscc/full-record/WOS:001616529000010","View Record in Web of Science")</f>
        <v>114</v>
      </c>
      <c r="BU274" t="s" s="0">
        <v>1360</v>
      </c>
      <c r="BV274" t="s" s="0">
        <v>81</v>
      </c>
      <c r="BW274" t="s" s="0">
        <v>81</v>
      </c>
      <c r="BX274" t="s" s="0">
        <v>116</v>
      </c>
    </row>
    <row r="275">
      <c r="A275" t="s" s="0">
        <v>77</v>
      </c>
      <c r="B275" t="s" s="0">
        <v>77</v>
      </c>
      <c r="C275" t="s" s="0">
        <v>77</v>
      </c>
      <c r="D275" t="s" s="0">
        <v>77</v>
      </c>
      <c r="E275" t="s" s="0">
        <v>6508</v>
      </c>
      <c r="F275" t="s" s="0">
        <v>6509</v>
      </c>
      <c r="G275" t="s" s="0">
        <v>6510</v>
      </c>
      <c r="H275" t="s" s="0">
        <v>81</v>
      </c>
      <c r="I275" t="s" s="0">
        <v>82</v>
      </c>
      <c r="J275" t="s" s="0">
        <v>6511</v>
      </c>
      <c r="K275" t="s" s="0">
        <v>6512</v>
      </c>
      <c r="L275" t="s" s="0">
        <v>6513</v>
      </c>
      <c r="M275" t="s" s="0">
        <v>6513</v>
      </c>
      <c r="N275" t="s" s="0">
        <v>6514</v>
      </c>
      <c r="O275" t="s" s="0">
        <v>6515</v>
      </c>
      <c r="P275" t="s" s="0">
        <v>6516</v>
      </c>
      <c r="Q275" t="s" s="0">
        <v>87</v>
      </c>
      <c r="R275" t="s" s="0">
        <v>81</v>
      </c>
      <c r="S275" t="s" s="0">
        <v>81</v>
      </c>
      <c r="T275" t="s" s="0">
        <v>81</v>
      </c>
      <c r="U275" t="s" s="0">
        <v>81</v>
      </c>
      <c r="V275" t="s" s="0">
        <v>6517</v>
      </c>
      <c r="W275" t="s" s="0">
        <v>910</v>
      </c>
      <c r="X275" t="s" s="0">
        <v>81</v>
      </c>
      <c r="Y275" t="s" s="0">
        <v>81</v>
      </c>
      <c r="Z275" t="s" s="0">
        <v>90</v>
      </c>
      <c r="AA275" t="s" s="0">
        <v>91</v>
      </c>
      <c r="AB275" t="s" s="0">
        <v>81</v>
      </c>
      <c r="AC275" t="s" s="0">
        <v>81</v>
      </c>
      <c r="AD275" t="s" s="0">
        <v>81</v>
      </c>
      <c r="AE275" t="s" s="0">
        <v>81</v>
      </c>
      <c r="AF275" t="s" s="0">
        <v>81</v>
      </c>
      <c r="AG275" t="s" s="0">
        <v>6518</v>
      </c>
      <c r="AH275" t="s" s="0">
        <v>81</v>
      </c>
      <c r="AI275" t="s" s="0">
        <v>6519</v>
      </c>
      <c r="AJ275" t="s" s="0">
        <v>6520</v>
      </c>
      <c r="AK275" t="s" s="0">
        <v>81</v>
      </c>
      <c r="AL275" t="s" s="0">
        <v>96</v>
      </c>
      <c r="AM275" t="s" s="0">
        <v>156</v>
      </c>
      <c r="AN275" t="s" s="0">
        <v>156</v>
      </c>
      <c r="AO275" t="s" s="0">
        <v>156</v>
      </c>
      <c r="AP275" t="s" s="0">
        <v>156</v>
      </c>
      <c r="AQ275" t="s" s="0">
        <v>915</v>
      </c>
      <c r="AR275" t="s" s="0">
        <v>916</v>
      </c>
      <c r="AS275" t="s" s="0">
        <v>917</v>
      </c>
      <c r="AT275" t="s" s="0">
        <v>918</v>
      </c>
      <c r="AU275" t="s" s="0">
        <v>81</v>
      </c>
      <c r="AV275" t="s" s="0">
        <v>81</v>
      </c>
      <c r="AW275" t="s" s="0">
        <v>919</v>
      </c>
      <c r="AX275" t="s" s="0">
        <v>920</v>
      </c>
      <c r="AY275" t="s" s="0">
        <v>6521</v>
      </c>
      <c r="AZ275" t="s" s="0">
        <v>103</v>
      </c>
      <c r="BA275" t="s" s="0">
        <v>925</v>
      </c>
      <c r="BB275" t="s" s="0">
        <v>97</v>
      </c>
      <c r="BC275" t="s" s="0">
        <v>81</v>
      </c>
      <c r="BD275" t="s" s="0">
        <v>81</v>
      </c>
      <c r="BE275" t="s" s="0">
        <v>81</v>
      </c>
      <c r="BF275" t="s" s="0">
        <v>81</v>
      </c>
      <c r="BG275" t="s" s="0">
        <v>81</v>
      </c>
      <c r="BH275" t="s" s="0">
        <v>81</v>
      </c>
      <c r="BI275" t="s" s="0">
        <v>6522</v>
      </c>
      <c r="BJ275" t="s" s="0">
        <v>6523</v>
      </c>
      <c r="BK275" t="s" s="544">
        <f>HYPERLINK("http://dx.doi.org/10.1038/s41598-026-37169-8","http://dx.doi.org/10.1038/s41598-026-37169-8")</f>
        <v>6524</v>
      </c>
      <c r="BL275" t="s" s="0">
        <v>81</v>
      </c>
      <c r="BM275" t="s" s="0">
        <v>81</v>
      </c>
      <c r="BN275" t="s" s="0">
        <v>210</v>
      </c>
      <c r="BO275" t="s" s="0">
        <v>926</v>
      </c>
      <c r="BP275" t="s" s="0">
        <v>927</v>
      </c>
      <c r="BQ275" t="s" s="0">
        <v>6525</v>
      </c>
      <c r="BR275" t="s" s="0">
        <v>6526</v>
      </c>
      <c r="BS275" t="s" s="0">
        <v>6527</v>
      </c>
      <c r="BT275" t="s" s="545">
        <f>HYPERLINK("https://www.webofscience.com/wos/woscc/full-record/WOS:001724057900038","View Record in Web of Science")</f>
        <v>114</v>
      </c>
      <c r="BU275" t="s" s="0">
        <v>301</v>
      </c>
      <c r="BV275" t="s" s="0">
        <v>81</v>
      </c>
      <c r="BW275" t="s" s="0">
        <v>81</v>
      </c>
      <c r="BX275" t="s" s="0">
        <v>116</v>
      </c>
    </row>
    <row r="276">
      <c r="A276" t="s" s="0">
        <v>175</v>
      </c>
      <c r="B276" t="s" s="0">
        <v>77</v>
      </c>
      <c r="C276" t="s" s="0">
        <v>175</v>
      </c>
      <c r="D276" t="s" s="0">
        <v>77</v>
      </c>
      <c r="E276" t="s" s="0">
        <v>6528</v>
      </c>
      <c r="F276" t="s" s="0">
        <v>6529</v>
      </c>
      <c r="G276" t="s" s="0">
        <v>6530</v>
      </c>
      <c r="H276" t="s" s="0">
        <v>81</v>
      </c>
      <c r="I276" t="s" s="0">
        <v>82</v>
      </c>
      <c r="J276" t="s" s="0">
        <v>6531</v>
      </c>
      <c r="K276" t="s" s="0">
        <v>6532</v>
      </c>
      <c r="L276" t="s" s="0">
        <v>6533</v>
      </c>
      <c r="M276" t="s" s="0">
        <v>6534</v>
      </c>
      <c r="N276" t="s" s="0">
        <v>6535</v>
      </c>
      <c r="O276" t="s" s="0">
        <v>6536</v>
      </c>
      <c r="P276" t="s" s="0">
        <v>6537</v>
      </c>
      <c r="Q276" t="s" s="0">
        <v>87</v>
      </c>
      <c r="R276" t="s" s="0">
        <v>81</v>
      </c>
      <c r="S276" t="s" s="0">
        <v>81</v>
      </c>
      <c r="T276" t="s" s="0">
        <v>81</v>
      </c>
      <c r="U276" t="s" s="0">
        <v>81</v>
      </c>
      <c r="V276" t="s" s="0">
        <v>6538</v>
      </c>
      <c r="W276" t="s" s="0">
        <v>6539</v>
      </c>
      <c r="X276" t="s" s="0">
        <v>81</v>
      </c>
      <c r="Y276" t="s" s="0">
        <v>81</v>
      </c>
      <c r="Z276" t="s" s="0">
        <v>90</v>
      </c>
      <c r="AA276" t="s" s="0">
        <v>91</v>
      </c>
      <c r="AB276" t="s" s="0">
        <v>81</v>
      </c>
      <c r="AC276" t="s" s="0">
        <v>81</v>
      </c>
      <c r="AD276" t="s" s="0">
        <v>81</v>
      </c>
      <c r="AE276" t="s" s="0">
        <v>81</v>
      </c>
      <c r="AF276" t="s" s="0">
        <v>81</v>
      </c>
      <c r="AG276" t="s" s="0">
        <v>6540</v>
      </c>
      <c r="AH276" t="s" s="0">
        <v>6541</v>
      </c>
      <c r="AI276" t="s" s="0">
        <v>6542</v>
      </c>
      <c r="AJ276" t="s" s="0">
        <v>6543</v>
      </c>
      <c r="AK276" t="s" s="0">
        <v>81</v>
      </c>
      <c r="AL276" t="s" s="0">
        <v>252</v>
      </c>
      <c r="AM276" t="s" s="0">
        <v>261</v>
      </c>
      <c r="AN276" t="s" s="0">
        <v>486</v>
      </c>
      <c r="AO276" t="s" s="0">
        <v>97</v>
      </c>
      <c r="AP276" t="s" s="0">
        <v>133</v>
      </c>
      <c r="AQ276" t="s" s="0">
        <v>6544</v>
      </c>
      <c r="AR276" t="s" s="0">
        <v>429</v>
      </c>
      <c r="AS276" t="s" s="0">
        <v>6545</v>
      </c>
      <c r="AT276" t="s" s="0">
        <v>6546</v>
      </c>
      <c r="AU276" t="s" s="0">
        <v>6547</v>
      </c>
      <c r="AV276" t="s" s="0">
        <v>81</v>
      </c>
      <c r="AW276" t="s" s="0">
        <v>6548</v>
      </c>
      <c r="AX276" t="s" s="0">
        <v>6549</v>
      </c>
      <c r="AY276" t="s" s="0">
        <v>6550</v>
      </c>
      <c r="AZ276" t="s" s="0">
        <v>185</v>
      </c>
      <c r="BA276" t="s" s="0">
        <v>1883</v>
      </c>
      <c r="BB276" t="s" s="0">
        <v>261</v>
      </c>
      <c r="BC276" t="s" s="0">
        <v>81</v>
      </c>
      <c r="BD276" t="s" s="0">
        <v>81</v>
      </c>
      <c r="BE276" t="s" s="0">
        <v>81</v>
      </c>
      <c r="BF276" t="s" s="0">
        <v>81</v>
      </c>
      <c r="BG276" t="s" s="0">
        <v>6551</v>
      </c>
      <c r="BH276" t="s" s="0">
        <v>6552</v>
      </c>
      <c r="BI276" t="s" s="0">
        <v>81</v>
      </c>
      <c r="BJ276" t="s" s="0">
        <v>6553</v>
      </c>
      <c r="BK276" t="s" s="546">
        <f>HYPERLINK("http://dx.doi.org/10.1007/s10815-024-03178-7","http://dx.doi.org/10.1007/s10815-024-03178-7")</f>
        <v>6554</v>
      </c>
      <c r="BL276" t="s" s="0">
        <v>81</v>
      </c>
      <c r="BM276" t="s" s="0">
        <v>6555</v>
      </c>
      <c r="BN276" t="s" s="0">
        <v>211</v>
      </c>
      <c r="BO276" t="s" s="0">
        <v>6556</v>
      </c>
      <c r="BP276" t="s" s="0">
        <v>6556</v>
      </c>
      <c r="BQ276" t="s" s="0">
        <v>6557</v>
      </c>
      <c r="BR276" t="s" s="0">
        <v>6558</v>
      </c>
      <c r="BS276" t="s" s="0">
        <v>6559</v>
      </c>
      <c r="BT276" t="s" s="547">
        <f>HYPERLINK("https://www.webofscience.com/wos/woscc/full-record/WOS:001263054900003","View Record in Web of Science")</f>
        <v>114</v>
      </c>
      <c r="BU276" t="s" s="0">
        <v>3140</v>
      </c>
      <c r="BV276" t="s" s="0">
        <v>81</v>
      </c>
      <c r="BW276" t="s" s="0">
        <v>81</v>
      </c>
      <c r="BX276" t="s" s="0">
        <v>116</v>
      </c>
    </row>
    <row r="277">
      <c r="A277" t="s" s="0">
        <v>77</v>
      </c>
      <c r="B277" t="s" s="0">
        <v>77</v>
      </c>
      <c r="C277" t="s" s="0">
        <v>77</v>
      </c>
      <c r="D277" t="s" s="0">
        <v>77</v>
      </c>
      <c r="E277" t="s" s="0">
        <v>6560</v>
      </c>
      <c r="F277" t="s" s="0">
        <v>6561</v>
      </c>
      <c r="G277" t="s" s="0">
        <v>6562</v>
      </c>
      <c r="H277" t="s" s="0">
        <v>81</v>
      </c>
      <c r="I277" t="s" s="0">
        <v>82</v>
      </c>
      <c r="J277" t="s" s="0">
        <v>6563</v>
      </c>
      <c r="K277" t="s" s="0">
        <v>6564</v>
      </c>
      <c r="L277" t="s" s="0">
        <v>81</v>
      </c>
      <c r="M277" t="s" s="0">
        <v>81</v>
      </c>
      <c r="N277" t="s" s="0">
        <v>81</v>
      </c>
      <c r="O277" t="s" s="0">
        <v>6565</v>
      </c>
      <c r="P277" t="s" s="0">
        <v>6162</v>
      </c>
      <c r="Q277" t="s" s="0">
        <v>87</v>
      </c>
      <c r="R277" t="s" s="0">
        <v>81</v>
      </c>
      <c r="S277" t="s" s="0">
        <v>81</v>
      </c>
      <c r="T277" t="s" s="0">
        <v>81</v>
      </c>
      <c r="U277" t="s" s="0">
        <v>81</v>
      </c>
      <c r="V277" t="s" s="0">
        <v>6566</v>
      </c>
      <c r="W277" t="s" s="0">
        <v>777</v>
      </c>
      <c r="X277" t="s" s="0">
        <v>81</v>
      </c>
      <c r="Y277" t="s" s="0">
        <v>81</v>
      </c>
      <c r="Z277" t="s" s="0">
        <v>90</v>
      </c>
      <c r="AA277" t="s" s="0">
        <v>91</v>
      </c>
      <c r="AB277" t="s" s="0">
        <v>81</v>
      </c>
      <c r="AC277" t="s" s="0">
        <v>81</v>
      </c>
      <c r="AD277" t="s" s="0">
        <v>81</v>
      </c>
      <c r="AE277" t="s" s="0">
        <v>81</v>
      </c>
      <c r="AF277" t="s" s="0">
        <v>81</v>
      </c>
      <c r="AG277" t="s" s="0">
        <v>6567</v>
      </c>
      <c r="AH277" t="s" s="0">
        <v>81</v>
      </c>
      <c r="AI277" t="s" s="0">
        <v>6568</v>
      </c>
      <c r="AJ277" t="s" s="0">
        <v>81</v>
      </c>
      <c r="AK277" t="s" s="0">
        <v>81</v>
      </c>
      <c r="AL277" t="s" s="0">
        <v>1607</v>
      </c>
      <c r="AM277" t="s" s="0">
        <v>196</v>
      </c>
      <c r="AN277" t="s" s="0">
        <v>196</v>
      </c>
      <c r="AO277" t="s" s="0">
        <v>196</v>
      </c>
      <c r="AP277" t="s" s="0">
        <v>134</v>
      </c>
      <c r="AQ277" t="s" s="0">
        <v>212</v>
      </c>
      <c r="AR277" t="s" s="0">
        <v>429</v>
      </c>
      <c r="AS277" t="s" s="0">
        <v>784</v>
      </c>
      <c r="AT277" t="s" s="0">
        <v>785</v>
      </c>
      <c r="AU277" t="s" s="0">
        <v>786</v>
      </c>
      <c r="AV277" t="s" s="0">
        <v>81</v>
      </c>
      <c r="AW277" t="s" s="0">
        <v>787</v>
      </c>
      <c r="AX277" t="s" s="0">
        <v>788</v>
      </c>
      <c r="AY277" t="s" s="0">
        <v>1489</v>
      </c>
      <c r="AZ277" t="s" s="0">
        <v>290</v>
      </c>
      <c r="BA277" t="s" s="0">
        <v>542</v>
      </c>
      <c r="BB277" t="s" s="0">
        <v>97</v>
      </c>
      <c r="BC277" t="s" s="0">
        <v>81</v>
      </c>
      <c r="BD277" t="s" s="0">
        <v>81</v>
      </c>
      <c r="BE277" t="s" s="0">
        <v>81</v>
      </c>
      <c r="BF277" t="s" s="0">
        <v>81</v>
      </c>
      <c r="BG277" t="s" s="0">
        <v>81</v>
      </c>
      <c r="BH277" t="s" s="0">
        <v>81</v>
      </c>
      <c r="BI277" t="s" s="0">
        <v>6569</v>
      </c>
      <c r="BJ277" t="s" s="0">
        <v>6570</v>
      </c>
      <c r="BK277" t="s" s="548">
        <f>HYPERLINK("http://dx.doi.org/10.1007/s10916-025-02249-1","http://dx.doi.org/10.1007/s10916-025-02249-1")</f>
        <v>6571</v>
      </c>
      <c r="BL277" t="s" s="0">
        <v>81</v>
      </c>
      <c r="BM277" t="s" s="0">
        <v>81</v>
      </c>
      <c r="BN277" t="s" s="0">
        <v>228</v>
      </c>
      <c r="BO277" t="s" s="0">
        <v>792</v>
      </c>
      <c r="BP277" t="s" s="0">
        <v>792</v>
      </c>
      <c r="BQ277" t="s" s="0">
        <v>6572</v>
      </c>
      <c r="BR277" t="s" s="0">
        <v>6573</v>
      </c>
      <c r="BS277" t="s" s="0">
        <v>6574</v>
      </c>
      <c r="BT277" t="s" s="549">
        <f>HYPERLINK("https://www.webofscience.com/wos/woscc/full-record/WOS:001585620900001","View Record in Web of Science")</f>
        <v>114</v>
      </c>
      <c r="BU277" t="s" s="0">
        <v>81</v>
      </c>
      <c r="BV277" t="s" s="0">
        <v>81</v>
      </c>
      <c r="BW277" t="s" s="0">
        <v>81</v>
      </c>
      <c r="BX277" t="s" s="0">
        <v>116</v>
      </c>
    </row>
    <row r="278">
      <c r="A278" t="s" s="0">
        <v>77</v>
      </c>
      <c r="B278" t="s" s="0">
        <v>77</v>
      </c>
      <c r="C278" t="s" s="0">
        <v>77</v>
      </c>
      <c r="D278" t="s" s="0">
        <v>77</v>
      </c>
      <c r="E278" t="s" s="0">
        <v>6575</v>
      </c>
      <c r="F278" t="s" s="0">
        <v>6576</v>
      </c>
      <c r="G278" t="s" s="0">
        <v>6577</v>
      </c>
      <c r="H278" t="s" s="0">
        <v>81</v>
      </c>
      <c r="I278" t="s" s="0">
        <v>82</v>
      </c>
      <c r="J278" t="s" s="0">
        <v>6578</v>
      </c>
      <c r="K278" t="s" s="0">
        <v>6579</v>
      </c>
      <c r="L278" t="s" s="0">
        <v>81</v>
      </c>
      <c r="M278" t="s" s="0">
        <v>81</v>
      </c>
      <c r="N278" t="s" s="0">
        <v>81</v>
      </c>
      <c r="O278" t="s" s="0">
        <v>6580</v>
      </c>
      <c r="P278" t="s" s="0">
        <v>6581</v>
      </c>
      <c r="Q278" t="s" s="0">
        <v>87</v>
      </c>
      <c r="R278" t="s" s="0">
        <v>81</v>
      </c>
      <c r="S278" t="s" s="0">
        <v>81</v>
      </c>
      <c r="T278" t="s" s="0">
        <v>81</v>
      </c>
      <c r="U278" t="s" s="0">
        <v>81</v>
      </c>
      <c r="V278" t="s" s="0">
        <v>6582</v>
      </c>
      <c r="W278" t="s" s="0">
        <v>2492</v>
      </c>
      <c r="X278" t="s" s="0">
        <v>81</v>
      </c>
      <c r="Y278" t="s" s="0">
        <v>81</v>
      </c>
      <c r="Z278" t="s" s="0">
        <v>90</v>
      </c>
      <c r="AA278" t="s" s="0">
        <v>91</v>
      </c>
      <c r="AB278" t="s" s="0">
        <v>81</v>
      </c>
      <c r="AC278" t="s" s="0">
        <v>81</v>
      </c>
      <c r="AD278" t="s" s="0">
        <v>81</v>
      </c>
      <c r="AE278" t="s" s="0">
        <v>81</v>
      </c>
      <c r="AF278" t="s" s="0">
        <v>81</v>
      </c>
      <c r="AG278" t="s" s="0">
        <v>6583</v>
      </c>
      <c r="AH278" t="s" s="0">
        <v>6584</v>
      </c>
      <c r="AI278" t="s" s="0">
        <v>6585</v>
      </c>
      <c r="AJ278" t="s" s="0">
        <v>6586</v>
      </c>
      <c r="AK278" t="s" s="0">
        <v>81</v>
      </c>
      <c r="AL278" t="s" s="0">
        <v>2447</v>
      </c>
      <c r="AM278" t="s" s="0">
        <v>77</v>
      </c>
      <c r="AN278" t="s" s="0">
        <v>77</v>
      </c>
      <c r="AO278" t="s" s="0">
        <v>77</v>
      </c>
      <c r="AP278" t="s" s="0">
        <v>77</v>
      </c>
      <c r="AQ278" t="s" s="0">
        <v>177</v>
      </c>
      <c r="AR278" t="s" s="0">
        <v>178</v>
      </c>
      <c r="AS278" t="s" s="0">
        <v>179</v>
      </c>
      <c r="AT278" t="s" s="0">
        <v>2496</v>
      </c>
      <c r="AU278" t="s" s="0">
        <v>81</v>
      </c>
      <c r="AV278" t="s" s="0">
        <v>81</v>
      </c>
      <c r="AW278" t="s" s="0">
        <v>2497</v>
      </c>
      <c r="AX278" t="s" s="0">
        <v>2498</v>
      </c>
      <c r="AY278" t="s" s="0">
        <v>103</v>
      </c>
      <c r="AZ278" t="s" s="0">
        <v>103</v>
      </c>
      <c r="BA278" t="s" s="0">
        <v>697</v>
      </c>
      <c r="BB278" t="s" s="0">
        <v>81</v>
      </c>
      <c r="BC278" t="s" s="0">
        <v>81</v>
      </c>
      <c r="BD278" t="s" s="0">
        <v>81</v>
      </c>
      <c r="BE278" t="s" s="0">
        <v>81</v>
      </c>
      <c r="BF278" t="s" s="0">
        <v>81</v>
      </c>
      <c r="BG278" t="s" s="0">
        <v>81</v>
      </c>
      <c r="BH278" t="s" s="0">
        <v>81</v>
      </c>
      <c r="BI278" t="s" s="0">
        <v>6587</v>
      </c>
      <c r="BJ278" t="s" s="0">
        <v>6588</v>
      </c>
      <c r="BK278" t="s" s="550">
        <f>HYPERLINK("http://dx.doi.org/10.1016/j.nicl.2026.104007","http://dx.doi.org/10.1016/j.nicl.2026.104007")</f>
        <v>6589</v>
      </c>
      <c r="BL278" t="s" s="0">
        <v>81</v>
      </c>
      <c r="BM278" t="s" s="0">
        <v>81</v>
      </c>
      <c r="BN278" t="s" s="0">
        <v>367</v>
      </c>
      <c r="BO278" t="s" s="0">
        <v>2503</v>
      </c>
      <c r="BP278" t="s" s="0">
        <v>2504</v>
      </c>
      <c r="BQ278" t="s" s="0">
        <v>6590</v>
      </c>
      <c r="BR278" t="s" s="0">
        <v>6591</v>
      </c>
      <c r="BS278" t="s" s="0">
        <v>6592</v>
      </c>
      <c r="BT278" t="s" s="551">
        <f>HYPERLINK("https://www.webofscience.com/wos/woscc/full-record/WOS:001787215700001","View Record in Web of Science")</f>
        <v>114</v>
      </c>
      <c r="BU278" t="s" s="0">
        <v>301</v>
      </c>
      <c r="BV278" t="s" s="0">
        <v>81</v>
      </c>
      <c r="BW278" t="s" s="0">
        <v>81</v>
      </c>
      <c r="BX278" t="s" s="0">
        <v>116</v>
      </c>
    </row>
    <row r="279">
      <c r="A279" t="s" s="0">
        <v>97</v>
      </c>
      <c r="B279" t="s" s="0">
        <v>77</v>
      </c>
      <c r="C279" t="s" s="0">
        <v>925</v>
      </c>
      <c r="D279" t="s" s="0">
        <v>77</v>
      </c>
      <c r="E279" t="s" s="0">
        <v>6593</v>
      </c>
      <c r="F279" t="s" s="0">
        <v>6594</v>
      </c>
      <c r="G279" t="s" s="0">
        <v>6595</v>
      </c>
      <c r="H279" t="s" s="0">
        <v>81</v>
      </c>
      <c r="I279" t="s" s="0">
        <v>82</v>
      </c>
      <c r="J279" t="s" s="0">
        <v>6596</v>
      </c>
      <c r="K279" t="s" s="0">
        <v>6597</v>
      </c>
      <c r="L279" t="s" s="0">
        <v>81</v>
      </c>
      <c r="M279" t="s" s="0">
        <v>81</v>
      </c>
      <c r="N279" t="s" s="0">
        <v>81</v>
      </c>
      <c r="O279" t="s" s="0">
        <v>6598</v>
      </c>
      <c r="P279" t="s" s="0">
        <v>6599</v>
      </c>
      <c r="Q279" t="s" s="0">
        <v>87</v>
      </c>
      <c r="R279" t="s" s="0">
        <v>81</v>
      </c>
      <c r="S279" t="s" s="0">
        <v>81</v>
      </c>
      <c r="T279" t="s" s="0">
        <v>81</v>
      </c>
      <c r="U279" t="s" s="0">
        <v>81</v>
      </c>
      <c r="V279" t="s" s="0">
        <v>6600</v>
      </c>
      <c r="W279" t="s" s="0">
        <v>4668</v>
      </c>
      <c r="X279" t="s" s="0">
        <v>81</v>
      </c>
      <c r="Y279" t="s" s="0">
        <v>81</v>
      </c>
      <c r="Z279" t="s" s="0">
        <v>90</v>
      </c>
      <c r="AA279" t="s" s="0">
        <v>91</v>
      </c>
      <c r="AB279" t="s" s="0">
        <v>81</v>
      </c>
      <c r="AC279" t="s" s="0">
        <v>81</v>
      </c>
      <c r="AD279" t="s" s="0">
        <v>81</v>
      </c>
      <c r="AE279" t="s" s="0">
        <v>81</v>
      </c>
      <c r="AF279" t="s" s="0">
        <v>81</v>
      </c>
      <c r="AG279" t="s" s="0">
        <v>6601</v>
      </c>
      <c r="AH279" t="s" s="0">
        <v>6602</v>
      </c>
      <c r="AI279" t="s" s="0">
        <v>6603</v>
      </c>
      <c r="AJ279" t="s" s="0">
        <v>6604</v>
      </c>
      <c r="AK279" t="s" s="0">
        <v>81</v>
      </c>
      <c r="AL279" t="s" s="0">
        <v>1837</v>
      </c>
      <c r="AM279" t="s" s="0">
        <v>1912</v>
      </c>
      <c r="AN279" t="s" s="0">
        <v>324</v>
      </c>
      <c r="AO279" t="s" s="0">
        <v>97</v>
      </c>
      <c r="AP279" t="s" s="0">
        <v>211</v>
      </c>
      <c r="AQ279" t="s" s="0">
        <v>177</v>
      </c>
      <c r="AR279" t="s" s="0">
        <v>178</v>
      </c>
      <c r="AS279" t="s" s="0">
        <v>179</v>
      </c>
      <c r="AT279" t="s" s="0">
        <v>4673</v>
      </c>
      <c r="AU279" t="s" s="0">
        <v>4674</v>
      </c>
      <c r="AV279" t="s" s="0">
        <v>81</v>
      </c>
      <c r="AW279" t="s" s="0">
        <v>4675</v>
      </c>
      <c r="AX279" t="s" s="0">
        <v>4676</v>
      </c>
      <c r="AY279" t="s" s="0">
        <v>5526</v>
      </c>
      <c r="AZ279" t="s" s="0">
        <v>260</v>
      </c>
      <c r="BA279" t="s" s="0">
        <v>4754</v>
      </c>
      <c r="BB279" t="s" s="0">
        <v>81</v>
      </c>
      <c r="BC279" t="s" s="0">
        <v>81</v>
      </c>
      <c r="BD279" t="s" s="0">
        <v>81</v>
      </c>
      <c r="BE279" t="s" s="0">
        <v>81</v>
      </c>
      <c r="BF279" t="s" s="0">
        <v>81</v>
      </c>
      <c r="BG279" t="s" s="0">
        <v>81</v>
      </c>
      <c r="BH279" t="s" s="0">
        <v>81</v>
      </c>
      <c r="BI279" t="s" s="0">
        <v>6605</v>
      </c>
      <c r="BJ279" t="s" s="0">
        <v>6606</v>
      </c>
      <c r="BK279" t="s" s="552">
        <f>HYPERLINK("http://dx.doi.org/10.1016/j.compbiolchem.2023.107867","http://dx.doi.org/10.1016/j.compbiolchem.2023.107867")</f>
        <v>6607</v>
      </c>
      <c r="BL279" t="s" s="0">
        <v>81</v>
      </c>
      <c r="BM279" t="s" s="0">
        <v>6608</v>
      </c>
      <c r="BN279" t="s" s="0">
        <v>261</v>
      </c>
      <c r="BO279" t="s" s="0">
        <v>4680</v>
      </c>
      <c r="BP279" t="s" s="0">
        <v>4681</v>
      </c>
      <c r="BQ279" t="s" s="0">
        <v>6609</v>
      </c>
      <c r="BR279" t="s" s="0">
        <v>6610</v>
      </c>
      <c r="BS279" t="s" s="0">
        <v>6611</v>
      </c>
      <c r="BT279" t="s" s="553">
        <f>HYPERLINK("https://www.webofscience.com/wos/woscc/full-record/WOS:000976374900001","View Record in Web of Science")</f>
        <v>114</v>
      </c>
      <c r="BU279" t="s" s="0">
        <v>81</v>
      </c>
      <c r="BV279" t="s" s="0">
        <v>81</v>
      </c>
      <c r="BW279" t="s" s="0">
        <v>81</v>
      </c>
      <c r="BX279" t="s" s="0">
        <v>116</v>
      </c>
    </row>
    <row r="280">
      <c r="A280" t="s" s="0">
        <v>77</v>
      </c>
      <c r="B280" t="s" s="0">
        <v>77</v>
      </c>
      <c r="C280" t="s" s="0">
        <v>97</v>
      </c>
      <c r="D280" t="s" s="0">
        <v>77</v>
      </c>
      <c r="E280" t="s" s="0">
        <v>6612</v>
      </c>
      <c r="F280" t="s" s="0">
        <v>6613</v>
      </c>
      <c r="G280" t="s" s="0">
        <v>6614</v>
      </c>
      <c r="H280" t="s" s="0">
        <v>81</v>
      </c>
      <c r="I280" t="s" s="0">
        <v>528</v>
      </c>
      <c r="J280" t="s" s="0">
        <v>6615</v>
      </c>
      <c r="K280" t="s" s="0">
        <v>6616</v>
      </c>
      <c r="L280" t="s" s="0">
        <v>6617</v>
      </c>
      <c r="M280" t="s" s="0">
        <v>6618</v>
      </c>
      <c r="N280" t="s" s="0">
        <v>6619</v>
      </c>
      <c r="O280" t="s" s="0">
        <v>6620</v>
      </c>
      <c r="P280" t="s" s="0">
        <v>6621</v>
      </c>
      <c r="Q280" t="s" s="0">
        <v>87</v>
      </c>
      <c r="R280" t="s" s="0">
        <v>81</v>
      </c>
      <c r="S280" t="s" s="0">
        <v>81</v>
      </c>
      <c r="T280" t="s" s="0">
        <v>81</v>
      </c>
      <c r="U280" t="s" s="0">
        <v>81</v>
      </c>
      <c r="V280" t="s" s="0">
        <v>6622</v>
      </c>
      <c r="W280" t="s" s="0">
        <v>6623</v>
      </c>
      <c r="X280" t="s" s="0">
        <v>81</v>
      </c>
      <c r="Y280" t="s" s="0">
        <v>81</v>
      </c>
      <c r="Z280" t="s" s="0">
        <v>90</v>
      </c>
      <c r="AA280" t="s" s="0">
        <v>91</v>
      </c>
      <c r="AB280" t="s" s="0">
        <v>81</v>
      </c>
      <c r="AC280" t="s" s="0">
        <v>81</v>
      </c>
      <c r="AD280" t="s" s="0">
        <v>81</v>
      </c>
      <c r="AE280" t="s" s="0">
        <v>81</v>
      </c>
      <c r="AF280" t="s" s="0">
        <v>81</v>
      </c>
      <c r="AG280" t="s" s="0">
        <v>6624</v>
      </c>
      <c r="AH280" t="s" s="0">
        <v>6625</v>
      </c>
      <c r="AI280" t="s" s="0">
        <v>6626</v>
      </c>
      <c r="AJ280" t="s" s="0">
        <v>6627</v>
      </c>
      <c r="AK280" t="s" s="0">
        <v>81</v>
      </c>
      <c r="AL280" t="s" s="0">
        <v>176</v>
      </c>
      <c r="AM280" t="s" s="0">
        <v>134</v>
      </c>
      <c r="AN280" t="s" s="0">
        <v>486</v>
      </c>
      <c r="AO280" t="s" s="0">
        <v>133</v>
      </c>
      <c r="AP280" t="s" s="0">
        <v>104</v>
      </c>
      <c r="AQ280" t="s" s="0">
        <v>428</v>
      </c>
      <c r="AR280" t="s" s="0">
        <v>429</v>
      </c>
      <c r="AS280" t="s" s="0">
        <v>430</v>
      </c>
      <c r="AT280" t="s" s="0">
        <v>6628</v>
      </c>
      <c r="AU280" t="s" s="0">
        <v>6629</v>
      </c>
      <c r="AV280" t="s" s="0">
        <v>81</v>
      </c>
      <c r="AW280" t="s" s="0">
        <v>6630</v>
      </c>
      <c r="AX280" t="s" s="0">
        <v>6631</v>
      </c>
      <c r="AY280" t="s" s="0">
        <v>6632</v>
      </c>
      <c r="AZ280" t="s" s="0">
        <v>290</v>
      </c>
      <c r="BA280" t="s" s="0">
        <v>1837</v>
      </c>
      <c r="BB280" t="s" s="0">
        <v>196</v>
      </c>
      <c r="BC280" t="s" s="0">
        <v>81</v>
      </c>
      <c r="BD280" t="s" s="0">
        <v>81</v>
      </c>
      <c r="BE280" t="s" s="0">
        <v>81</v>
      </c>
      <c r="BF280" t="s" s="0">
        <v>81</v>
      </c>
      <c r="BG280" t="s" s="0">
        <v>81</v>
      </c>
      <c r="BH280" t="s" s="0">
        <v>81</v>
      </c>
      <c r="BI280" t="s" s="0">
        <v>6633</v>
      </c>
      <c r="BJ280" t="s" s="0">
        <v>6634</v>
      </c>
      <c r="BK280" t="s" s="554">
        <f>HYPERLINK("http://dx.doi.org/10.1016/j.outlook.2025.102395","http://dx.doi.org/10.1016/j.outlook.2025.102395")</f>
        <v>6635</v>
      </c>
      <c r="BL280" t="s" s="0">
        <v>81</v>
      </c>
      <c r="BM280" t="s" s="0">
        <v>615</v>
      </c>
      <c r="BN280" t="s" s="0">
        <v>381</v>
      </c>
      <c r="BO280" t="s" s="0">
        <v>5034</v>
      </c>
      <c r="BP280" t="s" s="0">
        <v>5034</v>
      </c>
      <c r="BQ280" t="s" s="0">
        <v>6636</v>
      </c>
      <c r="BR280" t="s" s="0">
        <v>6637</v>
      </c>
      <c r="BS280" t="s" s="0">
        <v>6638</v>
      </c>
      <c r="BT280" t="s" s="555">
        <f>HYPERLINK("https://www.webofscience.com/wos/woscc/full-record/WOS:001487597200001","View Record in Web of Science")</f>
        <v>114</v>
      </c>
      <c r="BU280" t="s" s="0">
        <v>155</v>
      </c>
      <c r="BV280" t="s" s="0">
        <v>81</v>
      </c>
      <c r="BW280" t="s" s="0">
        <v>81</v>
      </c>
      <c r="BX280" t="s" s="0">
        <v>116</v>
      </c>
    </row>
    <row r="281">
      <c r="A281" t="s" s="0">
        <v>77</v>
      </c>
      <c r="B281" t="s" s="0">
        <v>77</v>
      </c>
      <c r="C281" t="s" s="0">
        <v>77</v>
      </c>
      <c r="D281" t="s" s="0">
        <v>77</v>
      </c>
      <c r="E281" t="s" s="0">
        <v>6639</v>
      </c>
      <c r="F281" t="s" s="0">
        <v>6640</v>
      </c>
      <c r="G281" t="s" s="0">
        <v>6641</v>
      </c>
      <c r="H281" t="s" s="0">
        <v>81</v>
      </c>
      <c r="I281" t="s" s="0">
        <v>238</v>
      </c>
      <c r="J281" t="s" s="0">
        <v>6642</v>
      </c>
      <c r="K281" t="s" s="0">
        <v>6643</v>
      </c>
      <c r="L281" t="s" s="0">
        <v>81</v>
      </c>
      <c r="M281" t="s" s="0">
        <v>81</v>
      </c>
      <c r="N281" t="s" s="0">
        <v>81</v>
      </c>
      <c r="O281" t="s" s="0">
        <v>6644</v>
      </c>
      <c r="P281" t="s" s="0">
        <v>6645</v>
      </c>
      <c r="Q281" t="s" s="0">
        <v>87</v>
      </c>
      <c r="R281" t="s" s="0">
        <v>81</v>
      </c>
      <c r="S281" t="s" s="0">
        <v>81</v>
      </c>
      <c r="T281" t="s" s="0">
        <v>81</v>
      </c>
      <c r="U281" t="s" s="0">
        <v>81</v>
      </c>
      <c r="V281" t="s" s="0">
        <v>6646</v>
      </c>
      <c r="W281" t="s" s="0">
        <v>6647</v>
      </c>
      <c r="X281" t="s" s="0">
        <v>81</v>
      </c>
      <c r="Y281" t="s" s="0">
        <v>81</v>
      </c>
      <c r="Z281" t="s" s="0">
        <v>90</v>
      </c>
      <c r="AA281" t="s" s="0">
        <v>91</v>
      </c>
      <c r="AB281" t="s" s="0">
        <v>81</v>
      </c>
      <c r="AC281" t="s" s="0">
        <v>81</v>
      </c>
      <c r="AD281" t="s" s="0">
        <v>81</v>
      </c>
      <c r="AE281" t="s" s="0">
        <v>81</v>
      </c>
      <c r="AF281" t="s" s="0">
        <v>81</v>
      </c>
      <c r="AG281" t="s" s="0">
        <v>6648</v>
      </c>
      <c r="AH281" t="s" s="0">
        <v>81</v>
      </c>
      <c r="AI281" t="s" s="0">
        <v>6649</v>
      </c>
      <c r="AJ281" t="s" s="0">
        <v>6650</v>
      </c>
      <c r="AK281" t="s" s="0">
        <v>81</v>
      </c>
      <c r="AL281" t="s" s="0">
        <v>1635</v>
      </c>
      <c r="AM281" t="s" s="0">
        <v>77</v>
      </c>
      <c r="AN281" t="s" s="0">
        <v>77</v>
      </c>
      <c r="AO281" t="s" s="0">
        <v>97</v>
      </c>
      <c r="AP281" t="s" s="0">
        <v>97</v>
      </c>
      <c r="AQ281" t="s" s="0">
        <v>6651</v>
      </c>
      <c r="AR281" t="s" s="0">
        <v>6652</v>
      </c>
      <c r="AS281" t="s" s="0">
        <v>6653</v>
      </c>
      <c r="AT281" t="s" s="0">
        <v>6654</v>
      </c>
      <c r="AU281" t="s" s="0">
        <v>81</v>
      </c>
      <c r="AV281" t="s" s="0">
        <v>81</v>
      </c>
      <c r="AW281" t="s" s="0">
        <v>6655</v>
      </c>
      <c r="AX281" t="s" s="0">
        <v>6656</v>
      </c>
      <c r="AY281" t="s" s="0">
        <v>6657</v>
      </c>
      <c r="AZ281" t="s" s="0">
        <v>103</v>
      </c>
      <c r="BA281" t="s" s="0">
        <v>234</v>
      </c>
      <c r="BB281" t="s" s="0">
        <v>97</v>
      </c>
      <c r="BC281" t="s" s="0">
        <v>81</v>
      </c>
      <c r="BD281" t="s" s="0">
        <v>81</v>
      </c>
      <c r="BE281" t="s" s="0">
        <v>81</v>
      </c>
      <c r="BF281" t="s" s="0">
        <v>81</v>
      </c>
      <c r="BG281" t="s" s="0">
        <v>81</v>
      </c>
      <c r="BH281" t="s" s="0">
        <v>81</v>
      </c>
      <c r="BI281" t="s" s="0">
        <v>6658</v>
      </c>
      <c r="BJ281" t="s" s="0">
        <v>6659</v>
      </c>
      <c r="BK281" t="s" s="556">
        <f>HYPERLINK("http://dx.doi.org/10.1002/ansa.70072","http://dx.doi.org/10.1002/ansa.70072")</f>
        <v>6660</v>
      </c>
      <c r="BL281" t="s" s="0">
        <v>81</v>
      </c>
      <c r="BM281" t="s" s="0">
        <v>81</v>
      </c>
      <c r="BN281" t="s" s="0">
        <v>295</v>
      </c>
      <c r="BO281" t="s" s="0">
        <v>6661</v>
      </c>
      <c r="BP281" t="s" s="0">
        <v>1745</v>
      </c>
      <c r="BQ281" t="s" s="0">
        <v>6662</v>
      </c>
      <c r="BR281" t="s" s="0">
        <v>6663</v>
      </c>
      <c r="BS281" t="s" s="0">
        <v>6664</v>
      </c>
      <c r="BT281" t="s" s="557">
        <f>HYPERLINK("https://www.webofscience.com/wos/woscc/full-record/WOS:001705455700001","View Record in Web of Science")</f>
        <v>114</v>
      </c>
      <c r="BU281" t="s" s="0">
        <v>301</v>
      </c>
      <c r="BV281" t="s" s="0">
        <v>81</v>
      </c>
      <c r="BW281" t="s" s="0">
        <v>81</v>
      </c>
      <c r="BX281" t="s" s="0">
        <v>116</v>
      </c>
    </row>
    <row r="282">
      <c r="A282" t="s" s="0">
        <v>156</v>
      </c>
      <c r="B282" t="s" s="0">
        <v>77</v>
      </c>
      <c r="C282" t="s" s="0">
        <v>97</v>
      </c>
      <c r="D282" t="s" s="0">
        <v>77</v>
      </c>
      <c r="E282" t="s" s="0">
        <v>6665</v>
      </c>
      <c r="F282" t="s" s="0">
        <v>6666</v>
      </c>
      <c r="G282" t="s" s="0">
        <v>6667</v>
      </c>
      <c r="H282" t="s" s="0">
        <v>81</v>
      </c>
      <c r="I282" t="s" s="0">
        <v>82</v>
      </c>
      <c r="J282" t="s" s="0">
        <v>6668</v>
      </c>
      <c r="K282" t="s" s="0">
        <v>6669</v>
      </c>
      <c r="L282" t="s" s="0">
        <v>6670</v>
      </c>
      <c r="M282" t="s" s="0">
        <v>6671</v>
      </c>
      <c r="N282" t="s" s="0">
        <v>6672</v>
      </c>
      <c r="O282" t="s" s="0">
        <v>6673</v>
      </c>
      <c r="P282" t="s" s="0">
        <v>6674</v>
      </c>
      <c r="Q282" t="s" s="0">
        <v>87</v>
      </c>
      <c r="R282" t="s" s="0">
        <v>81</v>
      </c>
      <c r="S282" t="s" s="0">
        <v>81</v>
      </c>
      <c r="T282" t="s" s="0">
        <v>81</v>
      </c>
      <c r="U282" t="s" s="0">
        <v>81</v>
      </c>
      <c r="V282" t="s" s="0">
        <v>6675</v>
      </c>
      <c r="W282" t="s" s="0">
        <v>392</v>
      </c>
      <c r="X282" t="s" s="0">
        <v>81</v>
      </c>
      <c r="Y282" t="s" s="0">
        <v>81</v>
      </c>
      <c r="Z282" t="s" s="0">
        <v>90</v>
      </c>
      <c r="AA282" t="s" s="0">
        <v>91</v>
      </c>
      <c r="AB282" t="s" s="0">
        <v>81</v>
      </c>
      <c r="AC282" t="s" s="0">
        <v>81</v>
      </c>
      <c r="AD282" t="s" s="0">
        <v>81</v>
      </c>
      <c r="AE282" t="s" s="0">
        <v>81</v>
      </c>
      <c r="AF282" t="s" s="0">
        <v>81</v>
      </c>
      <c r="AG282" t="s" s="0">
        <v>6676</v>
      </c>
      <c r="AH282" t="s" s="0">
        <v>6677</v>
      </c>
      <c r="AI282" t="s" s="0">
        <v>6678</v>
      </c>
      <c r="AJ282" t="s" s="0">
        <v>6679</v>
      </c>
      <c r="AK282" t="s" s="0">
        <v>81</v>
      </c>
      <c r="AL282" t="s" s="0">
        <v>6680</v>
      </c>
      <c r="AM282" t="s" s="0">
        <v>174</v>
      </c>
      <c r="AN282" t="s" s="0">
        <v>756</v>
      </c>
      <c r="AO282" t="s" s="0">
        <v>486</v>
      </c>
      <c r="AP282" t="s" s="0">
        <v>664</v>
      </c>
      <c r="AQ282" t="s" s="0">
        <v>212</v>
      </c>
      <c r="AR282" t="s" s="0">
        <v>213</v>
      </c>
      <c r="AS282" t="s" s="0">
        <v>214</v>
      </c>
      <c r="AT282" t="s" s="0">
        <v>400</v>
      </c>
      <c r="AU282" t="s" s="0">
        <v>401</v>
      </c>
      <c r="AV282" t="s" s="0">
        <v>81</v>
      </c>
      <c r="AW282" t="s" s="0">
        <v>402</v>
      </c>
      <c r="AX282" t="s" s="0">
        <v>403</v>
      </c>
      <c r="AY282" t="s" s="0">
        <v>6681</v>
      </c>
      <c r="AZ282" t="s" s="0">
        <v>290</v>
      </c>
      <c r="BA282" t="s" s="0">
        <v>1049</v>
      </c>
      <c r="BB282" t="s" s="0">
        <v>381</v>
      </c>
      <c r="BC282" t="s" s="0">
        <v>81</v>
      </c>
      <c r="BD282" t="s" s="0">
        <v>81</v>
      </c>
      <c r="BE282" t="s" s="0">
        <v>81</v>
      </c>
      <c r="BF282" t="s" s="0">
        <v>81</v>
      </c>
      <c r="BG282" t="s" s="0">
        <v>81</v>
      </c>
      <c r="BH282" t="s" s="0">
        <v>81</v>
      </c>
      <c r="BI282" t="s" s="0">
        <v>6682</v>
      </c>
      <c r="BJ282" t="s" s="0">
        <v>6683</v>
      </c>
      <c r="BK282" t="s" s="558">
        <f>HYPERLINK("http://dx.doi.org/10.1007/s10462-025-11147-4","http://dx.doi.org/10.1007/s10462-025-11147-4")</f>
        <v>6684</v>
      </c>
      <c r="BL282" t="s" s="0">
        <v>81</v>
      </c>
      <c r="BM282" t="s" s="0">
        <v>81</v>
      </c>
      <c r="BN282" t="s" s="0">
        <v>1685</v>
      </c>
      <c r="BO282" t="s" s="0">
        <v>409</v>
      </c>
      <c r="BP282" t="s" s="0">
        <v>152</v>
      </c>
      <c r="BQ282" t="s" s="0">
        <v>6685</v>
      </c>
      <c r="BR282" t="s" s="0">
        <v>81</v>
      </c>
      <c r="BS282" t="s" s="0">
        <v>6686</v>
      </c>
      <c r="BT282" t="s" s="559">
        <f>HYPERLINK("https://www.webofscience.com/wos/woscc/full-record/WOS:001480703000010","View Record in Web of Science")</f>
        <v>114</v>
      </c>
      <c r="BU282" t="s" s="0">
        <v>1055</v>
      </c>
      <c r="BV282" t="s" s="0">
        <v>81</v>
      </c>
      <c r="BW282" t="s" s="0">
        <v>81</v>
      </c>
      <c r="BX282" t="s" s="0">
        <v>116</v>
      </c>
    </row>
    <row r="283">
      <c r="A283" t="s" s="0">
        <v>77</v>
      </c>
      <c r="B283" t="s" s="0">
        <v>77</v>
      </c>
      <c r="C283" t="s" s="0">
        <v>77</v>
      </c>
      <c r="D283" t="s" s="0">
        <v>77</v>
      </c>
      <c r="E283" t="s" s="0">
        <v>6687</v>
      </c>
      <c r="F283" t="s" s="0">
        <v>6688</v>
      </c>
      <c r="G283" t="s" s="0">
        <v>6689</v>
      </c>
      <c r="H283" t="s" s="0">
        <v>81</v>
      </c>
      <c r="I283" t="s" s="0">
        <v>238</v>
      </c>
      <c r="J283" t="s" s="0">
        <v>6690</v>
      </c>
      <c r="K283" t="s" s="0">
        <v>6691</v>
      </c>
      <c r="L283" t="s" s="0">
        <v>6692</v>
      </c>
      <c r="M283" t="s" s="0">
        <v>6693</v>
      </c>
      <c r="N283" t="s" s="0">
        <v>6694</v>
      </c>
      <c r="O283" t="s" s="0">
        <v>6695</v>
      </c>
      <c r="P283" t="s" s="0">
        <v>81</v>
      </c>
      <c r="Q283" t="s" s="0">
        <v>87</v>
      </c>
      <c r="R283" t="s" s="0">
        <v>81</v>
      </c>
      <c r="S283" t="s" s="0">
        <v>81</v>
      </c>
      <c r="T283" t="s" s="0">
        <v>81</v>
      </c>
      <c r="U283" t="s" s="0">
        <v>81</v>
      </c>
      <c r="V283" t="s" s="0">
        <v>6696</v>
      </c>
      <c r="W283" t="s" s="0">
        <v>6697</v>
      </c>
      <c r="X283" t="s" s="0">
        <v>81</v>
      </c>
      <c r="Y283" t="s" s="0">
        <v>81</v>
      </c>
      <c r="Z283" t="s" s="0">
        <v>90</v>
      </c>
      <c r="AA283" t="s" s="0">
        <v>91</v>
      </c>
      <c r="AB283" t="s" s="0">
        <v>81</v>
      </c>
      <c r="AC283" t="s" s="0">
        <v>81</v>
      </c>
      <c r="AD283" t="s" s="0">
        <v>81</v>
      </c>
      <c r="AE283" t="s" s="0">
        <v>81</v>
      </c>
      <c r="AF283" t="s" s="0">
        <v>81</v>
      </c>
      <c r="AG283" t="s" s="0">
        <v>6698</v>
      </c>
      <c r="AH283" t="s" s="0">
        <v>81</v>
      </c>
      <c r="AI283" t="s" s="0">
        <v>81</v>
      </c>
      <c r="AJ283" t="s" s="0">
        <v>81</v>
      </c>
      <c r="AK283" t="s" s="0">
        <v>81</v>
      </c>
      <c r="AL283" t="s" s="0">
        <v>210</v>
      </c>
      <c r="AM283" t="s" s="0">
        <v>77</v>
      </c>
      <c r="AN283" t="s" s="0">
        <v>77</v>
      </c>
      <c r="AO283" t="s" s="0">
        <v>77</v>
      </c>
      <c r="AP283" t="s" s="0">
        <v>77</v>
      </c>
      <c r="AQ283" t="s" s="0">
        <v>98</v>
      </c>
      <c r="AR283" t="s" s="0">
        <v>99</v>
      </c>
      <c r="AS283" t="s" s="0">
        <v>100</v>
      </c>
      <c r="AT283" t="s" s="0">
        <v>81</v>
      </c>
      <c r="AU283" t="s" s="0">
        <v>6699</v>
      </c>
      <c r="AV283" t="s" s="0">
        <v>81</v>
      </c>
      <c r="AW283" t="s" s="0">
        <v>6700</v>
      </c>
      <c r="AX283" t="s" s="0">
        <v>6701</v>
      </c>
      <c r="AY283" t="s" s="0">
        <v>103</v>
      </c>
      <c r="AZ283" t="s" s="0">
        <v>103</v>
      </c>
      <c r="BA283" t="s" s="0">
        <v>234</v>
      </c>
      <c r="BB283" t="s" s="0">
        <v>81</v>
      </c>
      <c r="BC283" t="s" s="0">
        <v>81</v>
      </c>
      <c r="BD283" t="s" s="0">
        <v>81</v>
      </c>
      <c r="BE283" t="s" s="0">
        <v>81</v>
      </c>
      <c r="BF283" t="s" s="0">
        <v>81</v>
      </c>
      <c r="BG283" t="s" s="0">
        <v>6702</v>
      </c>
      <c r="BH283" t="s" s="0">
        <v>6703</v>
      </c>
      <c r="BI283" t="s" s="0">
        <v>81</v>
      </c>
      <c r="BJ283" t="s" s="0">
        <v>6704</v>
      </c>
      <c r="BK283" t="s" s="560">
        <f>HYPERLINK("http://dx.doi.org/10.1109/OJCS.2026.3718448","http://dx.doi.org/10.1109/OJCS.2026.3718448")</f>
        <v>6705</v>
      </c>
      <c r="BL283" t="s" s="0">
        <v>81</v>
      </c>
      <c r="BM283" t="s" s="0">
        <v>81</v>
      </c>
      <c r="BN283" t="s" s="0">
        <v>134</v>
      </c>
      <c r="BO283" t="s" s="0">
        <v>6706</v>
      </c>
      <c r="BP283" t="s" s="0">
        <v>193</v>
      </c>
      <c r="BQ283" t="s" s="0">
        <v>6707</v>
      </c>
      <c r="BR283" t="s" s="0">
        <v>81</v>
      </c>
      <c r="BS283" t="s" s="0">
        <v>6708</v>
      </c>
      <c r="BT283" t="s" s="561">
        <f>HYPERLINK("https://www.webofscience.com/wos/woscc/full-record/WOS:001850092600002","View Record in Web of Science")</f>
        <v>114</v>
      </c>
      <c r="BU283" t="s" s="0">
        <v>115</v>
      </c>
      <c r="BV283" t="s" s="0">
        <v>81</v>
      </c>
      <c r="BW283" t="s" s="0">
        <v>81</v>
      </c>
      <c r="BX283" t="s" s="0">
        <v>116</v>
      </c>
    </row>
    <row r="284">
      <c r="A284" t="s" s="0">
        <v>77</v>
      </c>
      <c r="B284" t="s" s="0">
        <v>77</v>
      </c>
      <c r="C284" t="s" s="0">
        <v>97</v>
      </c>
      <c r="D284" t="s" s="0">
        <v>77</v>
      </c>
      <c r="E284" t="s" s="0">
        <v>6709</v>
      </c>
      <c r="F284" t="s" s="0">
        <v>6710</v>
      </c>
      <c r="G284" t="s" s="0">
        <v>6711</v>
      </c>
      <c r="H284" t="s" s="0">
        <v>81</v>
      </c>
      <c r="I284" t="s" s="0">
        <v>238</v>
      </c>
      <c r="J284" t="s" s="0">
        <v>6712</v>
      </c>
      <c r="K284" t="s" s="0">
        <v>6713</v>
      </c>
      <c r="L284" t="s" s="0">
        <v>6714</v>
      </c>
      <c r="M284" t="s" s="0">
        <v>6714</v>
      </c>
      <c r="N284" t="s" s="0">
        <v>6715</v>
      </c>
      <c r="O284" t="s" s="0">
        <v>6716</v>
      </c>
      <c r="P284" t="s" s="0">
        <v>6717</v>
      </c>
      <c r="Q284" t="s" s="0">
        <v>87</v>
      </c>
      <c r="R284" t="s" s="0">
        <v>81</v>
      </c>
      <c r="S284" t="s" s="0">
        <v>81</v>
      </c>
      <c r="T284" t="s" s="0">
        <v>81</v>
      </c>
      <c r="U284" t="s" s="0">
        <v>81</v>
      </c>
      <c r="V284" t="s" s="0">
        <v>6718</v>
      </c>
      <c r="W284" t="s" s="0">
        <v>5713</v>
      </c>
      <c r="X284" t="s" s="0">
        <v>81</v>
      </c>
      <c r="Y284" t="s" s="0">
        <v>81</v>
      </c>
      <c r="Z284" t="s" s="0">
        <v>90</v>
      </c>
      <c r="AA284" t="s" s="0">
        <v>91</v>
      </c>
      <c r="AB284" t="s" s="0">
        <v>81</v>
      </c>
      <c r="AC284" t="s" s="0">
        <v>81</v>
      </c>
      <c r="AD284" t="s" s="0">
        <v>81</v>
      </c>
      <c r="AE284" t="s" s="0">
        <v>81</v>
      </c>
      <c r="AF284" t="s" s="0">
        <v>81</v>
      </c>
      <c r="AG284" t="s" s="0">
        <v>6719</v>
      </c>
      <c r="AH284" t="s" s="0">
        <v>81</v>
      </c>
      <c r="AI284" t="s" s="0">
        <v>6720</v>
      </c>
      <c r="AJ284" t="s" s="0">
        <v>6721</v>
      </c>
      <c r="AK284" t="s" s="0">
        <v>81</v>
      </c>
      <c r="AL284" t="s" s="0">
        <v>1184</v>
      </c>
      <c r="AM284" t="s" s="0">
        <v>104</v>
      </c>
      <c r="AN284" t="s" s="0">
        <v>295</v>
      </c>
      <c r="AO284" t="s" s="0">
        <v>133</v>
      </c>
      <c r="AP284" t="s" s="0">
        <v>210</v>
      </c>
      <c r="AQ284" t="s" s="0">
        <v>284</v>
      </c>
      <c r="AR284" t="s" s="0">
        <v>285</v>
      </c>
      <c r="AS284" t="s" s="0">
        <v>286</v>
      </c>
      <c r="AT284" t="s" s="0">
        <v>81</v>
      </c>
      <c r="AU284" t="s" s="0">
        <v>5717</v>
      </c>
      <c r="AV284" t="s" s="0">
        <v>81</v>
      </c>
      <c r="AW284" t="s" s="0">
        <v>5713</v>
      </c>
      <c r="AX284" t="s" s="0">
        <v>5718</v>
      </c>
      <c r="AY284" t="s" s="0">
        <v>6722</v>
      </c>
      <c r="AZ284" t="s" s="0">
        <v>185</v>
      </c>
      <c r="BA284" t="s" s="0">
        <v>291</v>
      </c>
      <c r="BB284" t="s" s="0">
        <v>97</v>
      </c>
      <c r="BC284" t="s" s="0">
        <v>81</v>
      </c>
      <c r="BD284" t="s" s="0">
        <v>81</v>
      </c>
      <c r="BE284" t="s" s="0">
        <v>81</v>
      </c>
      <c r="BF284" t="s" s="0">
        <v>81</v>
      </c>
      <c r="BG284" t="s" s="0">
        <v>81</v>
      </c>
      <c r="BH284" t="s" s="0">
        <v>81</v>
      </c>
      <c r="BI284" t="s" s="0">
        <v>175</v>
      </c>
      <c r="BJ284" t="s" s="0">
        <v>6723</v>
      </c>
      <c r="BK284" t="s" s="562">
        <f>HYPERLINK("http://dx.doi.org/10.3390/info15010004","http://dx.doi.org/10.3390/info15010004")</f>
        <v>6724</v>
      </c>
      <c r="BL284" t="s" s="0">
        <v>81</v>
      </c>
      <c r="BM284" t="s" s="0">
        <v>81</v>
      </c>
      <c r="BN284" t="s" s="0">
        <v>1883</v>
      </c>
      <c r="BO284" t="s" s="0">
        <v>5722</v>
      </c>
      <c r="BP284" t="s" s="0">
        <v>152</v>
      </c>
      <c r="BQ284" t="s" s="0">
        <v>6725</v>
      </c>
      <c r="BR284" t="s" s="0">
        <v>81</v>
      </c>
      <c r="BS284" t="s" s="0">
        <v>6726</v>
      </c>
      <c r="BT284" t="s" s="563">
        <f>HYPERLINK("https://www.webofscience.com/wos/woscc/full-record/WOS:001151235200001","View Record in Web of Science")</f>
        <v>114</v>
      </c>
      <c r="BU284" t="s" s="0">
        <v>301</v>
      </c>
      <c r="BV284" t="s" s="0">
        <v>81</v>
      </c>
      <c r="BW284" t="s" s="0">
        <v>81</v>
      </c>
      <c r="BX284" t="s" s="0">
        <v>116</v>
      </c>
    </row>
    <row r="285">
      <c r="A285" t="s" s="0">
        <v>77</v>
      </c>
      <c r="B285" t="s" s="0">
        <v>77</v>
      </c>
      <c r="C285" t="s" s="0">
        <v>77</v>
      </c>
      <c r="D285" t="s" s="0">
        <v>77</v>
      </c>
      <c r="E285" t="s" s="0">
        <v>6727</v>
      </c>
      <c r="F285" t="s" s="0">
        <v>6728</v>
      </c>
      <c r="G285" t="s" s="0">
        <v>6729</v>
      </c>
      <c r="H285" t="s" s="0">
        <v>81</v>
      </c>
      <c r="I285" t="s" s="0">
        <v>82</v>
      </c>
      <c r="J285" t="s" s="0">
        <v>6730</v>
      </c>
      <c r="K285" t="s" s="0">
        <v>6731</v>
      </c>
      <c r="L285" t="s" s="0">
        <v>6732</v>
      </c>
      <c r="M285" t="s" s="0">
        <v>6733</v>
      </c>
      <c r="N285" t="s" s="0">
        <v>6734</v>
      </c>
      <c r="O285" t="s" s="0">
        <v>6735</v>
      </c>
      <c r="P285" t="s" s="0">
        <v>81</v>
      </c>
      <c r="Q285" t="s" s="0">
        <v>87</v>
      </c>
      <c r="R285" t="s" s="0">
        <v>81</v>
      </c>
      <c r="S285" t="s" s="0">
        <v>81</v>
      </c>
      <c r="T285" t="s" s="0">
        <v>81</v>
      </c>
      <c r="U285" t="s" s="0">
        <v>81</v>
      </c>
      <c r="V285" t="s" s="0">
        <v>6736</v>
      </c>
      <c r="W285" t="s" s="0">
        <v>910</v>
      </c>
      <c r="X285" t="s" s="0">
        <v>81</v>
      </c>
      <c r="Y285" t="s" s="0">
        <v>81</v>
      </c>
      <c r="Z285" t="s" s="0">
        <v>90</v>
      </c>
      <c r="AA285" t="s" s="0">
        <v>91</v>
      </c>
      <c r="AB285" t="s" s="0">
        <v>81</v>
      </c>
      <c r="AC285" t="s" s="0">
        <v>81</v>
      </c>
      <c r="AD285" t="s" s="0">
        <v>81</v>
      </c>
      <c r="AE285" t="s" s="0">
        <v>81</v>
      </c>
      <c r="AF285" t="s" s="0">
        <v>81</v>
      </c>
      <c r="AG285" t="s" s="0">
        <v>6737</v>
      </c>
      <c r="AH285" t="s" s="0">
        <v>81</v>
      </c>
      <c r="AI285" t="s" s="0">
        <v>6738</v>
      </c>
      <c r="AJ285" t="s" s="0">
        <v>6739</v>
      </c>
      <c r="AK285" t="s" s="0">
        <v>81</v>
      </c>
      <c r="AL285" t="s" s="0">
        <v>671</v>
      </c>
      <c r="AM285" t="s" s="0">
        <v>381</v>
      </c>
      <c r="AN285" t="s" s="0">
        <v>261</v>
      </c>
      <c r="AO285" t="s" s="0">
        <v>316</v>
      </c>
      <c r="AP285" t="s" s="0">
        <v>222</v>
      </c>
      <c r="AQ285" t="s" s="0">
        <v>915</v>
      </c>
      <c r="AR285" t="s" s="0">
        <v>916</v>
      </c>
      <c r="AS285" t="s" s="0">
        <v>917</v>
      </c>
      <c r="AT285" t="s" s="0">
        <v>918</v>
      </c>
      <c r="AU285" t="s" s="0">
        <v>81</v>
      </c>
      <c r="AV285" t="s" s="0">
        <v>81</v>
      </c>
      <c r="AW285" t="s" s="0">
        <v>919</v>
      </c>
      <c r="AX285" t="s" s="0">
        <v>920</v>
      </c>
      <c r="AY285" t="s" s="0">
        <v>6740</v>
      </c>
      <c r="AZ285" t="s" s="0">
        <v>290</v>
      </c>
      <c r="BA285" t="s" s="0">
        <v>291</v>
      </c>
      <c r="BB285" t="s" s="0">
        <v>97</v>
      </c>
      <c r="BC285" t="s" s="0">
        <v>81</v>
      </c>
      <c r="BD285" t="s" s="0">
        <v>81</v>
      </c>
      <c r="BE285" t="s" s="0">
        <v>81</v>
      </c>
      <c r="BF285" t="s" s="0">
        <v>81</v>
      </c>
      <c r="BG285" t="s" s="0">
        <v>81</v>
      </c>
      <c r="BH285" t="s" s="0">
        <v>81</v>
      </c>
      <c r="BI285" t="s" s="0">
        <v>6741</v>
      </c>
      <c r="BJ285" t="s" s="0">
        <v>6742</v>
      </c>
      <c r="BK285" t="s" s="564">
        <f>HYPERLINK("http://dx.doi.org/10.1038/s41598-025-08080-5","http://dx.doi.org/10.1038/s41598-025-08080-5")</f>
        <v>6743</v>
      </c>
      <c r="BL285" t="s" s="0">
        <v>81</v>
      </c>
      <c r="BM285" t="s" s="0">
        <v>81</v>
      </c>
      <c r="BN285" t="s" s="0">
        <v>191</v>
      </c>
      <c r="BO285" t="s" s="0">
        <v>926</v>
      </c>
      <c r="BP285" t="s" s="0">
        <v>927</v>
      </c>
      <c r="BQ285" t="s" s="0">
        <v>6744</v>
      </c>
      <c r="BR285" t="s" s="0">
        <v>6745</v>
      </c>
      <c r="BS285" t="s" s="0">
        <v>6746</v>
      </c>
      <c r="BT285" t="s" s="565">
        <f>HYPERLINK("https://www.webofscience.com/wos/woscc/full-record/WOS:001522003700015","View Record in Web of Science")</f>
        <v>114</v>
      </c>
      <c r="BU285" t="s" s="0">
        <v>301</v>
      </c>
      <c r="BV285" t="s" s="0">
        <v>81</v>
      </c>
      <c r="BW285" t="s" s="0">
        <v>81</v>
      </c>
      <c r="BX285" t="s" s="0">
        <v>116</v>
      </c>
    </row>
    <row r="286">
      <c r="A286" t="s" s="0">
        <v>77</v>
      </c>
      <c r="B286" t="s" s="0">
        <v>77</v>
      </c>
      <c r="C286" t="s" s="0">
        <v>97</v>
      </c>
      <c r="D286" t="s" s="0">
        <v>77</v>
      </c>
      <c r="E286" t="s" s="0">
        <v>6747</v>
      </c>
      <c r="F286" t="s" s="0">
        <v>6748</v>
      </c>
      <c r="G286" t="s" s="0">
        <v>6749</v>
      </c>
      <c r="H286" t="s" s="0">
        <v>81</v>
      </c>
      <c r="I286" t="s" s="0">
        <v>82</v>
      </c>
      <c r="J286" t="s" s="0">
        <v>6750</v>
      </c>
      <c r="K286" t="s" s="0">
        <v>6751</v>
      </c>
      <c r="L286" t="s" s="0">
        <v>6752</v>
      </c>
      <c r="M286" t="s" s="0">
        <v>6753</v>
      </c>
      <c r="N286" t="s" s="0">
        <v>6754</v>
      </c>
      <c r="O286" t="s" s="0">
        <v>6755</v>
      </c>
      <c r="P286" t="s" s="0">
        <v>6756</v>
      </c>
      <c r="Q286" t="s" s="0">
        <v>87</v>
      </c>
      <c r="R286" t="s" s="0">
        <v>81</v>
      </c>
      <c r="S286" t="s" s="0">
        <v>81</v>
      </c>
      <c r="T286" t="s" s="0">
        <v>81</v>
      </c>
      <c r="U286" t="s" s="0">
        <v>81</v>
      </c>
      <c r="V286" t="s" s="0">
        <v>6757</v>
      </c>
      <c r="W286" t="s" s="0">
        <v>4424</v>
      </c>
      <c r="X286" t="s" s="0">
        <v>81</v>
      </c>
      <c r="Y286" t="s" s="0">
        <v>81</v>
      </c>
      <c r="Z286" t="s" s="0">
        <v>90</v>
      </c>
      <c r="AA286" t="s" s="0">
        <v>91</v>
      </c>
      <c r="AB286" t="s" s="0">
        <v>81</v>
      </c>
      <c r="AC286" t="s" s="0">
        <v>81</v>
      </c>
      <c r="AD286" t="s" s="0">
        <v>81</v>
      </c>
      <c r="AE286" t="s" s="0">
        <v>81</v>
      </c>
      <c r="AF286" t="s" s="0">
        <v>81</v>
      </c>
      <c r="AG286" t="s" s="0">
        <v>81</v>
      </c>
      <c r="AH286" t="s" s="0">
        <v>6758</v>
      </c>
      <c r="AI286" t="s" s="0">
        <v>6759</v>
      </c>
      <c r="AJ286" t="s" s="0">
        <v>6760</v>
      </c>
      <c r="AK286" t="s" s="0">
        <v>81</v>
      </c>
      <c r="AL286" t="s" s="0">
        <v>1785</v>
      </c>
      <c r="AM286" t="s" s="0">
        <v>925</v>
      </c>
      <c r="AN286" t="s" s="0">
        <v>222</v>
      </c>
      <c r="AO286" t="s" s="0">
        <v>196</v>
      </c>
      <c r="AP286" t="s" s="0">
        <v>135</v>
      </c>
      <c r="AQ286" t="s" s="0">
        <v>915</v>
      </c>
      <c r="AR286" t="s" s="0">
        <v>916</v>
      </c>
      <c r="AS286" t="s" s="0">
        <v>917</v>
      </c>
      <c r="AT286" t="s" s="0">
        <v>4426</v>
      </c>
      <c r="AU286" t="s" s="0">
        <v>81</v>
      </c>
      <c r="AV286" t="s" s="0">
        <v>81</v>
      </c>
      <c r="AW286" t="s" s="0">
        <v>4427</v>
      </c>
      <c r="AX286" t="s" s="0">
        <v>4428</v>
      </c>
      <c r="AY286" t="s" s="0">
        <v>6761</v>
      </c>
      <c r="AZ286" t="s" s="0">
        <v>185</v>
      </c>
      <c r="BA286" t="s" s="0">
        <v>234</v>
      </c>
      <c r="BB286" t="s" s="0">
        <v>97</v>
      </c>
      <c r="BC286" t="s" s="0">
        <v>81</v>
      </c>
      <c r="BD286" t="s" s="0">
        <v>81</v>
      </c>
      <c r="BE286" t="s" s="0">
        <v>81</v>
      </c>
      <c r="BF286" t="s" s="0">
        <v>81</v>
      </c>
      <c r="BG286" t="s" s="0">
        <v>81</v>
      </c>
      <c r="BH286" t="s" s="0">
        <v>81</v>
      </c>
      <c r="BI286" t="s" s="0">
        <v>6762</v>
      </c>
      <c r="BJ286" t="s" s="0">
        <v>6763</v>
      </c>
      <c r="BK286" t="s" s="566">
        <f>HYPERLINK("http://dx.doi.org/10.1038/s41746-024-01200-x","http://dx.doi.org/10.1038/s41746-024-01200-x")</f>
        <v>6764</v>
      </c>
      <c r="BL286" t="s" s="0">
        <v>81</v>
      </c>
      <c r="BM286" t="s" s="0">
        <v>81</v>
      </c>
      <c r="BN286" t="s" s="0">
        <v>211</v>
      </c>
      <c r="BO286" t="s" s="0">
        <v>792</v>
      </c>
      <c r="BP286" t="s" s="0">
        <v>792</v>
      </c>
      <c r="BQ286" t="s" s="0">
        <v>6765</v>
      </c>
      <c r="BR286" t="s" s="0">
        <v>6766</v>
      </c>
      <c r="BS286" t="s" s="0">
        <v>6767</v>
      </c>
      <c r="BT286" t="s" s="567">
        <f>HYPERLINK("https://www.webofscience.com/wos/woscc/full-record/WOS:001282760400001","View Record in Web of Science")</f>
        <v>114</v>
      </c>
      <c r="BU286" t="s" s="0">
        <v>301</v>
      </c>
      <c r="BV286" t="s" s="0">
        <v>81</v>
      </c>
      <c r="BW286" t="s" s="0">
        <v>81</v>
      </c>
      <c r="BX286" t="s" s="0">
        <v>116</v>
      </c>
    </row>
    <row r="287">
      <c r="A287" t="s" s="0">
        <v>77</v>
      </c>
      <c r="B287" t="s" s="0">
        <v>77</v>
      </c>
      <c r="C287" t="s" s="0">
        <v>77</v>
      </c>
      <c r="D287" t="s" s="0">
        <v>77</v>
      </c>
      <c r="E287" t="s" s="0">
        <v>6768</v>
      </c>
      <c r="F287" t="s" s="0">
        <v>6769</v>
      </c>
      <c r="G287" t="s" s="0">
        <v>6770</v>
      </c>
      <c r="H287" t="s" s="0">
        <v>81</v>
      </c>
      <c r="I287" t="s" s="0">
        <v>238</v>
      </c>
      <c r="J287" t="s" s="0">
        <v>6771</v>
      </c>
      <c r="K287" t="s" s="0">
        <v>6772</v>
      </c>
      <c r="L287" t="s" s="0">
        <v>81</v>
      </c>
      <c r="M287" t="s" s="0">
        <v>81</v>
      </c>
      <c r="N287" t="s" s="0">
        <v>81</v>
      </c>
      <c r="O287" t="s" s="0">
        <v>6773</v>
      </c>
      <c r="P287" t="s" s="0">
        <v>6774</v>
      </c>
      <c r="Q287" t="s" s="0">
        <v>87</v>
      </c>
      <c r="R287" t="s" s="0">
        <v>81</v>
      </c>
      <c r="S287" t="s" s="0">
        <v>81</v>
      </c>
      <c r="T287" t="s" s="0">
        <v>81</v>
      </c>
      <c r="U287" t="s" s="0">
        <v>81</v>
      </c>
      <c r="V287" t="s" s="0">
        <v>6775</v>
      </c>
      <c r="W287" t="s" s="0">
        <v>6776</v>
      </c>
      <c r="X287" t="s" s="0">
        <v>81</v>
      </c>
      <c r="Y287" t="s" s="0">
        <v>81</v>
      </c>
      <c r="Z287" t="s" s="0">
        <v>90</v>
      </c>
      <c r="AA287" t="s" s="0">
        <v>91</v>
      </c>
      <c r="AB287" t="s" s="0">
        <v>81</v>
      </c>
      <c r="AC287" t="s" s="0">
        <v>81</v>
      </c>
      <c r="AD287" t="s" s="0">
        <v>81</v>
      </c>
      <c r="AE287" t="s" s="0">
        <v>81</v>
      </c>
      <c r="AF287" t="s" s="0">
        <v>81</v>
      </c>
      <c r="AG287" t="s" s="0">
        <v>6777</v>
      </c>
      <c r="AH287" t="s" s="0">
        <v>6778</v>
      </c>
      <c r="AI287" t="s" s="0">
        <v>6779</v>
      </c>
      <c r="AJ287" t="s" s="0">
        <v>81</v>
      </c>
      <c r="AK287" t="s" s="0">
        <v>81</v>
      </c>
      <c r="AL287" t="s" s="0">
        <v>756</v>
      </c>
      <c r="AM287" t="s" s="0">
        <v>77</v>
      </c>
      <c r="AN287" t="s" s="0">
        <v>77</v>
      </c>
      <c r="AO287" t="s" s="0">
        <v>77</v>
      </c>
      <c r="AP287" t="s" s="0">
        <v>196</v>
      </c>
      <c r="AQ287" t="s" s="0">
        <v>457</v>
      </c>
      <c r="AR287" t="s" s="0">
        <v>458</v>
      </c>
      <c r="AS287" t="s" s="0">
        <v>459</v>
      </c>
      <c r="AT287" t="s" s="0">
        <v>6780</v>
      </c>
      <c r="AU287" t="s" s="0">
        <v>6781</v>
      </c>
      <c r="AV287" t="s" s="0">
        <v>81</v>
      </c>
      <c r="AW287" t="s" s="0">
        <v>6782</v>
      </c>
      <c r="AX287" t="s" s="0">
        <v>6783</v>
      </c>
      <c r="AY287" t="s" s="0">
        <v>185</v>
      </c>
      <c r="AZ287" t="s" s="0">
        <v>185</v>
      </c>
      <c r="BA287" t="s" s="0">
        <v>134</v>
      </c>
      <c r="BB287" t="s" s="0">
        <v>175</v>
      </c>
      <c r="BC287" t="s" s="0">
        <v>81</v>
      </c>
      <c r="BD287" t="s" s="0">
        <v>81</v>
      </c>
      <c r="BE287" t="s" s="0">
        <v>81</v>
      </c>
      <c r="BF287" t="s" s="0">
        <v>81</v>
      </c>
      <c r="BG287" t="s" s="0">
        <v>81</v>
      </c>
      <c r="BH287" t="s" s="0">
        <v>81</v>
      </c>
      <c r="BI287" t="s" s="0">
        <v>81</v>
      </c>
      <c r="BJ287" t="s" s="0">
        <v>6784</v>
      </c>
      <c r="BK287" t="s" s="568">
        <f>HYPERLINK("http://dx.doi.org/10.1504/IJIEI.2024.10065857","http://dx.doi.org/10.1504/IJIEI.2024.10065857")</f>
        <v>6785</v>
      </c>
      <c r="BL287" t="s" s="0">
        <v>81</v>
      </c>
      <c r="BM287" t="s" s="0">
        <v>81</v>
      </c>
      <c r="BN287" t="s" s="0">
        <v>252</v>
      </c>
      <c r="BO287" t="s" s="0">
        <v>1493</v>
      </c>
      <c r="BP287" t="s" s="0">
        <v>152</v>
      </c>
      <c r="BQ287" t="s" s="0">
        <v>6786</v>
      </c>
      <c r="BR287" t="s" s="0">
        <v>81</v>
      </c>
      <c r="BS287" t="s" s="0">
        <v>6787</v>
      </c>
      <c r="BT287" t="s" s="569">
        <f>HYPERLINK("https://www.webofscience.com/wos/woscc/full-record/WOS:001348104400001","View Record in Web of Science")</f>
        <v>114</v>
      </c>
      <c r="BU287" t="s" s="0">
        <v>81</v>
      </c>
      <c r="BV287" t="s" s="0">
        <v>81</v>
      </c>
      <c r="BW287" t="s" s="0">
        <v>81</v>
      </c>
      <c r="BX287" t="s" s="0">
        <v>116</v>
      </c>
    </row>
    <row r="288">
      <c r="A288" t="s" s="0">
        <v>77</v>
      </c>
      <c r="B288" t="s" s="0">
        <v>77</v>
      </c>
      <c r="C288" t="s" s="0">
        <v>381</v>
      </c>
      <c r="D288" t="s" s="0">
        <v>77</v>
      </c>
      <c r="E288" t="s" s="0">
        <v>6788</v>
      </c>
      <c r="F288" t="s" s="0">
        <v>6789</v>
      </c>
      <c r="G288" t="s" s="0">
        <v>6790</v>
      </c>
      <c r="H288" t="s" s="0">
        <v>81</v>
      </c>
      <c r="I288" t="s" s="0">
        <v>528</v>
      </c>
      <c r="J288" t="s" s="0">
        <v>6791</v>
      </c>
      <c r="K288" t="s" s="0">
        <v>6792</v>
      </c>
      <c r="L288" t="s" s="0">
        <v>6793</v>
      </c>
      <c r="M288" t="s" s="0">
        <v>6794</v>
      </c>
      <c r="N288" t="s" s="0">
        <v>6795</v>
      </c>
      <c r="O288" t="s" s="0">
        <v>6796</v>
      </c>
      <c r="P288" t="s" s="0">
        <v>6797</v>
      </c>
      <c r="Q288" t="s" s="0">
        <v>87</v>
      </c>
      <c r="R288" t="s" s="0">
        <v>81</v>
      </c>
      <c r="S288" t="s" s="0">
        <v>81</v>
      </c>
      <c r="T288" t="s" s="0">
        <v>81</v>
      </c>
      <c r="U288" t="s" s="0">
        <v>81</v>
      </c>
      <c r="V288" t="s" s="0">
        <v>6798</v>
      </c>
      <c r="W288" t="s" s="0">
        <v>6799</v>
      </c>
      <c r="X288" t="s" s="0">
        <v>81</v>
      </c>
      <c r="Y288" t="s" s="0">
        <v>81</v>
      </c>
      <c r="Z288" t="s" s="0">
        <v>90</v>
      </c>
      <c r="AA288" t="s" s="0">
        <v>91</v>
      </c>
      <c r="AB288" t="s" s="0">
        <v>81</v>
      </c>
      <c r="AC288" t="s" s="0">
        <v>81</v>
      </c>
      <c r="AD288" t="s" s="0">
        <v>81</v>
      </c>
      <c r="AE288" t="s" s="0">
        <v>81</v>
      </c>
      <c r="AF288" t="s" s="0">
        <v>81</v>
      </c>
      <c r="AG288" t="s" s="0">
        <v>6800</v>
      </c>
      <c r="AH288" t="s" s="0">
        <v>6801</v>
      </c>
      <c r="AI288" t="s" s="0">
        <v>81</v>
      </c>
      <c r="AJ288" t="s" s="0">
        <v>81</v>
      </c>
      <c r="AK288" t="s" s="0">
        <v>81</v>
      </c>
      <c r="AL288" t="s" s="0">
        <v>1116</v>
      </c>
      <c r="AM288" t="s" s="0">
        <v>1254</v>
      </c>
      <c r="AN288" t="s" s="0">
        <v>1684</v>
      </c>
      <c r="AO288" t="s" s="0">
        <v>234</v>
      </c>
      <c r="AP288" t="s" s="0">
        <v>221</v>
      </c>
      <c r="AQ288" t="s" s="0">
        <v>368</v>
      </c>
      <c r="AR288" t="s" s="0">
        <v>369</v>
      </c>
      <c r="AS288" t="s" s="0">
        <v>370</v>
      </c>
      <c r="AT288" t="s" s="0">
        <v>6802</v>
      </c>
      <c r="AU288" t="s" s="0">
        <v>81</v>
      </c>
      <c r="AV288" t="s" s="0">
        <v>81</v>
      </c>
      <c r="AW288" t="s" s="0">
        <v>6803</v>
      </c>
      <c r="AX288" t="s" s="0">
        <v>6804</v>
      </c>
      <c r="AY288" t="s" s="0">
        <v>6805</v>
      </c>
      <c r="AZ288" t="s" s="0">
        <v>260</v>
      </c>
      <c r="BA288" t="s" s="0">
        <v>104</v>
      </c>
      <c r="BB288" t="s" s="0">
        <v>81</v>
      </c>
      <c r="BC288" t="s" s="0">
        <v>81</v>
      </c>
      <c r="BD288" t="s" s="0">
        <v>81</v>
      </c>
      <c r="BE288" t="s" s="0">
        <v>81</v>
      </c>
      <c r="BF288" t="s" s="0">
        <v>81</v>
      </c>
      <c r="BG288" t="s" s="0">
        <v>81</v>
      </c>
      <c r="BH288" t="s" s="0">
        <v>81</v>
      </c>
      <c r="BI288" t="s" s="0">
        <v>6806</v>
      </c>
      <c r="BJ288" t="s" s="0">
        <v>6807</v>
      </c>
      <c r="BK288" t="s" s="570">
        <f>HYPERLINK("http://dx.doi.org/10.3389/fpsyt.2023.1219479","http://dx.doi.org/10.3389/fpsyt.2023.1219479")</f>
        <v>6808</v>
      </c>
      <c r="BL288" t="s" s="0">
        <v>81</v>
      </c>
      <c r="BM288" t="s" s="0">
        <v>81</v>
      </c>
      <c r="BN288" t="s" s="0">
        <v>295</v>
      </c>
      <c r="BO288" t="s" s="0">
        <v>6809</v>
      </c>
      <c r="BP288" t="s" s="0">
        <v>6809</v>
      </c>
      <c r="BQ288" t="s" s="0">
        <v>6810</v>
      </c>
      <c r="BR288" t="s" s="0">
        <v>6811</v>
      </c>
      <c r="BS288" t="s" s="0">
        <v>6812</v>
      </c>
      <c r="BT288" t="s" s="571">
        <f>HYPERLINK("https://www.webofscience.com/wos/woscc/full-record/WOS:001128811400001","View Record in Web of Science")</f>
        <v>114</v>
      </c>
      <c r="BU288" t="s" s="0">
        <v>301</v>
      </c>
      <c r="BV288" t="s" s="0">
        <v>81</v>
      </c>
      <c r="BW288" t="s" s="0">
        <v>81</v>
      </c>
      <c r="BX288" t="s" s="0">
        <v>116</v>
      </c>
    </row>
    <row r="289">
      <c r="A289" t="s" s="0">
        <v>77</v>
      </c>
      <c r="B289" t="s" s="0">
        <v>77</v>
      </c>
      <c r="C289" t="s" s="0">
        <v>97</v>
      </c>
      <c r="D289" t="s" s="0">
        <v>77</v>
      </c>
      <c r="E289" t="s" s="0">
        <v>6813</v>
      </c>
      <c r="F289" t="s" s="0">
        <v>6814</v>
      </c>
      <c r="G289" t="s" s="0">
        <v>6815</v>
      </c>
      <c r="H289" t="s" s="0">
        <v>81</v>
      </c>
      <c r="I289" t="s" s="0">
        <v>82</v>
      </c>
      <c r="J289" t="s" s="0">
        <v>6816</v>
      </c>
      <c r="K289" t="s" s="0">
        <v>6817</v>
      </c>
      <c r="L289" t="s" s="0">
        <v>6818</v>
      </c>
      <c r="M289" t="s" s="0">
        <v>6818</v>
      </c>
      <c r="N289" t="s" s="0">
        <v>6819</v>
      </c>
      <c r="O289" t="s" s="0">
        <v>6820</v>
      </c>
      <c r="P289" t="s" s="0">
        <v>6821</v>
      </c>
      <c r="Q289" t="s" s="0">
        <v>87</v>
      </c>
      <c r="R289" t="s" s="0">
        <v>81</v>
      </c>
      <c r="S289" t="s" s="0">
        <v>81</v>
      </c>
      <c r="T289" t="s" s="0">
        <v>81</v>
      </c>
      <c r="U289" t="s" s="0">
        <v>81</v>
      </c>
      <c r="V289" t="s" s="0">
        <v>6822</v>
      </c>
      <c r="W289" t="s" s="0">
        <v>862</v>
      </c>
      <c r="X289" t="s" s="0">
        <v>81</v>
      </c>
      <c r="Y289" t="s" s="0">
        <v>81</v>
      </c>
      <c r="Z289" t="s" s="0">
        <v>90</v>
      </c>
      <c r="AA289" t="s" s="0">
        <v>91</v>
      </c>
      <c r="AB289" t="s" s="0">
        <v>81</v>
      </c>
      <c r="AC289" t="s" s="0">
        <v>81</v>
      </c>
      <c r="AD289" t="s" s="0">
        <v>81</v>
      </c>
      <c r="AE289" t="s" s="0">
        <v>81</v>
      </c>
      <c r="AF289" t="s" s="0">
        <v>81</v>
      </c>
      <c r="AG289" t="s" s="0">
        <v>6823</v>
      </c>
      <c r="AH289" t="s" s="0">
        <v>81</v>
      </c>
      <c r="AI289" t="s" s="0">
        <v>6824</v>
      </c>
      <c r="AJ289" t="s" s="0">
        <v>6825</v>
      </c>
      <c r="AK289" t="s" s="0">
        <v>81</v>
      </c>
      <c r="AL289" t="s" s="0">
        <v>671</v>
      </c>
      <c r="AM289" t="s" s="0">
        <v>175</v>
      </c>
      <c r="AN289" t="s" s="0">
        <v>133</v>
      </c>
      <c r="AO289" t="s" s="0">
        <v>175</v>
      </c>
      <c r="AP289" t="s" s="0">
        <v>104</v>
      </c>
      <c r="AQ289" t="s" s="0">
        <v>865</v>
      </c>
      <c r="AR289" t="s" s="0">
        <v>546</v>
      </c>
      <c r="AS289" t="s" s="0">
        <v>866</v>
      </c>
      <c r="AT289" t="s" s="0">
        <v>81</v>
      </c>
      <c r="AU289" t="s" s="0">
        <v>867</v>
      </c>
      <c r="AV289" t="s" s="0">
        <v>81</v>
      </c>
      <c r="AW289" t="s" s="0">
        <v>868</v>
      </c>
      <c r="AX289" t="s" s="0">
        <v>869</v>
      </c>
      <c r="AY289" t="s" s="0">
        <v>6826</v>
      </c>
      <c r="AZ289" t="s" s="0">
        <v>290</v>
      </c>
      <c r="BA289" t="s" s="0">
        <v>191</v>
      </c>
      <c r="BB289" t="s" s="0">
        <v>81</v>
      </c>
      <c r="BC289" t="s" s="0">
        <v>81</v>
      </c>
      <c r="BD289" t="s" s="0">
        <v>81</v>
      </c>
      <c r="BE289" t="s" s="0">
        <v>81</v>
      </c>
      <c r="BF289" t="s" s="0">
        <v>81</v>
      </c>
      <c r="BG289" t="s" s="0">
        <v>81</v>
      </c>
      <c r="BH289" t="s" s="0">
        <v>81</v>
      </c>
      <c r="BI289" t="s" s="0">
        <v>6827</v>
      </c>
      <c r="BJ289" t="s" s="0">
        <v>6828</v>
      </c>
      <c r="BK289" t="s" s="572">
        <f>HYPERLINK("http://dx.doi.org/10.7717/peerj-cs.2839","http://dx.doi.org/10.7717/peerj-cs.2839")</f>
        <v>6829</v>
      </c>
      <c r="BL289" t="s" s="0">
        <v>81</v>
      </c>
      <c r="BM289" t="s" s="0">
        <v>81</v>
      </c>
      <c r="BN289" t="s" s="0">
        <v>109</v>
      </c>
      <c r="BO289" t="s" s="0">
        <v>875</v>
      </c>
      <c r="BP289" t="s" s="0">
        <v>152</v>
      </c>
      <c r="BQ289" t="s" s="0">
        <v>6830</v>
      </c>
      <c r="BR289" t="s" s="0">
        <v>6831</v>
      </c>
      <c r="BS289" t="s" s="0">
        <v>6832</v>
      </c>
      <c r="BT289" t="s" s="573">
        <f>HYPERLINK("https://www.webofscience.com/wos/woscc/full-record/WOS:001480517000001","View Record in Web of Science")</f>
        <v>114</v>
      </c>
      <c r="BU289" t="s" s="0">
        <v>301</v>
      </c>
      <c r="BV289" t="s" s="0">
        <v>81</v>
      </c>
      <c r="BW289" t="s" s="0">
        <v>81</v>
      </c>
      <c r="BX289" t="s" s="0">
        <v>116</v>
      </c>
    </row>
    <row r="290">
      <c r="A290" t="s" s="0">
        <v>156</v>
      </c>
      <c r="B290" t="s" s="0">
        <v>77</v>
      </c>
      <c r="C290" t="s" s="0">
        <v>175</v>
      </c>
      <c r="D290" t="s" s="0">
        <v>77</v>
      </c>
      <c r="E290" t="s" s="0">
        <v>6833</v>
      </c>
      <c r="F290" t="s" s="0">
        <v>6834</v>
      </c>
      <c r="G290" t="s" s="0">
        <v>6835</v>
      </c>
      <c r="H290" t="s" s="0">
        <v>81</v>
      </c>
      <c r="I290" t="s" s="0">
        <v>82</v>
      </c>
      <c r="J290" t="s" s="0">
        <v>6836</v>
      </c>
      <c r="K290" t="s" s="0">
        <v>6837</v>
      </c>
      <c r="L290" t="s" s="0">
        <v>81</v>
      </c>
      <c r="M290" t="s" s="0">
        <v>81</v>
      </c>
      <c r="N290" t="s" s="0">
        <v>81</v>
      </c>
      <c r="O290" t="s" s="0">
        <v>6838</v>
      </c>
      <c r="P290" t="s" s="0">
        <v>6839</v>
      </c>
      <c r="Q290" t="s" s="0">
        <v>87</v>
      </c>
      <c r="R290" t="s" s="0">
        <v>81</v>
      </c>
      <c r="S290" t="s" s="0">
        <v>81</v>
      </c>
      <c r="T290" t="s" s="0">
        <v>81</v>
      </c>
      <c r="U290" t="s" s="0">
        <v>81</v>
      </c>
      <c r="V290" t="s" s="0">
        <v>6840</v>
      </c>
      <c r="W290" t="s" s="0">
        <v>6841</v>
      </c>
      <c r="X290" t="s" s="0">
        <v>81</v>
      </c>
      <c r="Y290" t="s" s="0">
        <v>81</v>
      </c>
      <c r="Z290" t="s" s="0">
        <v>90</v>
      </c>
      <c r="AA290" t="s" s="0">
        <v>91</v>
      </c>
      <c r="AB290" t="s" s="0">
        <v>81</v>
      </c>
      <c r="AC290" t="s" s="0">
        <v>81</v>
      </c>
      <c r="AD290" t="s" s="0">
        <v>81</v>
      </c>
      <c r="AE290" t="s" s="0">
        <v>81</v>
      </c>
      <c r="AF290" t="s" s="0">
        <v>81</v>
      </c>
      <c r="AG290" t="s" s="0">
        <v>6842</v>
      </c>
      <c r="AH290" t="s" s="0">
        <v>6843</v>
      </c>
      <c r="AI290" t="s" s="0">
        <v>6844</v>
      </c>
      <c r="AJ290" t="s" s="0">
        <v>6845</v>
      </c>
      <c r="AK290" t="s" s="0">
        <v>81</v>
      </c>
      <c r="AL290" t="s" s="0">
        <v>1837</v>
      </c>
      <c r="AM290" t="s" s="0">
        <v>485</v>
      </c>
      <c r="AN290" t="s" s="0">
        <v>210</v>
      </c>
      <c r="AO290" t="s" s="0">
        <v>196</v>
      </c>
      <c r="AP290" t="s" s="0">
        <v>295</v>
      </c>
      <c r="AQ290" t="s" s="0">
        <v>603</v>
      </c>
      <c r="AR290" t="s" s="0">
        <v>604</v>
      </c>
      <c r="AS290" t="s" s="0">
        <v>605</v>
      </c>
      <c r="AT290" t="s" s="0">
        <v>6846</v>
      </c>
      <c r="AU290" t="s" s="0">
        <v>6847</v>
      </c>
      <c r="AV290" t="s" s="0">
        <v>81</v>
      </c>
      <c r="AW290" t="s" s="0">
        <v>6841</v>
      </c>
      <c r="AX290" t="s" s="0">
        <v>6848</v>
      </c>
      <c r="AY290" t="s" s="0">
        <v>643</v>
      </c>
      <c r="AZ290" t="s" s="0">
        <v>290</v>
      </c>
      <c r="BA290" t="s" s="0">
        <v>222</v>
      </c>
      <c r="BB290" t="s" s="0">
        <v>97</v>
      </c>
      <c r="BC290" t="s" s="0">
        <v>81</v>
      </c>
      <c r="BD290" t="s" s="0">
        <v>81</v>
      </c>
      <c r="BE290" t="s" s="0">
        <v>81</v>
      </c>
      <c r="BF290" t="s" s="0">
        <v>81</v>
      </c>
      <c r="BG290" t="s" s="0">
        <v>81</v>
      </c>
      <c r="BH290" t="s" s="0">
        <v>81</v>
      </c>
      <c r="BI290" t="s" s="0">
        <v>6849</v>
      </c>
      <c r="BJ290" t="s" s="0">
        <v>6850</v>
      </c>
      <c r="BK290" t="s" s="574">
        <f>HYPERLINK("http://dx.doi.org/10.1080/19490976.2025.2543124","http://dx.doi.org/10.1080/19490976.2025.2543124")</f>
        <v>6851</v>
      </c>
      <c r="BL290" t="s" s="0">
        <v>81</v>
      </c>
      <c r="BM290" t="s" s="0">
        <v>81</v>
      </c>
      <c r="BN290" t="s" s="0">
        <v>367</v>
      </c>
      <c r="BO290" t="s" s="0">
        <v>6852</v>
      </c>
      <c r="BP290" t="s" s="0">
        <v>6852</v>
      </c>
      <c r="BQ290" t="s" s="0">
        <v>6853</v>
      </c>
      <c r="BR290" t="s" s="0">
        <v>6854</v>
      </c>
      <c r="BS290" t="s" s="0">
        <v>6855</v>
      </c>
      <c r="BT290" t="s" s="575">
        <f>HYPERLINK("https://www.webofscience.com/wos/woscc/full-record/WOS:001544723400001","View Record in Web of Science")</f>
        <v>114</v>
      </c>
      <c r="BU290" t="s" s="0">
        <v>650</v>
      </c>
      <c r="BV290" t="s" s="0">
        <v>81</v>
      </c>
      <c r="BW290" t="s" s="0">
        <v>81</v>
      </c>
      <c r="BX290" t="s" s="0">
        <v>116</v>
      </c>
    </row>
    <row r="291">
      <c r="A291" t="s" s="0">
        <v>77</v>
      </c>
      <c r="B291" t="s" s="0">
        <v>77</v>
      </c>
      <c r="C291" t="s" s="0">
        <v>77</v>
      </c>
      <c r="D291" t="s" s="0">
        <v>77</v>
      </c>
      <c r="E291" t="s" s="0">
        <v>6856</v>
      </c>
      <c r="F291" t="s" s="0">
        <v>6857</v>
      </c>
      <c r="G291" t="s" s="0">
        <v>6858</v>
      </c>
      <c r="H291" t="s" s="0">
        <v>81</v>
      </c>
      <c r="I291" t="s" s="0">
        <v>238</v>
      </c>
      <c r="J291" t="s" s="0">
        <v>6859</v>
      </c>
      <c r="K291" t="s" s="0">
        <v>6860</v>
      </c>
      <c r="L291" t="s" s="0">
        <v>81</v>
      </c>
      <c r="M291" t="s" s="0">
        <v>81</v>
      </c>
      <c r="N291" t="s" s="0">
        <v>81</v>
      </c>
      <c r="O291" t="s" s="0">
        <v>6861</v>
      </c>
      <c r="P291" t="s" s="0">
        <v>6862</v>
      </c>
      <c r="Q291" t="s" s="0">
        <v>87</v>
      </c>
      <c r="R291" t="s" s="0">
        <v>81</v>
      </c>
      <c r="S291" t="s" s="0">
        <v>81</v>
      </c>
      <c r="T291" t="s" s="0">
        <v>81</v>
      </c>
      <c r="U291" t="s" s="0">
        <v>81</v>
      </c>
      <c r="V291" t="s" s="0">
        <v>6863</v>
      </c>
      <c r="W291" t="s" s="0">
        <v>2096</v>
      </c>
      <c r="X291" t="s" s="0">
        <v>81</v>
      </c>
      <c r="Y291" t="s" s="0">
        <v>81</v>
      </c>
      <c r="Z291" t="s" s="0">
        <v>90</v>
      </c>
      <c r="AA291" t="s" s="0">
        <v>91</v>
      </c>
      <c r="AB291" t="s" s="0">
        <v>81</v>
      </c>
      <c r="AC291" t="s" s="0">
        <v>81</v>
      </c>
      <c r="AD291" t="s" s="0">
        <v>81</v>
      </c>
      <c r="AE291" t="s" s="0">
        <v>81</v>
      </c>
      <c r="AF291" t="s" s="0">
        <v>81</v>
      </c>
      <c r="AG291" t="s" s="0">
        <v>6864</v>
      </c>
      <c r="AH291" t="s" s="0">
        <v>81</v>
      </c>
      <c r="AI291" t="s" s="0">
        <v>81</v>
      </c>
      <c r="AJ291" t="s" s="0">
        <v>81</v>
      </c>
      <c r="AK291" t="s" s="0">
        <v>81</v>
      </c>
      <c r="AL291" t="s" s="0">
        <v>135</v>
      </c>
      <c r="AM291" t="s" s="0">
        <v>316</v>
      </c>
      <c r="AN291" t="s" s="0">
        <v>381</v>
      </c>
      <c r="AO291" t="s" s="0">
        <v>381</v>
      </c>
      <c r="AP291" t="s" s="0">
        <v>221</v>
      </c>
      <c r="AQ291" t="s" s="0">
        <v>212</v>
      </c>
      <c r="AR291" t="s" s="0">
        <v>429</v>
      </c>
      <c r="AS291" t="s" s="0">
        <v>784</v>
      </c>
      <c r="AT291" t="s" s="0">
        <v>2100</v>
      </c>
      <c r="AU291" t="s" s="0">
        <v>2101</v>
      </c>
      <c r="AV291" t="s" s="0">
        <v>81</v>
      </c>
      <c r="AW291" t="s" s="0">
        <v>2102</v>
      </c>
      <c r="AX291" t="s" s="0">
        <v>2103</v>
      </c>
      <c r="AY291" t="s" s="0">
        <v>2077</v>
      </c>
      <c r="AZ291" t="s" s="0">
        <v>260</v>
      </c>
      <c r="BA291" t="s" s="0">
        <v>174</v>
      </c>
      <c r="BB291" t="s" s="0">
        <v>175</v>
      </c>
      <c r="BC291" t="s" s="0">
        <v>4172</v>
      </c>
      <c r="BD291" t="s" s="0">
        <v>81</v>
      </c>
      <c r="BE291" t="s" s="0">
        <v>81</v>
      </c>
      <c r="BF291" t="s" s="0">
        <v>81</v>
      </c>
      <c r="BG291" t="s" s="0">
        <v>6865</v>
      </c>
      <c r="BH291" t="s" s="0">
        <v>6866</v>
      </c>
      <c r="BI291" t="s" s="0">
        <v>81</v>
      </c>
      <c r="BJ291" t="s" s="0">
        <v>6867</v>
      </c>
      <c r="BK291" t="s" s="576">
        <f>HYPERLINK("http://dx.doi.org/10.1007/s00146-021-01336-4","http://dx.doi.org/10.1007/s00146-021-01336-4")</f>
        <v>6868</v>
      </c>
      <c r="BL291" t="s" s="0">
        <v>81</v>
      </c>
      <c r="BM291" t="s" s="0">
        <v>6869</v>
      </c>
      <c r="BN291" t="s" s="0">
        <v>234</v>
      </c>
      <c r="BO291" t="s" s="0">
        <v>409</v>
      </c>
      <c r="BP291" t="s" s="0">
        <v>152</v>
      </c>
      <c r="BQ291" t="s" s="0">
        <v>6870</v>
      </c>
      <c r="BR291" t="s" s="0">
        <v>81</v>
      </c>
      <c r="BS291" t="s" s="0">
        <v>6871</v>
      </c>
      <c r="BT291" t="s" s="577">
        <f>HYPERLINK("https://www.webofscience.com/wos/woscc/full-record/WOS:000737750800001","View Record in Web of Science")</f>
        <v>114</v>
      </c>
      <c r="BU291" t="s" s="0">
        <v>233</v>
      </c>
      <c r="BV291" t="s" s="0">
        <v>81</v>
      </c>
      <c r="BW291" t="s" s="0">
        <v>81</v>
      </c>
      <c r="BX291" t="s" s="0">
        <v>116</v>
      </c>
    </row>
    <row r="292">
      <c r="A292" t="s" s="0">
        <v>77</v>
      </c>
      <c r="B292" t="s" s="0">
        <v>77</v>
      </c>
      <c r="C292" t="s" s="0">
        <v>77</v>
      </c>
      <c r="D292" t="s" s="0">
        <v>77</v>
      </c>
      <c r="E292" t="s" s="0">
        <v>6872</v>
      </c>
      <c r="F292" t="s" s="0">
        <v>6873</v>
      </c>
      <c r="G292" t="s" s="0">
        <v>6874</v>
      </c>
      <c r="H292" t="s" s="0">
        <v>81</v>
      </c>
      <c r="I292" t="s" s="0">
        <v>82</v>
      </c>
      <c r="J292" t="s" s="0">
        <v>6875</v>
      </c>
      <c r="K292" t="s" s="0">
        <v>6876</v>
      </c>
      <c r="L292" t="s" s="0">
        <v>81</v>
      </c>
      <c r="M292" t="s" s="0">
        <v>81</v>
      </c>
      <c r="N292" t="s" s="0">
        <v>81</v>
      </c>
      <c r="O292" t="s" s="0">
        <v>6877</v>
      </c>
      <c r="P292" t="s" s="0">
        <v>6878</v>
      </c>
      <c r="Q292" t="s" s="0">
        <v>87</v>
      </c>
      <c r="R292" t="s" s="0">
        <v>81</v>
      </c>
      <c r="S292" t="s" s="0">
        <v>81</v>
      </c>
      <c r="T292" t="s" s="0">
        <v>81</v>
      </c>
      <c r="U292" t="s" s="0">
        <v>81</v>
      </c>
      <c r="V292" t="s" s="0">
        <v>6879</v>
      </c>
      <c r="W292" t="s" s="0">
        <v>4424</v>
      </c>
      <c r="X292" t="s" s="0">
        <v>81</v>
      </c>
      <c r="Y292" t="s" s="0">
        <v>81</v>
      </c>
      <c r="Z292" t="s" s="0">
        <v>90</v>
      </c>
      <c r="AA292" t="s" s="0">
        <v>91</v>
      </c>
      <c r="AB292" t="s" s="0">
        <v>81</v>
      </c>
      <c r="AC292" t="s" s="0">
        <v>81</v>
      </c>
      <c r="AD292" t="s" s="0">
        <v>81</v>
      </c>
      <c r="AE292" t="s" s="0">
        <v>81</v>
      </c>
      <c r="AF292" t="s" s="0">
        <v>81</v>
      </c>
      <c r="AG292" t="s" s="0">
        <v>81</v>
      </c>
      <c r="AH292" t="s" s="0">
        <v>81</v>
      </c>
      <c r="AI292" t="s" s="0">
        <v>81</v>
      </c>
      <c r="AJ292" t="s" s="0">
        <v>81</v>
      </c>
      <c r="AK292" t="s" s="0">
        <v>81</v>
      </c>
      <c r="AL292" t="s" s="0">
        <v>542</v>
      </c>
      <c r="AM292" t="s" s="0">
        <v>77</v>
      </c>
      <c r="AN292" t="s" s="0">
        <v>77</v>
      </c>
      <c r="AO292" t="s" s="0">
        <v>156</v>
      </c>
      <c r="AP292" t="s" s="0">
        <v>156</v>
      </c>
      <c r="AQ292" t="s" s="0">
        <v>915</v>
      </c>
      <c r="AR292" t="s" s="0">
        <v>916</v>
      </c>
      <c r="AS292" t="s" s="0">
        <v>917</v>
      </c>
      <c r="AT292" t="s" s="0">
        <v>4426</v>
      </c>
      <c r="AU292" t="s" s="0">
        <v>81</v>
      </c>
      <c r="AV292" t="s" s="0">
        <v>81</v>
      </c>
      <c r="AW292" t="s" s="0">
        <v>4427</v>
      </c>
      <c r="AX292" t="s" s="0">
        <v>4428</v>
      </c>
      <c r="AY292" t="s" s="0">
        <v>6880</v>
      </c>
      <c r="AZ292" t="s" s="0">
        <v>103</v>
      </c>
      <c r="BA292" t="s" s="0">
        <v>261</v>
      </c>
      <c r="BB292" t="s" s="0">
        <v>97</v>
      </c>
      <c r="BC292" t="s" s="0">
        <v>81</v>
      </c>
      <c r="BD292" t="s" s="0">
        <v>81</v>
      </c>
      <c r="BE292" t="s" s="0">
        <v>81</v>
      </c>
      <c r="BF292" t="s" s="0">
        <v>81</v>
      </c>
      <c r="BG292" t="s" s="0">
        <v>81</v>
      </c>
      <c r="BH292" t="s" s="0">
        <v>81</v>
      </c>
      <c r="BI292" t="s" s="0">
        <v>6881</v>
      </c>
      <c r="BJ292" t="s" s="0">
        <v>6882</v>
      </c>
      <c r="BK292" t="s" s="578">
        <f>HYPERLINK("http://dx.doi.org/10.1038/s41746-026-02835-8","http://dx.doi.org/10.1038/s41746-026-02835-8")</f>
        <v>6883</v>
      </c>
      <c r="BL292" t="s" s="0">
        <v>81</v>
      </c>
      <c r="BM292" t="s" s="0">
        <v>849</v>
      </c>
      <c r="BN292" t="s" s="0">
        <v>486</v>
      </c>
      <c r="BO292" t="s" s="0">
        <v>792</v>
      </c>
      <c r="BP292" t="s" s="0">
        <v>792</v>
      </c>
      <c r="BQ292" t="s" s="0">
        <v>6884</v>
      </c>
      <c r="BR292" t="s" s="0">
        <v>6885</v>
      </c>
      <c r="BS292" t="s" s="0">
        <v>6886</v>
      </c>
      <c r="BT292" t="s" s="579">
        <f>HYPERLINK("https://www.webofscience.com/wos/woscc/full-record/WOS:001804185600001","View Record in Web of Science")</f>
        <v>114</v>
      </c>
      <c r="BU292" t="s" s="0">
        <v>301</v>
      </c>
      <c r="BV292" t="s" s="0">
        <v>81</v>
      </c>
      <c r="BW292" t="s" s="0">
        <v>81</v>
      </c>
      <c r="BX292" t="s" s="0">
        <v>116</v>
      </c>
    </row>
    <row r="293">
      <c r="A293" t="s" s="0">
        <v>77</v>
      </c>
      <c r="B293" t="s" s="0">
        <v>77</v>
      </c>
      <c r="C293" t="s" s="0">
        <v>77</v>
      </c>
      <c r="D293" t="s" s="0">
        <v>77</v>
      </c>
      <c r="E293" t="s" s="0">
        <v>6887</v>
      </c>
      <c r="F293" t="s" s="0">
        <v>6888</v>
      </c>
      <c r="G293" t="s" s="0">
        <v>6889</v>
      </c>
      <c r="H293" t="s" s="0">
        <v>81</v>
      </c>
      <c r="I293" t="s" s="0">
        <v>238</v>
      </c>
      <c r="J293" t="s" s="0">
        <v>6890</v>
      </c>
      <c r="K293" t="s" s="0">
        <v>6891</v>
      </c>
      <c r="L293" t="s" s="0">
        <v>6892</v>
      </c>
      <c r="M293" t="s" s="0">
        <v>6893</v>
      </c>
      <c r="N293" t="s" s="0">
        <v>6894</v>
      </c>
      <c r="O293" t="s" s="0">
        <v>6895</v>
      </c>
      <c r="P293" t="s" s="0">
        <v>6896</v>
      </c>
      <c r="Q293" t="s" s="0">
        <v>87</v>
      </c>
      <c r="R293" t="s" s="0">
        <v>81</v>
      </c>
      <c r="S293" t="s" s="0">
        <v>81</v>
      </c>
      <c r="T293" t="s" s="0">
        <v>81</v>
      </c>
      <c r="U293" t="s" s="0">
        <v>81</v>
      </c>
      <c r="V293" t="s" s="0">
        <v>6897</v>
      </c>
      <c r="W293" t="s" s="0">
        <v>6898</v>
      </c>
      <c r="X293" t="s" s="0">
        <v>81</v>
      </c>
      <c r="Y293" t="s" s="0">
        <v>81</v>
      </c>
      <c r="Z293" t="s" s="0">
        <v>90</v>
      </c>
      <c r="AA293" t="s" s="0">
        <v>91</v>
      </c>
      <c r="AB293" t="s" s="0">
        <v>81</v>
      </c>
      <c r="AC293" t="s" s="0">
        <v>81</v>
      </c>
      <c r="AD293" t="s" s="0">
        <v>81</v>
      </c>
      <c r="AE293" t="s" s="0">
        <v>81</v>
      </c>
      <c r="AF293" t="s" s="0">
        <v>81</v>
      </c>
      <c r="AG293" t="s" s="0">
        <v>6899</v>
      </c>
      <c r="AH293" t="s" s="0">
        <v>6900</v>
      </c>
      <c r="AI293" t="s" s="0">
        <v>6901</v>
      </c>
      <c r="AJ293" t="s" s="0">
        <v>6902</v>
      </c>
      <c r="AK293" t="s" s="0">
        <v>81</v>
      </c>
      <c r="AL293" t="s" s="0">
        <v>1607</v>
      </c>
      <c r="AM293" t="s" s="0">
        <v>156</v>
      </c>
      <c r="AN293" t="s" s="0">
        <v>156</v>
      </c>
      <c r="AO293" t="s" s="0">
        <v>77</v>
      </c>
      <c r="AP293" t="s" s="0">
        <v>97</v>
      </c>
      <c r="AQ293" t="s" s="0">
        <v>212</v>
      </c>
      <c r="AR293" t="s" s="0">
        <v>429</v>
      </c>
      <c r="AS293" t="s" s="0">
        <v>784</v>
      </c>
      <c r="AT293" t="s" s="0">
        <v>6903</v>
      </c>
      <c r="AU293" t="s" s="0">
        <v>81</v>
      </c>
      <c r="AV293" t="s" s="0">
        <v>81</v>
      </c>
      <c r="AW293" t="s" s="0">
        <v>6904</v>
      </c>
      <c r="AX293" t="s" s="0">
        <v>6905</v>
      </c>
      <c r="AY293" t="s" s="0">
        <v>6906</v>
      </c>
      <c r="AZ293" t="s" s="0">
        <v>290</v>
      </c>
      <c r="BA293" t="s" s="0">
        <v>486</v>
      </c>
      <c r="BB293" t="s" s="0">
        <v>97</v>
      </c>
      <c r="BC293" t="s" s="0">
        <v>81</v>
      </c>
      <c r="BD293" t="s" s="0">
        <v>81</v>
      </c>
      <c r="BE293" t="s" s="0">
        <v>81</v>
      </c>
      <c r="BF293" t="s" s="0">
        <v>81</v>
      </c>
      <c r="BG293" t="s" s="0">
        <v>81</v>
      </c>
      <c r="BH293" t="s" s="0">
        <v>81</v>
      </c>
      <c r="BI293" t="s" s="0">
        <v>3634</v>
      </c>
      <c r="BJ293" t="s" s="0">
        <v>6907</v>
      </c>
      <c r="BK293" t="s" s="580">
        <f>HYPERLINK("http://dx.doi.org/10.1186/s40635-025-00816-x","http://dx.doi.org/10.1186/s40635-025-00816-x")</f>
        <v>6908</v>
      </c>
      <c r="BL293" t="s" s="0">
        <v>81</v>
      </c>
      <c r="BM293" t="s" s="0">
        <v>81</v>
      </c>
      <c r="BN293" t="s" s="0">
        <v>134</v>
      </c>
      <c r="BO293" t="s" s="0">
        <v>6909</v>
      </c>
      <c r="BP293" t="s" s="0">
        <v>297</v>
      </c>
      <c r="BQ293" t="s" s="0">
        <v>6910</v>
      </c>
      <c r="BR293" t="s" s="0">
        <v>6911</v>
      </c>
      <c r="BS293" t="s" s="0">
        <v>6912</v>
      </c>
      <c r="BT293" t="s" s="581">
        <f>HYPERLINK("https://www.webofscience.com/wos/woscc/full-record/WOS:001599884000002","View Record in Web of Science")</f>
        <v>114</v>
      </c>
      <c r="BU293" t="s" s="0">
        <v>301</v>
      </c>
      <c r="BV293" t="s" s="0">
        <v>81</v>
      </c>
      <c r="BW293" t="s" s="0">
        <v>81</v>
      </c>
      <c r="BX293" t="s" s="0">
        <v>116</v>
      </c>
    </row>
    <row r="294">
      <c r="A294" t="s" s="0">
        <v>77</v>
      </c>
      <c r="B294" t="s" s="0">
        <v>77</v>
      </c>
      <c r="C294" t="s" s="0">
        <v>97</v>
      </c>
      <c r="D294" t="s" s="0">
        <v>77</v>
      </c>
      <c r="E294" t="s" s="0">
        <v>6913</v>
      </c>
      <c r="F294" t="s" s="0">
        <v>6914</v>
      </c>
      <c r="G294" t="s" s="0">
        <v>6915</v>
      </c>
      <c r="H294" t="s" s="0">
        <v>81</v>
      </c>
      <c r="I294" t="s" s="0">
        <v>82</v>
      </c>
      <c r="J294" t="s" s="0">
        <v>6916</v>
      </c>
      <c r="K294" t="s" s="0">
        <v>6917</v>
      </c>
      <c r="L294" t="s" s="0">
        <v>6918</v>
      </c>
      <c r="M294" t="s" s="0">
        <v>6919</v>
      </c>
      <c r="N294" t="s" s="0">
        <v>6920</v>
      </c>
      <c r="O294" t="s" s="0">
        <v>6921</v>
      </c>
      <c r="P294" t="s" s="0">
        <v>6922</v>
      </c>
      <c r="Q294" t="s" s="0">
        <v>87</v>
      </c>
      <c r="R294" t="s" s="0">
        <v>81</v>
      </c>
      <c r="S294" t="s" s="0">
        <v>81</v>
      </c>
      <c r="T294" t="s" s="0">
        <v>81</v>
      </c>
      <c r="U294" t="s" s="0">
        <v>81</v>
      </c>
      <c r="V294" t="s" s="0">
        <v>6923</v>
      </c>
      <c r="W294" t="s" s="0">
        <v>279</v>
      </c>
      <c r="X294" t="s" s="0">
        <v>81</v>
      </c>
      <c r="Y294" t="s" s="0">
        <v>81</v>
      </c>
      <c r="Z294" t="s" s="0">
        <v>90</v>
      </c>
      <c r="AA294" t="s" s="0">
        <v>91</v>
      </c>
      <c r="AB294" t="s" s="0">
        <v>81</v>
      </c>
      <c r="AC294" t="s" s="0">
        <v>81</v>
      </c>
      <c r="AD294" t="s" s="0">
        <v>81</v>
      </c>
      <c r="AE294" t="s" s="0">
        <v>81</v>
      </c>
      <c r="AF294" t="s" s="0">
        <v>81</v>
      </c>
      <c r="AG294" t="s" s="0">
        <v>6924</v>
      </c>
      <c r="AH294" t="s" s="0">
        <v>6925</v>
      </c>
      <c r="AI294" t="s" s="0">
        <v>6926</v>
      </c>
      <c r="AJ294" t="s" s="0">
        <v>6927</v>
      </c>
      <c r="AK294" t="s" s="0">
        <v>81</v>
      </c>
      <c r="AL294" t="s" s="0">
        <v>405</v>
      </c>
      <c r="AM294" t="s" s="0">
        <v>133</v>
      </c>
      <c r="AN294" t="s" s="0">
        <v>234</v>
      </c>
      <c r="AO294" t="s" s="0">
        <v>97</v>
      </c>
      <c r="AP294" t="s" s="0">
        <v>156</v>
      </c>
      <c r="AQ294" t="s" s="0">
        <v>284</v>
      </c>
      <c r="AR294" t="s" s="0">
        <v>285</v>
      </c>
      <c r="AS294" t="s" s="0">
        <v>286</v>
      </c>
      <c r="AT294" t="s" s="0">
        <v>81</v>
      </c>
      <c r="AU294" t="s" s="0">
        <v>287</v>
      </c>
      <c r="AV294" t="s" s="0">
        <v>81</v>
      </c>
      <c r="AW294" t="s" s="0">
        <v>279</v>
      </c>
      <c r="AX294" t="s" s="0">
        <v>288</v>
      </c>
      <c r="AY294" t="s" s="0">
        <v>1029</v>
      </c>
      <c r="AZ294" t="s" s="0">
        <v>290</v>
      </c>
      <c r="BA294" t="s" s="0">
        <v>291</v>
      </c>
      <c r="BB294" t="s" s="0">
        <v>97</v>
      </c>
      <c r="BC294" t="s" s="0">
        <v>81</v>
      </c>
      <c r="BD294" t="s" s="0">
        <v>81</v>
      </c>
      <c r="BE294" t="s" s="0">
        <v>81</v>
      </c>
      <c r="BF294" t="s" s="0">
        <v>81</v>
      </c>
      <c r="BG294" t="s" s="0">
        <v>81</v>
      </c>
      <c r="BH294" t="s" s="0">
        <v>81</v>
      </c>
      <c r="BI294" t="s" s="0">
        <v>97</v>
      </c>
      <c r="BJ294" t="s" s="0">
        <v>6928</v>
      </c>
      <c r="BK294" t="s" s="582">
        <f>HYPERLINK("http://dx.doi.org/10.3390/diagnostics15010001","http://dx.doi.org/10.3390/diagnostics15010001")</f>
        <v>6929</v>
      </c>
      <c r="BL294" t="s" s="0">
        <v>81</v>
      </c>
      <c r="BM294" t="s" s="0">
        <v>81</v>
      </c>
      <c r="BN294" t="s" s="0">
        <v>367</v>
      </c>
      <c r="BO294" t="s" s="0">
        <v>296</v>
      </c>
      <c r="BP294" t="s" s="0">
        <v>297</v>
      </c>
      <c r="BQ294" t="s" s="0">
        <v>6930</v>
      </c>
      <c r="BR294" t="s" s="0">
        <v>6931</v>
      </c>
      <c r="BS294" t="s" s="0">
        <v>6932</v>
      </c>
      <c r="BT294" t="s" s="583">
        <f>HYPERLINK("https://www.webofscience.com/wos/woscc/full-record/WOS:001393926100001","View Record in Web of Science")</f>
        <v>114</v>
      </c>
      <c r="BU294" t="s" s="0">
        <v>301</v>
      </c>
      <c r="BV294" t="s" s="0">
        <v>81</v>
      </c>
      <c r="BW294" t="s" s="0">
        <v>81</v>
      </c>
      <c r="BX294" t="s" s="0">
        <v>116</v>
      </c>
    </row>
    <row r="295">
      <c r="A295" t="s" s="0">
        <v>77</v>
      </c>
      <c r="B295" t="s" s="0">
        <v>77</v>
      </c>
      <c r="C295" t="s" s="0">
        <v>77</v>
      </c>
      <c r="D295" t="s" s="0">
        <v>77</v>
      </c>
      <c r="E295" t="s" s="0">
        <v>6933</v>
      </c>
      <c r="F295" t="s" s="0">
        <v>6934</v>
      </c>
      <c r="G295" t="s" s="0">
        <v>6935</v>
      </c>
      <c r="H295" t="s" s="0">
        <v>81</v>
      </c>
      <c r="I295" t="s" s="0">
        <v>82</v>
      </c>
      <c r="J295" t="s" s="0">
        <v>6936</v>
      </c>
      <c r="K295" t="s" s="0">
        <v>6937</v>
      </c>
      <c r="L295" t="s" s="0">
        <v>81</v>
      </c>
      <c r="M295" t="s" s="0">
        <v>81</v>
      </c>
      <c r="N295" t="s" s="0">
        <v>81</v>
      </c>
      <c r="O295" t="s" s="0">
        <v>6938</v>
      </c>
      <c r="P295" t="s" s="0">
        <v>6939</v>
      </c>
      <c r="Q295" t="s" s="0">
        <v>87</v>
      </c>
      <c r="R295" t="s" s="0">
        <v>81</v>
      </c>
      <c r="S295" t="s" s="0">
        <v>81</v>
      </c>
      <c r="T295" t="s" s="0">
        <v>81</v>
      </c>
      <c r="U295" t="s" s="0">
        <v>81</v>
      </c>
      <c r="V295" t="s" s="0">
        <v>6940</v>
      </c>
      <c r="W295" t="s" s="0">
        <v>6941</v>
      </c>
      <c r="X295" t="s" s="0">
        <v>81</v>
      </c>
      <c r="Y295" t="s" s="0">
        <v>81</v>
      </c>
      <c r="Z295" t="s" s="0">
        <v>90</v>
      </c>
      <c r="AA295" t="s" s="0">
        <v>91</v>
      </c>
      <c r="AB295" t="s" s="0">
        <v>81</v>
      </c>
      <c r="AC295" t="s" s="0">
        <v>81</v>
      </c>
      <c r="AD295" t="s" s="0">
        <v>81</v>
      </c>
      <c r="AE295" t="s" s="0">
        <v>81</v>
      </c>
      <c r="AF295" t="s" s="0">
        <v>81</v>
      </c>
      <c r="AG295" t="s" s="0">
        <v>6942</v>
      </c>
      <c r="AH295" t="s" s="0">
        <v>6943</v>
      </c>
      <c r="AI295" t="s" s="0">
        <v>81</v>
      </c>
      <c r="AJ295" t="s" s="0">
        <v>81</v>
      </c>
      <c r="AK295" t="s" s="0">
        <v>81</v>
      </c>
      <c r="AL295" t="s" s="0">
        <v>1785</v>
      </c>
      <c r="AM295" t="s" s="0">
        <v>77</v>
      </c>
      <c r="AN295" t="s" s="0">
        <v>77</v>
      </c>
      <c r="AO295" t="s" s="0">
        <v>77</v>
      </c>
      <c r="AP295" t="s" s="0">
        <v>77</v>
      </c>
      <c r="AQ295" t="s" s="0">
        <v>665</v>
      </c>
      <c r="AR295" t="s" s="0">
        <v>546</v>
      </c>
      <c r="AS295" t="s" s="0">
        <v>666</v>
      </c>
      <c r="AT295" t="s" s="0">
        <v>6944</v>
      </c>
      <c r="AU295" t="s" s="0">
        <v>81</v>
      </c>
      <c r="AV295" t="s" s="0">
        <v>81</v>
      </c>
      <c r="AW295" t="s" s="0">
        <v>6945</v>
      </c>
      <c r="AX295" t="s" s="0">
        <v>6946</v>
      </c>
      <c r="AY295" t="s" s="0">
        <v>6947</v>
      </c>
      <c r="AZ295" t="s" s="0">
        <v>103</v>
      </c>
      <c r="BA295" t="s" s="0">
        <v>485</v>
      </c>
      <c r="BB295" t="s" s="0">
        <v>97</v>
      </c>
      <c r="BC295" t="s" s="0">
        <v>81</v>
      </c>
      <c r="BD295" t="s" s="0">
        <v>81</v>
      </c>
      <c r="BE295" t="s" s="0">
        <v>81</v>
      </c>
      <c r="BF295" t="s" s="0">
        <v>81</v>
      </c>
      <c r="BG295" t="s" s="0">
        <v>81</v>
      </c>
      <c r="BH295" t="s" s="0">
        <v>81</v>
      </c>
      <c r="BI295" t="s" s="0">
        <v>1684</v>
      </c>
      <c r="BJ295" t="s" s="0">
        <v>6948</v>
      </c>
      <c r="BK295" t="s" s="584">
        <f>HYPERLINK("http://dx.doi.org/10.1186/s13040-026-00570-0","http://dx.doi.org/10.1186/s13040-026-00570-0")</f>
        <v>6949</v>
      </c>
      <c r="BL295" t="s" s="0">
        <v>81</v>
      </c>
      <c r="BM295" t="s" s="0">
        <v>81</v>
      </c>
      <c r="BN295" t="s" s="0">
        <v>176</v>
      </c>
      <c r="BO295" t="s" s="0">
        <v>6950</v>
      </c>
      <c r="BP295" t="s" s="0">
        <v>6950</v>
      </c>
      <c r="BQ295" t="s" s="0">
        <v>6951</v>
      </c>
      <c r="BR295" t="s" s="0">
        <v>6952</v>
      </c>
      <c r="BS295" t="s" s="0">
        <v>6953</v>
      </c>
      <c r="BT295" t="s" s="585">
        <f>HYPERLINK("https://www.webofscience.com/wos/woscc/full-record/WOS:001849371200001","View Record in Web of Science")</f>
        <v>114</v>
      </c>
      <c r="BU295" t="s" s="0">
        <v>301</v>
      </c>
      <c r="BV295" t="s" s="0">
        <v>81</v>
      </c>
      <c r="BW295" t="s" s="0">
        <v>81</v>
      </c>
      <c r="BX295" t="s" s="0">
        <v>116</v>
      </c>
    </row>
    <row r="296">
      <c r="A296" t="s" s="0">
        <v>77</v>
      </c>
      <c r="B296" t="s" s="0">
        <v>77</v>
      </c>
      <c r="C296" t="s" s="0">
        <v>77</v>
      </c>
      <c r="D296" t="s" s="0">
        <v>77</v>
      </c>
      <c r="E296" t="s" s="0">
        <v>6954</v>
      </c>
      <c r="F296" t="s" s="0">
        <v>6955</v>
      </c>
      <c r="G296" t="s" s="0">
        <v>6956</v>
      </c>
      <c r="H296" t="s" s="0">
        <v>81</v>
      </c>
      <c r="I296" t="s" s="0">
        <v>238</v>
      </c>
      <c r="J296" t="s" s="0">
        <v>6957</v>
      </c>
      <c r="K296" t="s" s="0">
        <v>6958</v>
      </c>
      <c r="L296" t="s" s="0">
        <v>81</v>
      </c>
      <c r="M296" t="s" s="0">
        <v>81</v>
      </c>
      <c r="N296" t="s" s="0">
        <v>81</v>
      </c>
      <c r="O296" t="s" s="0">
        <v>6959</v>
      </c>
      <c r="P296" t="s" s="0">
        <v>6960</v>
      </c>
      <c r="Q296" t="s" s="0">
        <v>87</v>
      </c>
      <c r="R296" t="s" s="0">
        <v>81</v>
      </c>
      <c r="S296" t="s" s="0">
        <v>81</v>
      </c>
      <c r="T296" t="s" s="0">
        <v>81</v>
      </c>
      <c r="U296" t="s" s="0">
        <v>81</v>
      </c>
      <c r="V296" t="s" s="0">
        <v>6961</v>
      </c>
      <c r="W296" t="s" s="0">
        <v>6962</v>
      </c>
      <c r="X296" t="s" s="0">
        <v>81</v>
      </c>
      <c r="Y296" t="s" s="0">
        <v>81</v>
      </c>
      <c r="Z296" t="s" s="0">
        <v>90</v>
      </c>
      <c r="AA296" t="s" s="0">
        <v>91</v>
      </c>
      <c r="AB296" t="s" s="0">
        <v>81</v>
      </c>
      <c r="AC296" t="s" s="0">
        <v>81</v>
      </c>
      <c r="AD296" t="s" s="0">
        <v>81</v>
      </c>
      <c r="AE296" t="s" s="0">
        <v>81</v>
      </c>
      <c r="AF296" t="s" s="0">
        <v>81</v>
      </c>
      <c r="AG296" t="s" s="0">
        <v>6963</v>
      </c>
      <c r="AH296" t="s" s="0">
        <v>6964</v>
      </c>
      <c r="AI296" t="s" s="0">
        <v>81</v>
      </c>
      <c r="AJ296" t="s" s="0">
        <v>81</v>
      </c>
      <c r="AK296" t="s" s="0">
        <v>81</v>
      </c>
      <c r="AL296" t="s" s="0">
        <v>3984</v>
      </c>
      <c r="AM296" t="s" s="0">
        <v>196</v>
      </c>
      <c r="AN296" t="s" s="0">
        <v>196</v>
      </c>
      <c r="AO296" t="s" s="0">
        <v>77</v>
      </c>
      <c r="AP296" t="s" s="0">
        <v>77</v>
      </c>
      <c r="AQ296" t="s" s="0">
        <v>6965</v>
      </c>
      <c r="AR296" t="s" s="0">
        <v>6966</v>
      </c>
      <c r="AS296" t="s" s="0">
        <v>6967</v>
      </c>
      <c r="AT296" t="s" s="0">
        <v>6968</v>
      </c>
      <c r="AU296" t="s" s="0">
        <v>6969</v>
      </c>
      <c r="AV296" t="s" s="0">
        <v>81</v>
      </c>
      <c r="AW296" t="s" s="0">
        <v>6970</v>
      </c>
      <c r="AX296" t="s" s="0">
        <v>6971</v>
      </c>
      <c r="AY296" t="s" s="0">
        <v>290</v>
      </c>
      <c r="AZ296" t="s" s="0">
        <v>290</v>
      </c>
      <c r="BA296" t="s" s="0">
        <v>367</v>
      </c>
      <c r="BB296" t="s" s="0">
        <v>234</v>
      </c>
      <c r="BC296" t="s" s="0">
        <v>81</v>
      </c>
      <c r="BD296" t="s" s="0">
        <v>81</v>
      </c>
      <c r="BE296" t="s" s="0">
        <v>81</v>
      </c>
      <c r="BF296" t="s" s="0">
        <v>81</v>
      </c>
      <c r="BG296" t="s" s="0">
        <v>6972</v>
      </c>
      <c r="BH296" t="s" s="0">
        <v>6973</v>
      </c>
      <c r="BI296" t="s" s="0">
        <v>81</v>
      </c>
      <c r="BJ296" t="s" s="0">
        <v>6974</v>
      </c>
      <c r="BK296" t="s" s="586">
        <f>HYPERLINK("http://dx.doi.org/10.2174/0123520965334135241115064754","http://dx.doi.org/10.2174/0123520965334135241115064754")</f>
        <v>6975</v>
      </c>
      <c r="BL296" t="s" s="0">
        <v>81</v>
      </c>
      <c r="BM296" t="s" s="0">
        <v>81</v>
      </c>
      <c r="BN296" t="s" s="0">
        <v>135</v>
      </c>
      <c r="BO296" t="s" s="0">
        <v>2191</v>
      </c>
      <c r="BP296" t="s" s="0">
        <v>1003</v>
      </c>
      <c r="BQ296" t="s" s="0">
        <v>6976</v>
      </c>
      <c r="BR296" t="s" s="0">
        <v>81</v>
      </c>
      <c r="BS296" t="s" s="0">
        <v>6977</v>
      </c>
      <c r="BT296" t="s" s="587">
        <f>HYPERLINK("https://www.webofscience.com/wos/woscc/full-record/WOS:001544328100006","View Record in Web of Science")</f>
        <v>114</v>
      </c>
      <c r="BU296" t="s" s="0">
        <v>81</v>
      </c>
      <c r="BV296" t="s" s="0">
        <v>81</v>
      </c>
      <c r="BW296" t="s" s="0">
        <v>81</v>
      </c>
      <c r="BX296" t="s" s="0">
        <v>116</v>
      </c>
    </row>
    <row r="297">
      <c r="A297" t="s" s="0">
        <v>77</v>
      </c>
      <c r="B297" t="s" s="0">
        <v>77</v>
      </c>
      <c r="C297" t="s" s="0">
        <v>97</v>
      </c>
      <c r="D297" t="s" s="0">
        <v>77</v>
      </c>
      <c r="E297" t="s" s="0">
        <v>6978</v>
      </c>
      <c r="F297" t="s" s="0">
        <v>6979</v>
      </c>
      <c r="G297" t="s" s="0">
        <v>6980</v>
      </c>
      <c r="H297" t="s" s="0">
        <v>81</v>
      </c>
      <c r="I297" t="s" s="0">
        <v>82</v>
      </c>
      <c r="J297" t="s" s="0">
        <v>6981</v>
      </c>
      <c r="K297" t="s" s="0">
        <v>6982</v>
      </c>
      <c r="L297" t="s" s="0">
        <v>6983</v>
      </c>
      <c r="M297" t="s" s="0">
        <v>6984</v>
      </c>
      <c r="N297" t="s" s="0">
        <v>6985</v>
      </c>
      <c r="O297" t="s" s="0">
        <v>6986</v>
      </c>
      <c r="P297" t="s" s="0">
        <v>6987</v>
      </c>
      <c r="Q297" t="s" s="0">
        <v>87</v>
      </c>
      <c r="R297" t="s" s="0">
        <v>81</v>
      </c>
      <c r="S297" t="s" s="0">
        <v>81</v>
      </c>
      <c r="T297" t="s" s="0">
        <v>81</v>
      </c>
      <c r="U297" t="s" s="0">
        <v>81</v>
      </c>
      <c r="V297" t="s" s="0">
        <v>6988</v>
      </c>
      <c r="W297" t="s" s="0">
        <v>910</v>
      </c>
      <c r="X297" t="s" s="0">
        <v>81</v>
      </c>
      <c r="Y297" t="s" s="0">
        <v>81</v>
      </c>
      <c r="Z297" t="s" s="0">
        <v>90</v>
      </c>
      <c r="AA297" t="s" s="0">
        <v>91</v>
      </c>
      <c r="AB297" t="s" s="0">
        <v>81</v>
      </c>
      <c r="AC297" t="s" s="0">
        <v>81</v>
      </c>
      <c r="AD297" t="s" s="0">
        <v>81</v>
      </c>
      <c r="AE297" t="s" s="0">
        <v>81</v>
      </c>
      <c r="AF297" t="s" s="0">
        <v>81</v>
      </c>
      <c r="AG297" t="s" s="0">
        <v>81</v>
      </c>
      <c r="AH297" t="s" s="0">
        <v>81</v>
      </c>
      <c r="AI297" t="s" s="0">
        <v>6989</v>
      </c>
      <c r="AJ297" t="s" s="0">
        <v>6990</v>
      </c>
      <c r="AK297" t="s" s="0">
        <v>81</v>
      </c>
      <c r="AL297" t="s" s="0">
        <v>1049</v>
      </c>
      <c r="AM297" t="s" s="0">
        <v>486</v>
      </c>
      <c r="AN297" t="s" s="0">
        <v>104</v>
      </c>
      <c r="AO297" t="s" s="0">
        <v>156</v>
      </c>
      <c r="AP297" t="s" s="0">
        <v>156</v>
      </c>
      <c r="AQ297" t="s" s="0">
        <v>915</v>
      </c>
      <c r="AR297" t="s" s="0">
        <v>916</v>
      </c>
      <c r="AS297" t="s" s="0">
        <v>917</v>
      </c>
      <c r="AT297" t="s" s="0">
        <v>918</v>
      </c>
      <c r="AU297" t="s" s="0">
        <v>81</v>
      </c>
      <c r="AV297" t="s" s="0">
        <v>81</v>
      </c>
      <c r="AW297" t="s" s="0">
        <v>919</v>
      </c>
      <c r="AX297" t="s" s="0">
        <v>920</v>
      </c>
      <c r="AY297" t="s" s="0">
        <v>6991</v>
      </c>
      <c r="AZ297" t="s" s="0">
        <v>290</v>
      </c>
      <c r="BA297" t="s" s="0">
        <v>291</v>
      </c>
      <c r="BB297" t="s" s="0">
        <v>97</v>
      </c>
      <c r="BC297" t="s" s="0">
        <v>81</v>
      </c>
      <c r="BD297" t="s" s="0">
        <v>81</v>
      </c>
      <c r="BE297" t="s" s="0">
        <v>81</v>
      </c>
      <c r="BF297" t="s" s="0">
        <v>81</v>
      </c>
      <c r="BG297" t="s" s="0">
        <v>81</v>
      </c>
      <c r="BH297" t="s" s="0">
        <v>81</v>
      </c>
      <c r="BI297" t="s" s="0">
        <v>6992</v>
      </c>
      <c r="BJ297" t="s" s="0">
        <v>6993</v>
      </c>
      <c r="BK297" t="s" s="588">
        <f>HYPERLINK("http://dx.doi.org/10.1038/s41598-025-26297-2","http://dx.doi.org/10.1038/s41598-025-26297-2")</f>
        <v>6994</v>
      </c>
      <c r="BL297" t="s" s="0">
        <v>81</v>
      </c>
      <c r="BM297" t="s" s="0">
        <v>81</v>
      </c>
      <c r="BN297" t="s" s="0">
        <v>1912</v>
      </c>
      <c r="BO297" t="s" s="0">
        <v>926</v>
      </c>
      <c r="BP297" t="s" s="0">
        <v>927</v>
      </c>
      <c r="BQ297" t="s" s="0">
        <v>6995</v>
      </c>
      <c r="BR297" t="s" s="0">
        <v>6996</v>
      </c>
      <c r="BS297" t="s" s="0">
        <v>6997</v>
      </c>
      <c r="BT297" t="s" s="589">
        <f>HYPERLINK("https://www.webofscience.com/wos/woscc/full-record/WOS:001627622000039","View Record in Web of Science")</f>
        <v>114</v>
      </c>
      <c r="BU297" t="s" s="0">
        <v>301</v>
      </c>
      <c r="BV297" t="s" s="0">
        <v>81</v>
      </c>
      <c r="BW297" t="s" s="0">
        <v>81</v>
      </c>
      <c r="BX297" t="s" s="0">
        <v>116</v>
      </c>
    </row>
    <row r="298">
      <c r="A298" t="s" s="0">
        <v>77</v>
      </c>
      <c r="B298" t="s" s="0">
        <v>77</v>
      </c>
      <c r="C298" t="s" s="0">
        <v>77</v>
      </c>
      <c r="D298" t="s" s="0">
        <v>77</v>
      </c>
      <c r="E298" t="s" s="0">
        <v>6998</v>
      </c>
      <c r="F298" t="s" s="0">
        <v>6999</v>
      </c>
      <c r="G298" t="s" s="0">
        <v>7000</v>
      </c>
      <c r="H298" t="s" s="0">
        <v>81</v>
      </c>
      <c r="I298" t="s" s="0">
        <v>82</v>
      </c>
      <c r="J298" t="s" s="0">
        <v>7001</v>
      </c>
      <c r="K298" t="s" s="0">
        <v>7002</v>
      </c>
      <c r="L298" t="s" s="0">
        <v>7003</v>
      </c>
      <c r="M298" t="s" s="0">
        <v>7003</v>
      </c>
      <c r="N298" t="s" s="0">
        <v>7004</v>
      </c>
      <c r="O298" t="s" s="0">
        <v>7005</v>
      </c>
      <c r="P298" t="s" s="0">
        <v>7006</v>
      </c>
      <c r="Q298" t="s" s="0">
        <v>87</v>
      </c>
      <c r="R298" t="s" s="0">
        <v>81</v>
      </c>
      <c r="S298" t="s" s="0">
        <v>81</v>
      </c>
      <c r="T298" t="s" s="0">
        <v>81</v>
      </c>
      <c r="U298" t="s" s="0">
        <v>81</v>
      </c>
      <c r="V298" t="s" s="0">
        <v>7007</v>
      </c>
      <c r="W298" t="s" s="0">
        <v>910</v>
      </c>
      <c r="X298" t="s" s="0">
        <v>81</v>
      </c>
      <c r="Y298" t="s" s="0">
        <v>81</v>
      </c>
      <c r="Z298" t="s" s="0">
        <v>90</v>
      </c>
      <c r="AA298" t="s" s="0">
        <v>91</v>
      </c>
      <c r="AB298" t="s" s="0">
        <v>81</v>
      </c>
      <c r="AC298" t="s" s="0">
        <v>81</v>
      </c>
      <c r="AD298" t="s" s="0">
        <v>81</v>
      </c>
      <c r="AE298" t="s" s="0">
        <v>81</v>
      </c>
      <c r="AF298" t="s" s="0">
        <v>81</v>
      </c>
      <c r="AG298" t="s" s="0">
        <v>7008</v>
      </c>
      <c r="AH298" t="s" s="0">
        <v>7009</v>
      </c>
      <c r="AI298" t="s" s="0">
        <v>81</v>
      </c>
      <c r="AJ298" t="s" s="0">
        <v>81</v>
      </c>
      <c r="AK298" t="s" s="0">
        <v>81</v>
      </c>
      <c r="AL298" t="s" s="0">
        <v>253</v>
      </c>
      <c r="AM298" t="s" s="0">
        <v>77</v>
      </c>
      <c r="AN298" t="s" s="0">
        <v>77</v>
      </c>
      <c r="AO298" t="s" s="0">
        <v>97</v>
      </c>
      <c r="AP298" t="s" s="0">
        <v>97</v>
      </c>
      <c r="AQ298" t="s" s="0">
        <v>915</v>
      </c>
      <c r="AR298" t="s" s="0">
        <v>916</v>
      </c>
      <c r="AS298" t="s" s="0">
        <v>917</v>
      </c>
      <c r="AT298" t="s" s="0">
        <v>918</v>
      </c>
      <c r="AU298" t="s" s="0">
        <v>81</v>
      </c>
      <c r="AV298" t="s" s="0">
        <v>81</v>
      </c>
      <c r="AW298" t="s" s="0">
        <v>919</v>
      </c>
      <c r="AX298" t="s" s="0">
        <v>920</v>
      </c>
      <c r="AY298" t="s" s="0">
        <v>7010</v>
      </c>
      <c r="AZ298" t="s" s="0">
        <v>103</v>
      </c>
      <c r="BA298" t="s" s="0">
        <v>925</v>
      </c>
      <c r="BB298" t="s" s="0">
        <v>97</v>
      </c>
      <c r="BC298" t="s" s="0">
        <v>81</v>
      </c>
      <c r="BD298" t="s" s="0">
        <v>81</v>
      </c>
      <c r="BE298" t="s" s="0">
        <v>81</v>
      </c>
      <c r="BF298" t="s" s="0">
        <v>81</v>
      </c>
      <c r="BG298" t="s" s="0">
        <v>81</v>
      </c>
      <c r="BH298" t="s" s="0">
        <v>81</v>
      </c>
      <c r="BI298" t="s" s="0">
        <v>7011</v>
      </c>
      <c r="BJ298" t="s" s="0">
        <v>7012</v>
      </c>
      <c r="BK298" t="s" s="590">
        <f>HYPERLINK("http://dx.doi.org/10.1038/s41598-026-62761-3","http://dx.doi.org/10.1038/s41598-026-62761-3")</f>
        <v>7013</v>
      </c>
      <c r="BL298" t="s" s="0">
        <v>81</v>
      </c>
      <c r="BM298" t="s" s="0">
        <v>81</v>
      </c>
      <c r="BN298" t="s" s="0">
        <v>191</v>
      </c>
      <c r="BO298" t="s" s="0">
        <v>926</v>
      </c>
      <c r="BP298" t="s" s="0">
        <v>927</v>
      </c>
      <c r="BQ298" t="s" s="0">
        <v>7014</v>
      </c>
      <c r="BR298" t="s" s="0">
        <v>7015</v>
      </c>
      <c r="BS298" t="s" s="0">
        <v>7016</v>
      </c>
      <c r="BT298" t="s" s="591">
        <f>HYPERLINK("https://www.webofscience.com/wos/woscc/full-record/WOS:001826701100004","View Record in Web of Science")</f>
        <v>114</v>
      </c>
      <c r="BU298" t="s" s="0">
        <v>301</v>
      </c>
      <c r="BV298" t="s" s="0">
        <v>81</v>
      </c>
      <c r="BW298" t="s" s="0">
        <v>81</v>
      </c>
      <c r="BX298" t="s" s="0">
        <v>116</v>
      </c>
    </row>
    <row r="299">
      <c r="A299" t="s" s="0">
        <v>77</v>
      </c>
      <c r="B299" t="s" s="0">
        <v>77</v>
      </c>
      <c r="C299" t="s" s="0">
        <v>97</v>
      </c>
      <c r="D299" t="s" s="0">
        <v>77</v>
      </c>
      <c r="E299" t="s" s="0">
        <v>7017</v>
      </c>
      <c r="F299" t="s" s="0">
        <v>7018</v>
      </c>
      <c r="G299" t="s" s="0">
        <v>7019</v>
      </c>
      <c r="H299" t="s" s="0">
        <v>81</v>
      </c>
      <c r="I299" t="s" s="0">
        <v>82</v>
      </c>
      <c r="J299" t="s" s="0">
        <v>7020</v>
      </c>
      <c r="K299" t="s" s="0">
        <v>7021</v>
      </c>
      <c r="L299" t="s" s="0">
        <v>7022</v>
      </c>
      <c r="M299" t="s" s="0">
        <v>7022</v>
      </c>
      <c r="N299" t="s" s="0">
        <v>7023</v>
      </c>
      <c r="O299" t="s" s="0">
        <v>7024</v>
      </c>
      <c r="P299" t="s" s="0">
        <v>7025</v>
      </c>
      <c r="Q299" t="s" s="0">
        <v>87</v>
      </c>
      <c r="R299" t="s" s="0">
        <v>81</v>
      </c>
      <c r="S299" t="s" s="0">
        <v>81</v>
      </c>
      <c r="T299" t="s" s="0">
        <v>81</v>
      </c>
      <c r="U299" t="s" s="0">
        <v>81</v>
      </c>
      <c r="V299" t="s" s="0">
        <v>7026</v>
      </c>
      <c r="W299" t="s" s="0">
        <v>279</v>
      </c>
      <c r="X299" t="s" s="0">
        <v>81</v>
      </c>
      <c r="Y299" t="s" s="0">
        <v>81</v>
      </c>
      <c r="Z299" t="s" s="0">
        <v>90</v>
      </c>
      <c r="AA299" t="s" s="0">
        <v>91</v>
      </c>
      <c r="AB299" t="s" s="0">
        <v>81</v>
      </c>
      <c r="AC299" t="s" s="0">
        <v>81</v>
      </c>
      <c r="AD299" t="s" s="0">
        <v>81</v>
      </c>
      <c r="AE299" t="s" s="0">
        <v>81</v>
      </c>
      <c r="AF299" t="s" s="0">
        <v>81</v>
      </c>
      <c r="AG299" t="s" s="0">
        <v>7027</v>
      </c>
      <c r="AH299" t="s" s="0">
        <v>4100</v>
      </c>
      <c r="AI299" t="s" s="0">
        <v>7028</v>
      </c>
      <c r="AJ299" t="s" s="0">
        <v>7029</v>
      </c>
      <c r="AK299" t="s" s="0">
        <v>81</v>
      </c>
      <c r="AL299" t="s" s="0">
        <v>508</v>
      </c>
      <c r="AM299" t="s" s="0">
        <v>156</v>
      </c>
      <c r="AN299" t="s" s="0">
        <v>196</v>
      </c>
      <c r="AO299" t="s" s="0">
        <v>97</v>
      </c>
      <c r="AP299" t="s" s="0">
        <v>156</v>
      </c>
      <c r="AQ299" t="s" s="0">
        <v>284</v>
      </c>
      <c r="AR299" t="s" s="0">
        <v>285</v>
      </c>
      <c r="AS299" t="s" s="0">
        <v>286</v>
      </c>
      <c r="AT299" t="s" s="0">
        <v>81</v>
      </c>
      <c r="AU299" t="s" s="0">
        <v>287</v>
      </c>
      <c r="AV299" t="s" s="0">
        <v>81</v>
      </c>
      <c r="AW299" t="s" s="0">
        <v>279</v>
      </c>
      <c r="AX299" t="s" s="0">
        <v>288</v>
      </c>
      <c r="AY299" t="s" s="0">
        <v>7030</v>
      </c>
      <c r="AZ299" t="s" s="0">
        <v>290</v>
      </c>
      <c r="BA299" t="s" s="0">
        <v>291</v>
      </c>
      <c r="BB299" t="s" s="0">
        <v>434</v>
      </c>
      <c r="BC299" t="s" s="0">
        <v>81</v>
      </c>
      <c r="BD299" t="s" s="0">
        <v>81</v>
      </c>
      <c r="BE299" t="s" s="0">
        <v>81</v>
      </c>
      <c r="BF299" t="s" s="0">
        <v>81</v>
      </c>
      <c r="BG299" t="s" s="0">
        <v>81</v>
      </c>
      <c r="BH299" t="s" s="0">
        <v>81</v>
      </c>
      <c r="BI299" t="s" s="0">
        <v>7031</v>
      </c>
      <c r="BJ299" t="s" s="0">
        <v>7032</v>
      </c>
      <c r="BK299" t="s" s="592">
        <f>HYPERLINK("http://dx.doi.org/10.3390/diagnostics15243118","http://dx.doi.org/10.3390/diagnostics15243118")</f>
        <v>7033</v>
      </c>
      <c r="BL299" t="s" s="0">
        <v>81</v>
      </c>
      <c r="BM299" t="s" s="0">
        <v>81</v>
      </c>
      <c r="BN299" t="s" s="0">
        <v>210</v>
      </c>
      <c r="BO299" t="s" s="0">
        <v>296</v>
      </c>
      <c r="BP299" t="s" s="0">
        <v>297</v>
      </c>
      <c r="BQ299" t="s" s="0">
        <v>7034</v>
      </c>
      <c r="BR299" t="s" s="0">
        <v>7035</v>
      </c>
      <c r="BS299" t="s" s="0">
        <v>7036</v>
      </c>
      <c r="BT299" t="s" s="593">
        <f>HYPERLINK("https://www.webofscience.com/wos/woscc/full-record/WOS:001647369600001","View Record in Web of Science")</f>
        <v>114</v>
      </c>
      <c r="BU299" t="s" s="0">
        <v>301</v>
      </c>
      <c r="BV299" t="s" s="0">
        <v>81</v>
      </c>
      <c r="BW299" t="s" s="0">
        <v>81</v>
      </c>
      <c r="BX299" t="s" s="0">
        <v>116</v>
      </c>
    </row>
    <row r="300">
      <c r="A300" t="s" s="0">
        <v>77</v>
      </c>
      <c r="B300" t="s" s="0">
        <v>77</v>
      </c>
      <c r="C300" t="s" s="0">
        <v>77</v>
      </c>
      <c r="D300" t="s" s="0">
        <v>77</v>
      </c>
      <c r="E300" t="s" s="0">
        <v>7037</v>
      </c>
      <c r="F300" t="s" s="0">
        <v>7038</v>
      </c>
      <c r="G300" t="s" s="0">
        <v>7039</v>
      </c>
      <c r="H300" t="s" s="0">
        <v>81</v>
      </c>
      <c r="I300" t="s" s="0">
        <v>82</v>
      </c>
      <c r="J300" t="s" s="0">
        <v>7040</v>
      </c>
      <c r="K300" t="s" s="0">
        <v>7041</v>
      </c>
      <c r="L300" t="s" s="0">
        <v>81</v>
      </c>
      <c r="M300" t="s" s="0">
        <v>81</v>
      </c>
      <c r="N300" t="s" s="0">
        <v>81</v>
      </c>
      <c r="O300" t="s" s="0">
        <v>7042</v>
      </c>
      <c r="P300" t="s" s="0">
        <v>7043</v>
      </c>
      <c r="Q300" t="s" s="0">
        <v>87</v>
      </c>
      <c r="R300" t="s" s="0">
        <v>81</v>
      </c>
      <c r="S300" t="s" s="0">
        <v>81</v>
      </c>
      <c r="T300" t="s" s="0">
        <v>81</v>
      </c>
      <c r="U300" t="s" s="0">
        <v>81</v>
      </c>
      <c r="V300" t="s" s="0">
        <v>7044</v>
      </c>
      <c r="W300" t="s" s="0">
        <v>7045</v>
      </c>
      <c r="X300" t="s" s="0">
        <v>81</v>
      </c>
      <c r="Y300" t="s" s="0">
        <v>81</v>
      </c>
      <c r="Z300" t="s" s="0">
        <v>90</v>
      </c>
      <c r="AA300" t="s" s="0">
        <v>91</v>
      </c>
      <c r="AB300" t="s" s="0">
        <v>81</v>
      </c>
      <c r="AC300" t="s" s="0">
        <v>81</v>
      </c>
      <c r="AD300" t="s" s="0">
        <v>81</v>
      </c>
      <c r="AE300" t="s" s="0">
        <v>81</v>
      </c>
      <c r="AF300" t="s" s="0">
        <v>81</v>
      </c>
      <c r="AG300" t="s" s="0">
        <v>7046</v>
      </c>
      <c r="AH300" t="s" s="0">
        <v>1440</v>
      </c>
      <c r="AI300" t="s" s="0">
        <v>81</v>
      </c>
      <c r="AJ300" t="s" s="0">
        <v>81</v>
      </c>
      <c r="AK300" t="s" s="0">
        <v>81</v>
      </c>
      <c r="AL300" t="s" s="0">
        <v>173</v>
      </c>
      <c r="AM300" t="s" s="0">
        <v>77</v>
      </c>
      <c r="AN300" t="s" s="0">
        <v>77</v>
      </c>
      <c r="AO300" t="s" s="0">
        <v>77</v>
      </c>
      <c r="AP300" t="s" s="0">
        <v>77</v>
      </c>
      <c r="AQ300" t="s" s="0">
        <v>2416</v>
      </c>
      <c r="AR300" t="s" s="0">
        <v>604</v>
      </c>
      <c r="AS300" t="s" s="0">
        <v>2417</v>
      </c>
      <c r="AT300" t="s" s="0">
        <v>7047</v>
      </c>
      <c r="AU300" t="s" s="0">
        <v>7048</v>
      </c>
      <c r="AV300" t="s" s="0">
        <v>81</v>
      </c>
      <c r="AW300" t="s" s="0">
        <v>7049</v>
      </c>
      <c r="AX300" t="s" s="0">
        <v>7050</v>
      </c>
      <c r="AY300" t="s" s="0">
        <v>6101</v>
      </c>
      <c r="AZ300" t="s" s="0">
        <v>103</v>
      </c>
      <c r="BA300" t="s" s="0">
        <v>734</v>
      </c>
      <c r="BB300" t="s" s="0">
        <v>196</v>
      </c>
      <c r="BC300" t="s" s="0">
        <v>81</v>
      </c>
      <c r="BD300" t="s" s="0">
        <v>81</v>
      </c>
      <c r="BE300" t="s" s="0">
        <v>81</v>
      </c>
      <c r="BF300" t="s" s="0">
        <v>81</v>
      </c>
      <c r="BG300" t="s" s="0">
        <v>7051</v>
      </c>
      <c r="BH300" t="s" s="0">
        <v>7052</v>
      </c>
      <c r="BI300" t="s" s="0">
        <v>81</v>
      </c>
      <c r="BJ300" t="s" s="0">
        <v>7053</v>
      </c>
      <c r="BK300" t="s" s="594">
        <f>HYPERLINK("http://dx.doi.org/10.1016/j.rdc.2026.03.005","http://dx.doi.org/10.1016/j.rdc.2026.03.005")</f>
        <v>7054</v>
      </c>
      <c r="BL300" t="s" s="0">
        <v>81</v>
      </c>
      <c r="BM300" t="s" s="0">
        <v>81</v>
      </c>
      <c r="BN300" t="s" s="0">
        <v>104</v>
      </c>
      <c r="BO300" t="s" s="0">
        <v>7055</v>
      </c>
      <c r="BP300" t="s" s="0">
        <v>7055</v>
      </c>
      <c r="BQ300" t="s" s="0">
        <v>7056</v>
      </c>
      <c r="BR300" t="s" s="0">
        <v>7057</v>
      </c>
      <c r="BS300" t="s" s="0">
        <v>7058</v>
      </c>
      <c r="BT300" t="s" s="595">
        <f>HYPERLINK("https://www.webofscience.com/wos/woscc/full-record/WOS:001820870500001","View Record in Web of Science")</f>
        <v>114</v>
      </c>
      <c r="BU300" t="s" s="0">
        <v>81</v>
      </c>
      <c r="BV300" t="s" s="0">
        <v>81</v>
      </c>
      <c r="BW300" t="s" s="0">
        <v>81</v>
      </c>
      <c r="BX300" t="s" s="0">
        <v>116</v>
      </c>
    </row>
    <row r="301">
      <c r="A301" t="s" s="0">
        <v>77</v>
      </c>
      <c r="B301" t="s" s="0">
        <v>77</v>
      </c>
      <c r="C301" t="s" s="0">
        <v>133</v>
      </c>
      <c r="D301" t="s" s="0">
        <v>77</v>
      </c>
      <c r="E301" t="s" s="0">
        <v>7059</v>
      </c>
      <c r="F301" t="s" s="0">
        <v>7060</v>
      </c>
      <c r="G301" t="s" s="0">
        <v>7061</v>
      </c>
      <c r="H301" t="s" s="0">
        <v>81</v>
      </c>
      <c r="I301" t="s" s="0">
        <v>82</v>
      </c>
      <c r="J301" t="s" s="0">
        <v>7062</v>
      </c>
      <c r="K301" t="s" s="0">
        <v>7063</v>
      </c>
      <c r="L301" t="s" s="0">
        <v>7064</v>
      </c>
      <c r="M301" t="s" s="0">
        <v>7065</v>
      </c>
      <c r="N301" t="s" s="0">
        <v>7066</v>
      </c>
      <c r="O301" t="s" s="0">
        <v>7067</v>
      </c>
      <c r="P301" t="s" s="0">
        <v>7068</v>
      </c>
      <c r="Q301" t="s" s="0">
        <v>87</v>
      </c>
      <c r="R301" t="s" s="0">
        <v>81</v>
      </c>
      <c r="S301" t="s" s="0">
        <v>81</v>
      </c>
      <c r="T301" t="s" s="0">
        <v>81</v>
      </c>
      <c r="U301" t="s" s="0">
        <v>81</v>
      </c>
      <c r="V301" t="s" s="0">
        <v>7069</v>
      </c>
      <c r="W301" t="s" s="0">
        <v>910</v>
      </c>
      <c r="X301" t="s" s="0">
        <v>81</v>
      </c>
      <c r="Y301" t="s" s="0">
        <v>81</v>
      </c>
      <c r="Z301" t="s" s="0">
        <v>90</v>
      </c>
      <c r="AA301" t="s" s="0">
        <v>91</v>
      </c>
      <c r="AB301" t="s" s="0">
        <v>81</v>
      </c>
      <c r="AC301" t="s" s="0">
        <v>81</v>
      </c>
      <c r="AD301" t="s" s="0">
        <v>81</v>
      </c>
      <c r="AE301" t="s" s="0">
        <v>81</v>
      </c>
      <c r="AF301" t="s" s="0">
        <v>81</v>
      </c>
      <c r="AG301" t="s" s="0">
        <v>81</v>
      </c>
      <c r="AH301" t="s" s="0">
        <v>7070</v>
      </c>
      <c r="AI301" t="s" s="0">
        <v>7071</v>
      </c>
      <c r="AJ301" t="s" s="0">
        <v>7072</v>
      </c>
      <c r="AK301" t="s" s="0">
        <v>81</v>
      </c>
      <c r="AL301" t="s" s="0">
        <v>1442</v>
      </c>
      <c r="AM301" t="s" s="0">
        <v>222</v>
      </c>
      <c r="AN301" t="s" s="0">
        <v>295</v>
      </c>
      <c r="AO301" t="s" s="0">
        <v>156</v>
      </c>
      <c r="AP301" t="s" s="0">
        <v>211</v>
      </c>
      <c r="AQ301" t="s" s="0">
        <v>915</v>
      </c>
      <c r="AR301" t="s" s="0">
        <v>916</v>
      </c>
      <c r="AS301" t="s" s="0">
        <v>917</v>
      </c>
      <c r="AT301" t="s" s="0">
        <v>918</v>
      </c>
      <c r="AU301" t="s" s="0">
        <v>81</v>
      </c>
      <c r="AV301" t="s" s="0">
        <v>81</v>
      </c>
      <c r="AW301" t="s" s="0">
        <v>919</v>
      </c>
      <c r="AX301" t="s" s="0">
        <v>920</v>
      </c>
      <c r="AY301" t="s" s="0">
        <v>7073</v>
      </c>
      <c r="AZ301" t="s" s="0">
        <v>185</v>
      </c>
      <c r="BA301" t="s" s="0">
        <v>104</v>
      </c>
      <c r="BB301" t="s" s="0">
        <v>97</v>
      </c>
      <c r="BC301" t="s" s="0">
        <v>81</v>
      </c>
      <c r="BD301" t="s" s="0">
        <v>81</v>
      </c>
      <c r="BE301" t="s" s="0">
        <v>81</v>
      </c>
      <c r="BF301" t="s" s="0">
        <v>81</v>
      </c>
      <c r="BG301" t="s" s="0">
        <v>81</v>
      </c>
      <c r="BH301" t="s" s="0">
        <v>81</v>
      </c>
      <c r="BI301" t="s" s="0">
        <v>7074</v>
      </c>
      <c r="BJ301" t="s" s="0">
        <v>7075</v>
      </c>
      <c r="BK301" t="s" s="596">
        <f>HYPERLINK("http://dx.doi.org/10.1038/s41598-024-56656-4","http://dx.doi.org/10.1038/s41598-024-56656-4")</f>
        <v>7076</v>
      </c>
      <c r="BL301" t="s" s="0">
        <v>81</v>
      </c>
      <c r="BM301" t="s" s="0">
        <v>81</v>
      </c>
      <c r="BN301" t="s" s="0">
        <v>486</v>
      </c>
      <c r="BO301" t="s" s="0">
        <v>926</v>
      </c>
      <c r="BP301" t="s" s="0">
        <v>927</v>
      </c>
      <c r="BQ301" t="s" s="0">
        <v>7077</v>
      </c>
      <c r="BR301" t="s" s="0">
        <v>7078</v>
      </c>
      <c r="BS301" t="s" s="0">
        <v>7079</v>
      </c>
      <c r="BT301" t="s" s="597">
        <f>HYPERLINK("https://www.webofscience.com/wos/woscc/full-record/WOS:001185588800038","View Record in Web of Science")</f>
        <v>114</v>
      </c>
      <c r="BU301" t="s" s="0">
        <v>301</v>
      </c>
      <c r="BV301" t="s" s="0">
        <v>81</v>
      </c>
      <c r="BW301" t="s" s="0">
        <v>81</v>
      </c>
      <c r="BX301" t="s" s="0">
        <v>116</v>
      </c>
    </row>
    <row r="302">
      <c r="A302" t="s" s="0">
        <v>77</v>
      </c>
      <c r="B302" t="s" s="0">
        <v>77</v>
      </c>
      <c r="C302" t="s" s="0">
        <v>156</v>
      </c>
      <c r="D302" t="s" s="0">
        <v>77</v>
      </c>
      <c r="E302" t="s" s="0">
        <v>7080</v>
      </c>
      <c r="F302" t="s" s="0">
        <v>7081</v>
      </c>
      <c r="G302" t="s" s="0">
        <v>7082</v>
      </c>
      <c r="H302" t="s" s="0">
        <v>81</v>
      </c>
      <c r="I302" t="s" s="0">
        <v>528</v>
      </c>
      <c r="J302" t="s" s="0">
        <v>7083</v>
      </c>
      <c r="K302" t="s" s="0">
        <v>7084</v>
      </c>
      <c r="L302" t="s" s="0">
        <v>7085</v>
      </c>
      <c r="M302" t="s" s="0">
        <v>7086</v>
      </c>
      <c r="N302" t="s" s="0">
        <v>7087</v>
      </c>
      <c r="O302" t="s" s="0">
        <v>7088</v>
      </c>
      <c r="P302" t="s" s="0">
        <v>7089</v>
      </c>
      <c r="Q302" t="s" s="0">
        <v>87</v>
      </c>
      <c r="R302" t="s" s="0">
        <v>81</v>
      </c>
      <c r="S302" t="s" s="0">
        <v>81</v>
      </c>
      <c r="T302" t="s" s="0">
        <v>81</v>
      </c>
      <c r="U302" t="s" s="0">
        <v>81</v>
      </c>
      <c r="V302" t="s" s="0">
        <v>7090</v>
      </c>
      <c r="W302" t="s" s="0">
        <v>89</v>
      </c>
      <c r="X302" t="s" s="0">
        <v>81</v>
      </c>
      <c r="Y302" t="s" s="0">
        <v>81</v>
      </c>
      <c r="Z302" t="s" s="0">
        <v>90</v>
      </c>
      <c r="AA302" t="s" s="0">
        <v>91</v>
      </c>
      <c r="AB302" t="s" s="0">
        <v>81</v>
      </c>
      <c r="AC302" t="s" s="0">
        <v>81</v>
      </c>
      <c r="AD302" t="s" s="0">
        <v>81</v>
      </c>
      <c r="AE302" t="s" s="0">
        <v>81</v>
      </c>
      <c r="AF302" t="s" s="0">
        <v>81</v>
      </c>
      <c r="AG302" t="s" s="0">
        <v>7091</v>
      </c>
      <c r="AH302" t="s" s="0">
        <v>7092</v>
      </c>
      <c r="AI302" t="s" s="0">
        <v>7093</v>
      </c>
      <c r="AJ302" t="s" s="0">
        <v>7094</v>
      </c>
      <c r="AK302" t="s" s="0">
        <v>81</v>
      </c>
      <c r="AL302" t="s" s="0">
        <v>7095</v>
      </c>
      <c r="AM302" t="s" s="0">
        <v>104</v>
      </c>
      <c r="AN302" t="s" s="0">
        <v>291</v>
      </c>
      <c r="AO302" t="s" s="0">
        <v>97</v>
      </c>
      <c r="AP302" t="s" s="0">
        <v>671</v>
      </c>
      <c r="AQ302" t="s" s="0">
        <v>98</v>
      </c>
      <c r="AR302" t="s" s="0">
        <v>99</v>
      </c>
      <c r="AS302" t="s" s="0">
        <v>100</v>
      </c>
      <c r="AT302" t="s" s="0">
        <v>101</v>
      </c>
      <c r="AU302" t="s" s="0">
        <v>81</v>
      </c>
      <c r="AV302" t="s" s="0">
        <v>81</v>
      </c>
      <c r="AW302" t="s" s="0">
        <v>89</v>
      </c>
      <c r="AX302" t="s" s="0">
        <v>102</v>
      </c>
      <c r="AY302" t="s" s="0">
        <v>220</v>
      </c>
      <c r="AZ302" t="s" s="0">
        <v>220</v>
      </c>
      <c r="BA302" t="s" s="0">
        <v>211</v>
      </c>
      <c r="BB302" t="s" s="0">
        <v>81</v>
      </c>
      <c r="BC302" t="s" s="0">
        <v>81</v>
      </c>
      <c r="BD302" t="s" s="0">
        <v>81</v>
      </c>
      <c r="BE302" t="s" s="0">
        <v>81</v>
      </c>
      <c r="BF302" t="s" s="0">
        <v>81</v>
      </c>
      <c r="BG302" t="s" s="0">
        <v>7096</v>
      </c>
      <c r="BH302" t="s" s="0">
        <v>7097</v>
      </c>
      <c r="BI302" t="s" s="0">
        <v>81</v>
      </c>
      <c r="BJ302" t="s" s="0">
        <v>7098</v>
      </c>
      <c r="BK302" t="s" s="598">
        <f>HYPERLINK("http://dx.doi.org/10.1109/ACCESS.2022.3163311","http://dx.doi.org/10.1109/ACCESS.2022.3163311")</f>
        <v>7099</v>
      </c>
      <c r="BL302" t="s" s="0">
        <v>81</v>
      </c>
      <c r="BM302" t="s" s="0">
        <v>81</v>
      </c>
      <c r="BN302" t="s" s="0">
        <v>210</v>
      </c>
      <c r="BO302" t="s" s="0">
        <v>110</v>
      </c>
      <c r="BP302" t="s" s="0">
        <v>111</v>
      </c>
      <c r="BQ302" t="s" s="0">
        <v>7100</v>
      </c>
      <c r="BR302" t="s" s="0">
        <v>81</v>
      </c>
      <c r="BS302" t="s" s="0">
        <v>7101</v>
      </c>
      <c r="BT302" t="s" s="599">
        <f>HYPERLINK("https://www.webofscience.com/wos/woscc/full-record/WOS:000787479900001","View Record in Web of Science")</f>
        <v>114</v>
      </c>
      <c r="BU302" t="s" s="0">
        <v>7102</v>
      </c>
      <c r="BV302" t="s" s="0">
        <v>81</v>
      </c>
      <c r="BW302" t="s" s="0">
        <v>81</v>
      </c>
      <c r="BX302" t="s" s="0">
        <v>116</v>
      </c>
    </row>
    <row r="303">
      <c r="A303" t="s" s="0">
        <v>97</v>
      </c>
      <c r="B303" t="s" s="0">
        <v>77</v>
      </c>
      <c r="C303" t="s" s="0">
        <v>261</v>
      </c>
      <c r="D303" t="s" s="0">
        <v>77</v>
      </c>
      <c r="E303" t="s" s="0">
        <v>7103</v>
      </c>
      <c r="F303" t="s" s="0">
        <v>7104</v>
      </c>
      <c r="G303" t="s" s="0">
        <v>7105</v>
      </c>
      <c r="H303" t="s" s="0">
        <v>81</v>
      </c>
      <c r="I303" t="s" s="0">
        <v>82</v>
      </c>
      <c r="J303" t="s" s="0">
        <v>7106</v>
      </c>
      <c r="K303" t="s" s="0">
        <v>7107</v>
      </c>
      <c r="L303" t="s" s="0">
        <v>7108</v>
      </c>
      <c r="M303" t="s" s="0">
        <v>7109</v>
      </c>
      <c r="N303" t="s" s="0">
        <v>7110</v>
      </c>
      <c r="O303" t="s" s="0">
        <v>7111</v>
      </c>
      <c r="P303" t="s" s="0">
        <v>7112</v>
      </c>
      <c r="Q303" t="s" s="0">
        <v>87</v>
      </c>
      <c r="R303" t="s" s="0">
        <v>81</v>
      </c>
      <c r="S303" t="s" s="0">
        <v>81</v>
      </c>
      <c r="T303" t="s" s="0">
        <v>81</v>
      </c>
      <c r="U303" t="s" s="0">
        <v>81</v>
      </c>
      <c r="V303" t="s" s="0">
        <v>7113</v>
      </c>
      <c r="W303" t="s" s="0">
        <v>7114</v>
      </c>
      <c r="X303" t="s" s="0">
        <v>81</v>
      </c>
      <c r="Y303" t="s" s="0">
        <v>81</v>
      </c>
      <c r="Z303" t="s" s="0">
        <v>90</v>
      </c>
      <c r="AA303" t="s" s="0">
        <v>91</v>
      </c>
      <c r="AB303" t="s" s="0">
        <v>81</v>
      </c>
      <c r="AC303" t="s" s="0">
        <v>81</v>
      </c>
      <c r="AD303" t="s" s="0">
        <v>81</v>
      </c>
      <c r="AE303" t="s" s="0">
        <v>81</v>
      </c>
      <c r="AF303" t="s" s="0">
        <v>81</v>
      </c>
      <c r="AG303" t="s" s="0">
        <v>81</v>
      </c>
      <c r="AH303" t="s" s="0">
        <v>7115</v>
      </c>
      <c r="AI303" t="s" s="0">
        <v>7116</v>
      </c>
      <c r="AJ303" t="s" s="0">
        <v>7117</v>
      </c>
      <c r="AK303" t="s" s="0">
        <v>81</v>
      </c>
      <c r="AL303" t="s" s="0">
        <v>228</v>
      </c>
      <c r="AM303" t="s" s="0">
        <v>671</v>
      </c>
      <c r="AN303" t="s" s="0">
        <v>890</v>
      </c>
      <c r="AO303" t="s" s="0">
        <v>77</v>
      </c>
      <c r="AP303" t="s" s="0">
        <v>175</v>
      </c>
      <c r="AQ303" t="s" s="0">
        <v>428</v>
      </c>
      <c r="AR303" t="s" s="0">
        <v>429</v>
      </c>
      <c r="AS303" t="s" s="0">
        <v>430</v>
      </c>
      <c r="AT303" t="s" s="0">
        <v>7118</v>
      </c>
      <c r="AU303" t="s" s="0">
        <v>7119</v>
      </c>
      <c r="AV303" t="s" s="0">
        <v>81</v>
      </c>
      <c r="AW303" t="s" s="0">
        <v>7120</v>
      </c>
      <c r="AX303" t="s" s="0">
        <v>7121</v>
      </c>
      <c r="AY303" t="s" s="0">
        <v>7122</v>
      </c>
      <c r="AZ303" t="s" s="0">
        <v>260</v>
      </c>
      <c r="BA303" t="s" s="0">
        <v>7123</v>
      </c>
      <c r="BB303" t="s" s="0">
        <v>133</v>
      </c>
      <c r="BC303" t="s" s="0">
        <v>81</v>
      </c>
      <c r="BD303" t="s" s="0">
        <v>81</v>
      </c>
      <c r="BE303" t="s" s="0">
        <v>81</v>
      </c>
      <c r="BF303" t="s" s="0">
        <v>81</v>
      </c>
      <c r="BG303" t="s" s="0">
        <v>7124</v>
      </c>
      <c r="BH303" t="s" s="0">
        <v>7125</v>
      </c>
      <c r="BI303" t="s" s="0">
        <v>81</v>
      </c>
      <c r="BJ303" t="s" s="0">
        <v>7126</v>
      </c>
      <c r="BK303" t="s" s="600">
        <f>HYPERLINK("http://dx.doi.org/10.1016/j.ijrobp.2023.06.019","http://dx.doi.org/10.1016/j.ijrobp.2023.06.019")</f>
        <v>7127</v>
      </c>
      <c r="BL303" t="s" s="0">
        <v>81</v>
      </c>
      <c r="BM303" t="s" s="0">
        <v>6339</v>
      </c>
      <c r="BN303" t="s" s="0">
        <v>211</v>
      </c>
      <c r="BO303" t="s" s="0">
        <v>7128</v>
      </c>
      <c r="BP303" t="s" s="0">
        <v>7128</v>
      </c>
      <c r="BQ303" t="s" s="0">
        <v>7129</v>
      </c>
      <c r="BR303" t="s" s="0">
        <v>7130</v>
      </c>
      <c r="BS303" t="s" s="0">
        <v>7131</v>
      </c>
      <c r="BT303" t="s" s="601">
        <f>HYPERLINK("https://www.webofscience.com/wos/woscc/full-record/WOS:001114605000001","View Record in Web of Science")</f>
        <v>114</v>
      </c>
      <c r="BU303" t="s" s="0">
        <v>81</v>
      </c>
      <c r="BV303" t="s" s="0">
        <v>81</v>
      </c>
      <c r="BW303" t="s" s="0">
        <v>81</v>
      </c>
      <c r="BX303" t="s" s="0">
        <v>116</v>
      </c>
    </row>
    <row r="304">
      <c r="A304" t="s" s="0">
        <v>77</v>
      </c>
      <c r="B304" t="s" s="0">
        <v>77</v>
      </c>
      <c r="C304" t="s" s="0">
        <v>77</v>
      </c>
      <c r="D304" t="s" s="0">
        <v>77</v>
      </c>
      <c r="E304" t="s" s="0">
        <v>7132</v>
      </c>
      <c r="F304" t="s" s="0">
        <v>7133</v>
      </c>
      <c r="G304" t="s" s="0">
        <v>7134</v>
      </c>
      <c r="H304" t="s" s="0">
        <v>81</v>
      </c>
      <c r="I304" t="s" s="0">
        <v>238</v>
      </c>
      <c r="J304" t="s" s="0">
        <v>7135</v>
      </c>
      <c r="K304" t="s" s="0">
        <v>7136</v>
      </c>
      <c r="L304" t="s" s="0">
        <v>81</v>
      </c>
      <c r="M304" t="s" s="0">
        <v>81</v>
      </c>
      <c r="N304" t="s" s="0">
        <v>81</v>
      </c>
      <c r="O304" t="s" s="0">
        <v>7137</v>
      </c>
      <c r="P304" t="s" s="0">
        <v>7138</v>
      </c>
      <c r="Q304" t="s" s="0">
        <v>87</v>
      </c>
      <c r="R304" t="s" s="0">
        <v>81</v>
      </c>
      <c r="S304" t="s" s="0">
        <v>81</v>
      </c>
      <c r="T304" t="s" s="0">
        <v>81</v>
      </c>
      <c r="U304" t="s" s="0">
        <v>81</v>
      </c>
      <c r="V304" t="s" s="0">
        <v>7139</v>
      </c>
      <c r="W304" t="s" s="0">
        <v>7140</v>
      </c>
      <c r="X304" t="s" s="0">
        <v>81</v>
      </c>
      <c r="Y304" t="s" s="0">
        <v>81</v>
      </c>
      <c r="Z304" t="s" s="0">
        <v>90</v>
      </c>
      <c r="AA304" t="s" s="0">
        <v>91</v>
      </c>
      <c r="AB304" t="s" s="0">
        <v>81</v>
      </c>
      <c r="AC304" t="s" s="0">
        <v>81</v>
      </c>
      <c r="AD304" t="s" s="0">
        <v>81</v>
      </c>
      <c r="AE304" t="s" s="0">
        <v>81</v>
      </c>
      <c r="AF304" t="s" s="0">
        <v>81</v>
      </c>
      <c r="AG304" t="s" s="0">
        <v>7141</v>
      </c>
      <c r="AH304" t="s" s="0">
        <v>81</v>
      </c>
      <c r="AI304" t="s" s="0">
        <v>7142</v>
      </c>
      <c r="AJ304" t="s" s="0">
        <v>81</v>
      </c>
      <c r="AK304" t="s" s="0">
        <v>81</v>
      </c>
      <c r="AL304" t="s" s="0">
        <v>734</v>
      </c>
      <c r="AM304" t="s" s="0">
        <v>77</v>
      </c>
      <c r="AN304" t="s" s="0">
        <v>77</v>
      </c>
      <c r="AO304" t="s" s="0">
        <v>77</v>
      </c>
      <c r="AP304" t="s" s="0">
        <v>97</v>
      </c>
      <c r="AQ304" t="s" s="0">
        <v>457</v>
      </c>
      <c r="AR304" t="s" s="0">
        <v>458</v>
      </c>
      <c r="AS304" t="s" s="0">
        <v>459</v>
      </c>
      <c r="AT304" t="s" s="0">
        <v>7143</v>
      </c>
      <c r="AU304" t="s" s="0">
        <v>7144</v>
      </c>
      <c r="AV304" t="s" s="0">
        <v>81</v>
      </c>
      <c r="AW304" t="s" s="0">
        <v>7145</v>
      </c>
      <c r="AX304" t="s" s="0">
        <v>7146</v>
      </c>
      <c r="AY304" t="s" s="0">
        <v>290</v>
      </c>
      <c r="AZ304" t="s" s="0">
        <v>290</v>
      </c>
      <c r="BA304" t="s" s="0">
        <v>925</v>
      </c>
      <c r="BB304" t="s" s="0">
        <v>156</v>
      </c>
      <c r="BC304" t="s" s="0">
        <v>81</v>
      </c>
      <c r="BD304" t="s" s="0">
        <v>81</v>
      </c>
      <c r="BE304" t="s" s="0">
        <v>81</v>
      </c>
      <c r="BF304" t="s" s="0">
        <v>81</v>
      </c>
      <c r="BG304" t="s" s="0">
        <v>81</v>
      </c>
      <c r="BH304" t="s" s="0">
        <v>81</v>
      </c>
      <c r="BI304" t="s" s="0">
        <v>81</v>
      </c>
      <c r="BJ304" t="s" s="0">
        <v>7147</v>
      </c>
      <c r="BK304" t="s" s="602">
        <f>HYPERLINK("http://dx.doi.org/10.1504/IJGUC.2025.145181","http://dx.doi.org/10.1504/IJGUC.2025.145181")</f>
        <v>7148</v>
      </c>
      <c r="BL304" t="s" s="0">
        <v>81</v>
      </c>
      <c r="BM304" t="s" s="0">
        <v>81</v>
      </c>
      <c r="BN304" t="s" s="0">
        <v>134</v>
      </c>
      <c r="BO304" t="s" s="0">
        <v>5722</v>
      </c>
      <c r="BP304" t="s" s="0">
        <v>152</v>
      </c>
      <c r="BQ304" t="s" s="0">
        <v>7149</v>
      </c>
      <c r="BR304" t="s" s="0">
        <v>81</v>
      </c>
      <c r="BS304" t="s" s="0">
        <v>7150</v>
      </c>
      <c r="BT304" t="s" s="603">
        <f>HYPERLINK("https://www.webofscience.com/wos/woscc/full-record/WOS:001452487000004","View Record in Web of Science")</f>
        <v>114</v>
      </c>
      <c r="BU304" t="s" s="0">
        <v>81</v>
      </c>
      <c r="BV304" t="s" s="0">
        <v>81</v>
      </c>
      <c r="BW304" t="s" s="0">
        <v>81</v>
      </c>
      <c r="BX304" t="s" s="0">
        <v>116</v>
      </c>
    </row>
    <row r="305">
      <c r="A305" t="s" s="0">
        <v>77</v>
      </c>
      <c r="B305" t="s" s="0">
        <v>77</v>
      </c>
      <c r="C305" t="s" s="0">
        <v>97</v>
      </c>
      <c r="D305" t="s" s="0">
        <v>77</v>
      </c>
      <c r="E305" t="s" s="0">
        <v>7151</v>
      </c>
      <c r="F305" t="s" s="0">
        <v>7152</v>
      </c>
      <c r="G305" t="s" s="0">
        <v>7153</v>
      </c>
      <c r="H305" t="s" s="0">
        <v>81</v>
      </c>
      <c r="I305" t="s" s="0">
        <v>528</v>
      </c>
      <c r="J305" t="s" s="0">
        <v>7154</v>
      </c>
      <c r="K305" t="s" s="0">
        <v>7155</v>
      </c>
      <c r="L305" t="s" s="0">
        <v>7156</v>
      </c>
      <c r="M305" t="s" s="0">
        <v>7157</v>
      </c>
      <c r="N305" t="s" s="0">
        <v>7158</v>
      </c>
      <c r="O305" t="s" s="0">
        <v>7159</v>
      </c>
      <c r="P305" t="s" s="0">
        <v>7160</v>
      </c>
      <c r="Q305" t="s" s="0">
        <v>87</v>
      </c>
      <c r="R305" t="s" s="0">
        <v>81</v>
      </c>
      <c r="S305" t="s" s="0">
        <v>81</v>
      </c>
      <c r="T305" t="s" s="0">
        <v>81</v>
      </c>
      <c r="U305" t="s" s="0">
        <v>81</v>
      </c>
      <c r="V305" t="s" s="0">
        <v>7161</v>
      </c>
      <c r="W305" t="s" s="0">
        <v>4472</v>
      </c>
      <c r="X305" t="s" s="0">
        <v>81</v>
      </c>
      <c r="Y305" t="s" s="0">
        <v>81</v>
      </c>
      <c r="Z305" t="s" s="0">
        <v>90</v>
      </c>
      <c r="AA305" t="s" s="0">
        <v>91</v>
      </c>
      <c r="AB305" t="s" s="0">
        <v>81</v>
      </c>
      <c r="AC305" t="s" s="0">
        <v>81</v>
      </c>
      <c r="AD305" t="s" s="0">
        <v>81</v>
      </c>
      <c r="AE305" t="s" s="0">
        <v>81</v>
      </c>
      <c r="AF305" t="s" s="0">
        <v>81</v>
      </c>
      <c r="AG305" t="s" s="0">
        <v>7162</v>
      </c>
      <c r="AH305" t="s" s="0">
        <v>4100</v>
      </c>
      <c r="AI305" t="s" s="0">
        <v>7163</v>
      </c>
      <c r="AJ305" t="s" s="0">
        <v>7164</v>
      </c>
      <c r="AK305" t="s" s="0">
        <v>81</v>
      </c>
      <c r="AL305" t="s" s="0">
        <v>150</v>
      </c>
      <c r="AM305" t="s" s="0">
        <v>485</v>
      </c>
      <c r="AN305" t="s" s="0">
        <v>135</v>
      </c>
      <c r="AO305" t="s" s="0">
        <v>156</v>
      </c>
      <c r="AP305" t="s" s="0">
        <v>252</v>
      </c>
      <c r="AQ305" t="s" s="0">
        <v>284</v>
      </c>
      <c r="AR305" t="s" s="0">
        <v>285</v>
      </c>
      <c r="AS305" t="s" s="0">
        <v>286</v>
      </c>
      <c r="AT305" t="s" s="0">
        <v>81</v>
      </c>
      <c r="AU305" t="s" s="0">
        <v>4476</v>
      </c>
      <c r="AV305" t="s" s="0">
        <v>81</v>
      </c>
      <c r="AW305" t="s" s="0">
        <v>4477</v>
      </c>
      <c r="AX305" t="s" s="0">
        <v>4478</v>
      </c>
      <c r="AY305" t="s" s="0">
        <v>5318</v>
      </c>
      <c r="AZ305" t="s" s="0">
        <v>220</v>
      </c>
      <c r="BA305" t="s" s="0">
        <v>211</v>
      </c>
      <c r="BB305" t="s" s="0">
        <v>211</v>
      </c>
      <c r="BC305" t="s" s="0">
        <v>81</v>
      </c>
      <c r="BD305" t="s" s="0">
        <v>81</v>
      </c>
      <c r="BE305" t="s" s="0">
        <v>81</v>
      </c>
      <c r="BF305" t="s" s="0">
        <v>81</v>
      </c>
      <c r="BG305" t="s" s="0">
        <v>81</v>
      </c>
      <c r="BH305" t="s" s="0">
        <v>81</v>
      </c>
      <c r="BI305" t="s" s="0">
        <v>7165</v>
      </c>
      <c r="BJ305" t="s" s="0">
        <v>7166</v>
      </c>
      <c r="BK305" t="s" s="604">
        <f>HYPERLINK("http://dx.doi.org/10.3390/healthcare10101923","http://dx.doi.org/10.3390/healthcare10101923")</f>
        <v>7167</v>
      </c>
      <c r="BL305" t="s" s="0">
        <v>81</v>
      </c>
      <c r="BM305" t="s" s="0">
        <v>81</v>
      </c>
      <c r="BN305" t="s" s="0">
        <v>252</v>
      </c>
      <c r="BO305" t="s" s="0">
        <v>4481</v>
      </c>
      <c r="BP305" t="s" s="0">
        <v>4482</v>
      </c>
      <c r="BQ305" t="s" s="0">
        <v>7168</v>
      </c>
      <c r="BR305" t="s" s="0">
        <v>7169</v>
      </c>
      <c r="BS305" t="s" s="0">
        <v>7170</v>
      </c>
      <c r="BT305" t="s" s="605">
        <f>HYPERLINK("https://www.webofscience.com/wos/woscc/full-record/WOS:000872853100001","View Record in Web of Science")</f>
        <v>114</v>
      </c>
      <c r="BU305" t="s" s="0">
        <v>301</v>
      </c>
      <c r="BV305" t="s" s="0">
        <v>81</v>
      </c>
      <c r="BW305" t="s" s="0">
        <v>81</v>
      </c>
      <c r="BX305" t="s" s="0">
        <v>116</v>
      </c>
    </row>
    <row r="306">
      <c r="A306" t="s" s="0">
        <v>77</v>
      </c>
      <c r="B306" t="s" s="0">
        <v>77</v>
      </c>
      <c r="C306" t="s" s="0">
        <v>77</v>
      </c>
      <c r="D306" t="s" s="0">
        <v>77</v>
      </c>
      <c r="E306" t="s" s="0">
        <v>7171</v>
      </c>
      <c r="F306" t="s" s="0">
        <v>7172</v>
      </c>
      <c r="G306" t="s" s="0">
        <v>7173</v>
      </c>
      <c r="H306" t="s" s="0">
        <v>81</v>
      </c>
      <c r="I306" t="s" s="0">
        <v>238</v>
      </c>
      <c r="J306" t="s" s="0">
        <v>7174</v>
      </c>
      <c r="K306" t="s" s="0">
        <v>7175</v>
      </c>
      <c r="L306" t="s" s="0">
        <v>81</v>
      </c>
      <c r="M306" t="s" s="0">
        <v>81</v>
      </c>
      <c r="N306" t="s" s="0">
        <v>81</v>
      </c>
      <c r="O306" t="s" s="0">
        <v>7176</v>
      </c>
      <c r="P306" t="s" s="0">
        <v>81</v>
      </c>
      <c r="Q306" t="s" s="0">
        <v>87</v>
      </c>
      <c r="R306" t="s" s="0">
        <v>81</v>
      </c>
      <c r="S306" t="s" s="0">
        <v>81</v>
      </c>
      <c r="T306" t="s" s="0">
        <v>81</v>
      </c>
      <c r="U306" t="s" s="0">
        <v>81</v>
      </c>
      <c r="V306" t="s" s="0">
        <v>7177</v>
      </c>
      <c r="W306" t="s" s="0">
        <v>7178</v>
      </c>
      <c r="X306" t="s" s="0">
        <v>81</v>
      </c>
      <c r="Y306" t="s" s="0">
        <v>81</v>
      </c>
      <c r="Z306" t="s" s="0">
        <v>90</v>
      </c>
      <c r="AA306" t="s" s="0">
        <v>91</v>
      </c>
      <c r="AB306" t="s" s="0">
        <v>81</v>
      </c>
      <c r="AC306" t="s" s="0">
        <v>81</v>
      </c>
      <c r="AD306" t="s" s="0">
        <v>81</v>
      </c>
      <c r="AE306" t="s" s="0">
        <v>81</v>
      </c>
      <c r="AF306" t="s" s="0">
        <v>81</v>
      </c>
      <c r="AG306" t="s" s="0">
        <v>7179</v>
      </c>
      <c r="AH306" t="s" s="0">
        <v>81</v>
      </c>
      <c r="AI306" t="s" s="0">
        <v>81</v>
      </c>
      <c r="AJ306" t="s" s="0">
        <v>7180</v>
      </c>
      <c r="AK306" t="s" s="0">
        <v>81</v>
      </c>
      <c r="AL306" t="s" s="0">
        <v>291</v>
      </c>
      <c r="AM306" t="s" s="0">
        <v>77</v>
      </c>
      <c r="AN306" t="s" s="0">
        <v>77</v>
      </c>
      <c r="AO306" t="s" s="0">
        <v>196</v>
      </c>
      <c r="AP306" t="s" s="0">
        <v>196</v>
      </c>
      <c r="AQ306" t="s" s="0">
        <v>7181</v>
      </c>
      <c r="AR306" t="s" s="0">
        <v>7182</v>
      </c>
      <c r="AS306" t="s" s="0">
        <v>7183</v>
      </c>
      <c r="AT306" t="s" s="0">
        <v>7184</v>
      </c>
      <c r="AU306" t="s" s="0">
        <v>7185</v>
      </c>
      <c r="AV306" t="s" s="0">
        <v>81</v>
      </c>
      <c r="AW306" t="s" s="0">
        <v>7186</v>
      </c>
      <c r="AX306" t="s" s="0">
        <v>7187</v>
      </c>
      <c r="AY306" t="s" s="0">
        <v>149</v>
      </c>
      <c r="AZ306" t="s" s="0">
        <v>290</v>
      </c>
      <c r="BA306" t="s" s="0">
        <v>81</v>
      </c>
      <c r="BB306" t="s" s="0">
        <v>174</v>
      </c>
      <c r="BC306" t="s" s="0">
        <v>81</v>
      </c>
      <c r="BD306" t="s" s="0">
        <v>81</v>
      </c>
      <c r="BE306" t="s" s="0">
        <v>81</v>
      </c>
      <c r="BF306" t="s" s="0">
        <v>81</v>
      </c>
      <c r="BG306" t="s" s="0">
        <v>366</v>
      </c>
      <c r="BH306" t="s" s="0">
        <v>5116</v>
      </c>
      <c r="BI306" t="s" s="0">
        <v>81</v>
      </c>
      <c r="BJ306" t="s" s="0">
        <v>7188</v>
      </c>
      <c r="BK306" t="s" s="606">
        <f>HYPERLINK("http://dx.doi.org/10.25038/am.v0i28.639","http://dx.doi.org/10.25038/am.v0i28.639")</f>
        <v>7189</v>
      </c>
      <c r="BL306" t="s" s="0">
        <v>81</v>
      </c>
      <c r="BM306" t="s" s="0">
        <v>81</v>
      </c>
      <c r="BN306" t="s" s="0">
        <v>134</v>
      </c>
      <c r="BO306" t="s" s="0">
        <v>7190</v>
      </c>
      <c r="BP306" t="s" s="0">
        <v>7190</v>
      </c>
      <c r="BQ306" t="s" s="0">
        <v>7191</v>
      </c>
      <c r="BR306" t="s" s="0">
        <v>81</v>
      </c>
      <c r="BS306" t="s" s="0">
        <v>7192</v>
      </c>
      <c r="BT306" t="s" s="607">
        <f>HYPERLINK("https://www.webofscience.com/wos/woscc/full-record/WOS:001633404600005","View Record in Web of Science")</f>
        <v>114</v>
      </c>
      <c r="BU306" t="s" s="0">
        <v>115</v>
      </c>
      <c r="BV306" t="s" s="0">
        <v>81</v>
      </c>
      <c r="BW306" t="s" s="0">
        <v>81</v>
      </c>
      <c r="BX306" t="s" s="0">
        <v>116</v>
      </c>
    </row>
    <row r="307">
      <c r="A307" t="s" s="0">
        <v>77</v>
      </c>
      <c r="B307" t="s" s="0">
        <v>77</v>
      </c>
      <c r="C307" t="s" s="0">
        <v>97</v>
      </c>
      <c r="D307" t="s" s="0">
        <v>77</v>
      </c>
      <c r="E307" t="s" s="0">
        <v>7193</v>
      </c>
      <c r="F307" t="s" s="0">
        <v>7194</v>
      </c>
      <c r="G307" t="s" s="0">
        <v>7195</v>
      </c>
      <c r="H307" t="s" s="0">
        <v>81</v>
      </c>
      <c r="I307" t="s" s="0">
        <v>82</v>
      </c>
      <c r="J307" t="s" s="0">
        <v>7196</v>
      </c>
      <c r="K307" t="s" s="0">
        <v>7197</v>
      </c>
      <c r="L307" t="s" s="0">
        <v>7198</v>
      </c>
      <c r="M307" t="s" s="0">
        <v>7199</v>
      </c>
      <c r="N307" t="s" s="0">
        <v>7200</v>
      </c>
      <c r="O307" t="s" s="0">
        <v>7201</v>
      </c>
      <c r="P307" t="s" s="0">
        <v>7202</v>
      </c>
      <c r="Q307" t="s" s="0">
        <v>87</v>
      </c>
      <c r="R307" t="s" s="0">
        <v>81</v>
      </c>
      <c r="S307" t="s" s="0">
        <v>81</v>
      </c>
      <c r="T307" t="s" s="0">
        <v>81</v>
      </c>
      <c r="U307" t="s" s="0">
        <v>81</v>
      </c>
      <c r="V307" t="s" s="0">
        <v>7203</v>
      </c>
      <c r="W307" t="s" s="0">
        <v>7204</v>
      </c>
      <c r="X307" t="s" s="0">
        <v>81</v>
      </c>
      <c r="Y307" t="s" s="0">
        <v>81</v>
      </c>
      <c r="Z307" t="s" s="0">
        <v>90</v>
      </c>
      <c r="AA307" t="s" s="0">
        <v>91</v>
      </c>
      <c r="AB307" t="s" s="0">
        <v>81</v>
      </c>
      <c r="AC307" t="s" s="0">
        <v>81</v>
      </c>
      <c r="AD307" t="s" s="0">
        <v>81</v>
      </c>
      <c r="AE307" t="s" s="0">
        <v>81</v>
      </c>
      <c r="AF307" t="s" s="0">
        <v>81</v>
      </c>
      <c r="AG307" t="s" s="0">
        <v>7205</v>
      </c>
      <c r="AH307" t="s" s="0">
        <v>81</v>
      </c>
      <c r="AI307" t="s" s="0">
        <v>7206</v>
      </c>
      <c r="AJ307" t="s" s="0">
        <v>7207</v>
      </c>
      <c r="AK307" t="s" s="0">
        <v>81</v>
      </c>
      <c r="AL307" t="s" s="0">
        <v>543</v>
      </c>
      <c r="AM307" t="s" s="0">
        <v>316</v>
      </c>
      <c r="AN307" t="s" s="0">
        <v>234</v>
      </c>
      <c r="AO307" t="s" s="0">
        <v>175</v>
      </c>
      <c r="AP307" t="s" s="0">
        <v>316</v>
      </c>
      <c r="AQ307" t="s" s="0">
        <v>284</v>
      </c>
      <c r="AR307" t="s" s="0">
        <v>285</v>
      </c>
      <c r="AS307" t="s" s="0">
        <v>286</v>
      </c>
      <c r="AT307" t="s" s="0">
        <v>81</v>
      </c>
      <c r="AU307" t="s" s="0">
        <v>7208</v>
      </c>
      <c r="AV307" t="s" s="0">
        <v>81</v>
      </c>
      <c r="AW307" t="s" s="0">
        <v>7204</v>
      </c>
      <c r="AX307" t="s" s="0">
        <v>7209</v>
      </c>
      <c r="AY307" t="s" s="0">
        <v>6321</v>
      </c>
      <c r="AZ307" t="s" s="0">
        <v>290</v>
      </c>
      <c r="BA307" t="s" s="0">
        <v>104</v>
      </c>
      <c r="BB307" t="s" s="0">
        <v>381</v>
      </c>
      <c r="BC307" t="s" s="0">
        <v>81</v>
      </c>
      <c r="BD307" t="s" s="0">
        <v>81</v>
      </c>
      <c r="BE307" t="s" s="0">
        <v>81</v>
      </c>
      <c r="BF307" t="s" s="0">
        <v>81</v>
      </c>
      <c r="BG307" t="s" s="0">
        <v>81</v>
      </c>
      <c r="BH307" t="s" s="0">
        <v>81</v>
      </c>
      <c r="BI307" t="s" s="0">
        <v>7210</v>
      </c>
      <c r="BJ307" t="s" s="0">
        <v>7211</v>
      </c>
      <c r="BK307" t="s" s="608">
        <f>HYPERLINK("http://dx.doi.org/10.3390/biology14080909","http://dx.doi.org/10.3390/biology14080909")</f>
        <v>7212</v>
      </c>
      <c r="BL307" t="s" s="0">
        <v>81</v>
      </c>
      <c r="BM307" t="s" s="0">
        <v>81</v>
      </c>
      <c r="BN307" t="s" s="0">
        <v>925</v>
      </c>
      <c r="BO307" t="s" s="0">
        <v>7213</v>
      </c>
      <c r="BP307" t="s" s="0">
        <v>7214</v>
      </c>
      <c r="BQ307" t="s" s="0">
        <v>7215</v>
      </c>
      <c r="BR307" t="s" s="0">
        <v>7216</v>
      </c>
      <c r="BS307" t="s" s="0">
        <v>7217</v>
      </c>
      <c r="BT307" t="s" s="609">
        <f>HYPERLINK("https://www.webofscience.com/wos/woscc/full-record/WOS:001557948800001","View Record in Web of Science")</f>
        <v>114</v>
      </c>
      <c r="BU307" t="s" s="0">
        <v>301</v>
      </c>
      <c r="BV307" t="s" s="0">
        <v>81</v>
      </c>
      <c r="BW307" t="s" s="0">
        <v>81</v>
      </c>
      <c r="BX307" t="s" s="0">
        <v>116</v>
      </c>
    </row>
    <row r="308">
      <c r="A308" t="s" s="0">
        <v>77</v>
      </c>
      <c r="B308" t="s" s="0">
        <v>77</v>
      </c>
      <c r="C308" t="s" s="0">
        <v>77</v>
      </c>
      <c r="D308" t="s" s="0">
        <v>77</v>
      </c>
      <c r="E308" t="s" s="0">
        <v>7218</v>
      </c>
      <c r="F308" t="s" s="0">
        <v>7219</v>
      </c>
      <c r="G308" t="s" s="0">
        <v>7220</v>
      </c>
      <c r="H308" t="s" s="0">
        <v>81</v>
      </c>
      <c r="I308" t="s" s="0">
        <v>238</v>
      </c>
      <c r="J308" t="s" s="0">
        <v>7221</v>
      </c>
      <c r="K308" t="s" s="0">
        <v>7222</v>
      </c>
      <c r="L308" t="s" s="0">
        <v>81</v>
      </c>
      <c r="M308" t="s" s="0">
        <v>81</v>
      </c>
      <c r="N308" t="s" s="0">
        <v>81</v>
      </c>
      <c r="O308" t="s" s="0">
        <v>7223</v>
      </c>
      <c r="P308" t="s" s="0">
        <v>81</v>
      </c>
      <c r="Q308" t="s" s="0">
        <v>87</v>
      </c>
      <c r="R308" t="s" s="0">
        <v>81</v>
      </c>
      <c r="S308" t="s" s="0">
        <v>81</v>
      </c>
      <c r="T308" t="s" s="0">
        <v>81</v>
      </c>
      <c r="U308" t="s" s="0">
        <v>81</v>
      </c>
      <c r="V308" t="s" s="0">
        <v>7224</v>
      </c>
      <c r="W308" t="s" s="0">
        <v>1416</v>
      </c>
      <c r="X308" t="s" s="0">
        <v>81</v>
      </c>
      <c r="Y308" t="s" s="0">
        <v>81</v>
      </c>
      <c r="Z308" t="s" s="0">
        <v>90</v>
      </c>
      <c r="AA308" t="s" s="0">
        <v>91</v>
      </c>
      <c r="AB308" t="s" s="0">
        <v>81</v>
      </c>
      <c r="AC308" t="s" s="0">
        <v>81</v>
      </c>
      <c r="AD308" t="s" s="0">
        <v>81</v>
      </c>
      <c r="AE308" t="s" s="0">
        <v>81</v>
      </c>
      <c r="AF308" t="s" s="0">
        <v>81</v>
      </c>
      <c r="AG308" t="s" s="0">
        <v>7225</v>
      </c>
      <c r="AH308" t="s" s="0">
        <v>7226</v>
      </c>
      <c r="AI308" t="s" s="0">
        <v>7227</v>
      </c>
      <c r="AJ308" t="s" s="0">
        <v>81</v>
      </c>
      <c r="AK308" t="s" s="0">
        <v>81</v>
      </c>
      <c r="AL308" t="s" s="0">
        <v>176</v>
      </c>
      <c r="AM308" t="s" s="0">
        <v>77</v>
      </c>
      <c r="AN308" t="s" s="0">
        <v>77</v>
      </c>
      <c r="AO308" t="s" s="0">
        <v>77</v>
      </c>
      <c r="AP308" t="s" s="0">
        <v>77</v>
      </c>
      <c r="AQ308" t="s" s="0">
        <v>368</v>
      </c>
      <c r="AR308" t="s" s="0">
        <v>369</v>
      </c>
      <c r="AS308" t="s" s="0">
        <v>370</v>
      </c>
      <c r="AT308" t="s" s="0">
        <v>81</v>
      </c>
      <c r="AU308" t="s" s="0">
        <v>1421</v>
      </c>
      <c r="AV308" t="s" s="0">
        <v>81</v>
      </c>
      <c r="AW308" t="s" s="0">
        <v>1422</v>
      </c>
      <c r="AX308" t="s" s="0">
        <v>1423</v>
      </c>
      <c r="AY308" t="s" s="0">
        <v>7228</v>
      </c>
      <c r="AZ308" t="s" s="0">
        <v>103</v>
      </c>
      <c r="BA308" t="s" s="0">
        <v>381</v>
      </c>
      <c r="BB308" t="s" s="0">
        <v>81</v>
      </c>
      <c r="BC308" t="s" s="0">
        <v>81</v>
      </c>
      <c r="BD308" t="s" s="0">
        <v>81</v>
      </c>
      <c r="BE308" t="s" s="0">
        <v>81</v>
      </c>
      <c r="BF308" t="s" s="0">
        <v>81</v>
      </c>
      <c r="BG308" t="s" s="0">
        <v>81</v>
      </c>
      <c r="BH308" t="s" s="0">
        <v>81</v>
      </c>
      <c r="BI308" t="s" s="0">
        <v>7229</v>
      </c>
      <c r="BJ308" t="s" s="0">
        <v>7230</v>
      </c>
      <c r="BK308" t="s" s="610">
        <f>HYPERLINK("http://dx.doi.org/10.3389/fdgth.2026.1871438","http://dx.doi.org/10.3389/fdgth.2026.1871438")</f>
        <v>7231</v>
      </c>
      <c r="BL308" t="s" s="0">
        <v>81</v>
      </c>
      <c r="BM308" t="s" s="0">
        <v>81</v>
      </c>
      <c r="BN308" t="s" s="0">
        <v>134</v>
      </c>
      <c r="BO308" t="s" s="0">
        <v>792</v>
      </c>
      <c r="BP308" t="s" s="0">
        <v>792</v>
      </c>
      <c r="BQ308" t="s" s="0">
        <v>7232</v>
      </c>
      <c r="BR308" t="s" s="0">
        <v>7233</v>
      </c>
      <c r="BS308" t="s" s="0">
        <v>7234</v>
      </c>
      <c r="BT308" t="s" s="611">
        <f>HYPERLINK("https://www.webofscience.com/wos/woscc/full-record/WOS:001825461000001","View Record in Web of Science")</f>
        <v>114</v>
      </c>
      <c r="BU308" t="s" s="0">
        <v>301</v>
      </c>
      <c r="BV308" t="s" s="0">
        <v>81</v>
      </c>
      <c r="BW308" t="s" s="0">
        <v>81</v>
      </c>
      <c r="BX308" t="s" s="0">
        <v>116</v>
      </c>
    </row>
    <row r="309">
      <c r="A309" t="s" s="0">
        <v>77</v>
      </c>
      <c r="B309" t="s" s="0">
        <v>77</v>
      </c>
      <c r="C309" t="s" s="0">
        <v>77</v>
      </c>
      <c r="D309" t="s" s="0">
        <v>77</v>
      </c>
      <c r="E309" t="s" s="0">
        <v>7235</v>
      </c>
      <c r="F309" t="s" s="0">
        <v>7236</v>
      </c>
      <c r="G309" t="s" s="0">
        <v>7237</v>
      </c>
      <c r="H309" t="s" s="0">
        <v>81</v>
      </c>
      <c r="I309" t="s" s="0">
        <v>82</v>
      </c>
      <c r="J309" t="s" s="0">
        <v>7238</v>
      </c>
      <c r="K309" t="s" s="0">
        <v>7239</v>
      </c>
      <c r="L309" t="s" s="0">
        <v>7240</v>
      </c>
      <c r="M309" t="s" s="0">
        <v>7241</v>
      </c>
      <c r="N309" t="s" s="0">
        <v>7242</v>
      </c>
      <c r="O309" t="s" s="0">
        <v>7243</v>
      </c>
      <c r="P309" t="s" s="0">
        <v>7244</v>
      </c>
      <c r="Q309" t="s" s="0">
        <v>87</v>
      </c>
      <c r="R309" t="s" s="0">
        <v>81</v>
      </c>
      <c r="S309" t="s" s="0">
        <v>81</v>
      </c>
      <c r="T309" t="s" s="0">
        <v>81</v>
      </c>
      <c r="U309" t="s" s="0">
        <v>81</v>
      </c>
      <c r="V309" t="s" s="0">
        <v>7245</v>
      </c>
      <c r="W309" t="s" s="0">
        <v>7246</v>
      </c>
      <c r="X309" t="s" s="0">
        <v>81</v>
      </c>
      <c r="Y309" t="s" s="0">
        <v>81</v>
      </c>
      <c r="Z309" t="s" s="0">
        <v>90</v>
      </c>
      <c r="AA309" t="s" s="0">
        <v>91</v>
      </c>
      <c r="AB309" t="s" s="0">
        <v>81</v>
      </c>
      <c r="AC309" t="s" s="0">
        <v>81</v>
      </c>
      <c r="AD309" t="s" s="0">
        <v>81</v>
      </c>
      <c r="AE309" t="s" s="0">
        <v>81</v>
      </c>
      <c r="AF309" t="s" s="0">
        <v>81</v>
      </c>
      <c r="AG309" t="s" s="0">
        <v>7247</v>
      </c>
      <c r="AH309" t="s" s="0">
        <v>7248</v>
      </c>
      <c r="AI309" t="s" s="0">
        <v>7249</v>
      </c>
      <c r="AJ309" t="s" s="0">
        <v>81</v>
      </c>
      <c r="AK309" t="s" s="0">
        <v>81</v>
      </c>
      <c r="AL309" t="s" s="0">
        <v>2447</v>
      </c>
      <c r="AM309" t="s" s="0">
        <v>77</v>
      </c>
      <c r="AN309" t="s" s="0">
        <v>77</v>
      </c>
      <c r="AO309" t="s" s="0">
        <v>97</v>
      </c>
      <c r="AP309" t="s" s="0">
        <v>97</v>
      </c>
      <c r="AQ309" t="s" s="0">
        <v>992</v>
      </c>
      <c r="AR309" t="s" s="0">
        <v>993</v>
      </c>
      <c r="AS309" t="s" s="0">
        <v>994</v>
      </c>
      <c r="AT309" t="s" s="0">
        <v>7250</v>
      </c>
      <c r="AU309" t="s" s="0">
        <v>7251</v>
      </c>
      <c r="AV309" t="s" s="0">
        <v>81</v>
      </c>
      <c r="AW309" t="s" s="0">
        <v>7252</v>
      </c>
      <c r="AX309" t="s" s="0">
        <v>7253</v>
      </c>
      <c r="AY309" t="s" s="0">
        <v>4798</v>
      </c>
      <c r="AZ309" t="s" s="0">
        <v>103</v>
      </c>
      <c r="BA309" t="s" s="0">
        <v>7254</v>
      </c>
      <c r="BB309" t="s" s="0">
        <v>234</v>
      </c>
      <c r="BC309" t="s" s="0">
        <v>81</v>
      </c>
      <c r="BD309" t="s" s="0">
        <v>81</v>
      </c>
      <c r="BE309" t="s" s="0">
        <v>81</v>
      </c>
      <c r="BF309" t="s" s="0">
        <v>81</v>
      </c>
      <c r="BG309" t="s" s="0">
        <v>81</v>
      </c>
      <c r="BH309" t="s" s="0">
        <v>81</v>
      </c>
      <c r="BI309" t="s" s="0">
        <v>7255</v>
      </c>
      <c r="BJ309" t="s" s="0">
        <v>7256</v>
      </c>
      <c r="BK309" t="s" s="612">
        <f>HYPERLINK("http://dx.doi.org/10.1088/1873-4030/ae8546","http://dx.doi.org/10.1088/1873-4030/ae8546")</f>
        <v>7257</v>
      </c>
      <c r="BL309" t="s" s="0">
        <v>81</v>
      </c>
      <c r="BM309" t="s" s="0">
        <v>81</v>
      </c>
      <c r="BN309" t="s" s="0">
        <v>367</v>
      </c>
      <c r="BO309" t="s" s="0">
        <v>2082</v>
      </c>
      <c r="BP309" t="s" s="0">
        <v>1003</v>
      </c>
      <c r="BQ309" t="s" s="0">
        <v>7258</v>
      </c>
      <c r="BR309" t="s" s="0">
        <v>7259</v>
      </c>
      <c r="BS309" t="s" s="0">
        <v>7260</v>
      </c>
      <c r="BT309" t="s" s="613">
        <f>HYPERLINK("https://www.webofscience.com/wos/woscc/full-record/WOS:001819835000001","View Record in Web of Science")</f>
        <v>114</v>
      </c>
      <c r="BU309" t="s" s="0">
        <v>1055</v>
      </c>
      <c r="BV309" t="s" s="0">
        <v>81</v>
      </c>
      <c r="BW309" t="s" s="0">
        <v>81</v>
      </c>
      <c r="BX309" t="s" s="0">
        <v>116</v>
      </c>
    </row>
    <row r="310">
      <c r="A310" t="s" s="0">
        <v>77</v>
      </c>
      <c r="B310" t="s" s="0">
        <v>77</v>
      </c>
      <c r="C310" t="s" s="0">
        <v>97</v>
      </c>
      <c r="D310" t="s" s="0">
        <v>77</v>
      </c>
      <c r="E310" t="s" s="0">
        <v>7261</v>
      </c>
      <c r="F310" t="s" s="0">
        <v>7262</v>
      </c>
      <c r="G310" t="s" s="0">
        <v>7263</v>
      </c>
      <c r="H310" t="s" s="0">
        <v>81</v>
      </c>
      <c r="I310" t="s" s="0">
        <v>82</v>
      </c>
      <c r="J310" t="s" s="0">
        <v>7264</v>
      </c>
      <c r="K310" t="s" s="0">
        <v>7265</v>
      </c>
      <c r="L310" t="s" s="0">
        <v>7266</v>
      </c>
      <c r="M310" t="s" s="0">
        <v>7266</v>
      </c>
      <c r="N310" t="s" s="0">
        <v>7267</v>
      </c>
      <c r="O310" t="s" s="0">
        <v>7268</v>
      </c>
      <c r="P310" t="s" s="0">
        <v>7269</v>
      </c>
      <c r="Q310" t="s" s="0">
        <v>87</v>
      </c>
      <c r="R310" t="s" s="0">
        <v>81</v>
      </c>
      <c r="S310" t="s" s="0">
        <v>81</v>
      </c>
      <c r="T310" t="s" s="0">
        <v>81</v>
      </c>
      <c r="U310" t="s" s="0">
        <v>81</v>
      </c>
      <c r="V310" t="s" s="0">
        <v>7270</v>
      </c>
      <c r="W310" t="s" s="0">
        <v>3129</v>
      </c>
      <c r="X310" t="s" s="0">
        <v>81</v>
      </c>
      <c r="Y310" t="s" s="0">
        <v>81</v>
      </c>
      <c r="Z310" t="s" s="0">
        <v>90</v>
      </c>
      <c r="AA310" t="s" s="0">
        <v>91</v>
      </c>
      <c r="AB310" t="s" s="0">
        <v>81</v>
      </c>
      <c r="AC310" t="s" s="0">
        <v>81</v>
      </c>
      <c r="AD310" t="s" s="0">
        <v>81</v>
      </c>
      <c r="AE310" t="s" s="0">
        <v>81</v>
      </c>
      <c r="AF310" t="s" s="0">
        <v>81</v>
      </c>
      <c r="AG310" t="s" s="0">
        <v>7271</v>
      </c>
      <c r="AH310" t="s" s="0">
        <v>81</v>
      </c>
      <c r="AI310" t="s" s="0">
        <v>81</v>
      </c>
      <c r="AJ310" t="s" s="0">
        <v>81</v>
      </c>
      <c r="AK310" t="s" s="0">
        <v>81</v>
      </c>
      <c r="AL310" t="s" s="0">
        <v>434</v>
      </c>
      <c r="AM310" t="s" s="0">
        <v>97</v>
      </c>
      <c r="AN310" t="s" s="0">
        <v>97</v>
      </c>
      <c r="AO310" t="s" s="0">
        <v>175</v>
      </c>
      <c r="AP310" t="s" s="0">
        <v>133</v>
      </c>
      <c r="AQ310" t="s" s="0">
        <v>212</v>
      </c>
      <c r="AR310" t="s" s="0">
        <v>429</v>
      </c>
      <c r="AS310" t="s" s="0">
        <v>784</v>
      </c>
      <c r="AT310" t="s" s="0">
        <v>3132</v>
      </c>
      <c r="AU310" t="s" s="0">
        <v>81</v>
      </c>
      <c r="AV310" t="s" s="0">
        <v>81</v>
      </c>
      <c r="AW310" t="s" s="0">
        <v>3133</v>
      </c>
      <c r="AX310" t="s" s="0">
        <v>3134</v>
      </c>
      <c r="AY310" t="s" s="0">
        <v>6378</v>
      </c>
      <c r="AZ310" t="s" s="0">
        <v>290</v>
      </c>
      <c r="BA310" t="s" s="0">
        <v>104</v>
      </c>
      <c r="BB310" t="s" s="0">
        <v>97</v>
      </c>
      <c r="BC310" t="s" s="0">
        <v>81</v>
      </c>
      <c r="BD310" t="s" s="0">
        <v>81</v>
      </c>
      <c r="BE310" t="s" s="0">
        <v>81</v>
      </c>
      <c r="BF310" t="s" s="0">
        <v>81</v>
      </c>
      <c r="BG310" t="s" s="0">
        <v>81</v>
      </c>
      <c r="BH310" t="s" s="0">
        <v>81</v>
      </c>
      <c r="BI310" t="s" s="0">
        <v>367</v>
      </c>
      <c r="BJ310" t="s" s="0">
        <v>7272</v>
      </c>
      <c r="BK310" t="s" s="614">
        <f>HYPERLINK("http://dx.doi.org/10.1007/s13755-025-00412-z","http://dx.doi.org/10.1007/s13755-025-00412-z")</f>
        <v>7273</v>
      </c>
      <c r="BL310" t="s" s="0">
        <v>81</v>
      </c>
      <c r="BM310" t="s" s="0">
        <v>81</v>
      </c>
      <c r="BN310" t="s" s="0">
        <v>925</v>
      </c>
      <c r="BO310" t="s" s="0">
        <v>1963</v>
      </c>
      <c r="BP310" t="s" s="0">
        <v>1963</v>
      </c>
      <c r="BQ310" t="s" s="0">
        <v>7274</v>
      </c>
      <c r="BR310" t="s" s="0">
        <v>7275</v>
      </c>
      <c r="BS310" t="s" s="0">
        <v>7276</v>
      </c>
      <c r="BT310" t="s" s="615">
        <f>HYPERLINK("https://www.webofscience.com/wos/woscc/full-record/WOS:001647581900001","View Record in Web of Science")</f>
        <v>114</v>
      </c>
      <c r="BU310" t="s" s="0">
        <v>155</v>
      </c>
      <c r="BV310" t="s" s="0">
        <v>81</v>
      </c>
      <c r="BW310" t="s" s="0">
        <v>81</v>
      </c>
      <c r="BX310" t="s" s="0">
        <v>116</v>
      </c>
    </row>
    <row r="311">
      <c r="A311" t="s" s="0">
        <v>77</v>
      </c>
      <c r="B311" t="s" s="0">
        <v>77</v>
      </c>
      <c r="C311" t="s" s="0">
        <v>77</v>
      </c>
      <c r="D311" t="s" s="0">
        <v>77</v>
      </c>
      <c r="E311" t="s" s="0">
        <v>7277</v>
      </c>
      <c r="F311" t="s" s="0">
        <v>7278</v>
      </c>
      <c r="G311" t="s" s="0">
        <v>7279</v>
      </c>
      <c r="H311" t="s" s="0">
        <v>81</v>
      </c>
      <c r="I311" t="s" s="0">
        <v>82</v>
      </c>
      <c r="J311" t="s" s="0">
        <v>7280</v>
      </c>
      <c r="K311" t="s" s="0">
        <v>7281</v>
      </c>
      <c r="L311" t="s" s="0">
        <v>81</v>
      </c>
      <c r="M311" t="s" s="0">
        <v>81</v>
      </c>
      <c r="N311" t="s" s="0">
        <v>81</v>
      </c>
      <c r="O311" t="s" s="0">
        <v>7282</v>
      </c>
      <c r="P311" t="s" s="0">
        <v>7283</v>
      </c>
      <c r="Q311" t="s" s="0">
        <v>87</v>
      </c>
      <c r="R311" t="s" s="0">
        <v>81</v>
      </c>
      <c r="S311" t="s" s="0">
        <v>81</v>
      </c>
      <c r="T311" t="s" s="0">
        <v>81</v>
      </c>
      <c r="U311" t="s" s="0">
        <v>81</v>
      </c>
      <c r="V311" t="s" s="0">
        <v>7284</v>
      </c>
      <c r="W311" t="s" s="0">
        <v>2070</v>
      </c>
      <c r="X311" t="s" s="0">
        <v>81</v>
      </c>
      <c r="Y311" t="s" s="0">
        <v>81</v>
      </c>
      <c r="Z311" t="s" s="0">
        <v>90</v>
      </c>
      <c r="AA311" t="s" s="0">
        <v>91</v>
      </c>
      <c r="AB311" t="s" s="0">
        <v>81</v>
      </c>
      <c r="AC311" t="s" s="0">
        <v>81</v>
      </c>
      <c r="AD311" t="s" s="0">
        <v>81</v>
      </c>
      <c r="AE311" t="s" s="0">
        <v>81</v>
      </c>
      <c r="AF311" t="s" s="0">
        <v>81</v>
      </c>
      <c r="AG311" t="s" s="0">
        <v>7285</v>
      </c>
      <c r="AH311" t="s" s="0">
        <v>81</v>
      </c>
      <c r="AI311" t="s" s="0">
        <v>7286</v>
      </c>
      <c r="AJ311" t="s" s="0">
        <v>7287</v>
      </c>
      <c r="AK311" t="s" s="0">
        <v>81</v>
      </c>
      <c r="AL311" t="s" s="0">
        <v>2447</v>
      </c>
      <c r="AM311" t="s" s="0">
        <v>77</v>
      </c>
      <c r="AN311" t="s" s="0">
        <v>77</v>
      </c>
      <c r="AO311" t="s" s="0">
        <v>97</v>
      </c>
      <c r="AP311" t="s" s="0">
        <v>97</v>
      </c>
      <c r="AQ311" t="s" s="0">
        <v>177</v>
      </c>
      <c r="AR311" t="s" s="0">
        <v>178</v>
      </c>
      <c r="AS311" t="s" s="0">
        <v>179</v>
      </c>
      <c r="AT311" t="s" s="0">
        <v>2073</v>
      </c>
      <c r="AU311" t="s" s="0">
        <v>2074</v>
      </c>
      <c r="AV311" t="s" s="0">
        <v>81</v>
      </c>
      <c r="AW311" t="s" s="0">
        <v>2075</v>
      </c>
      <c r="AX311" t="s" s="0">
        <v>2076</v>
      </c>
      <c r="AY311" t="s" s="0">
        <v>7288</v>
      </c>
      <c r="AZ311" t="s" s="0">
        <v>103</v>
      </c>
      <c r="BA311" t="s" s="0">
        <v>7289</v>
      </c>
      <c r="BB311" t="s" s="0">
        <v>81</v>
      </c>
      <c r="BC311" t="s" s="0">
        <v>81</v>
      </c>
      <c r="BD311" t="s" s="0">
        <v>81</v>
      </c>
      <c r="BE311" t="s" s="0">
        <v>81</v>
      </c>
      <c r="BF311" t="s" s="0">
        <v>81</v>
      </c>
      <c r="BG311" t="s" s="0">
        <v>81</v>
      </c>
      <c r="BH311" t="s" s="0">
        <v>81</v>
      </c>
      <c r="BI311" t="s" s="0">
        <v>7290</v>
      </c>
      <c r="BJ311" t="s" s="0">
        <v>7291</v>
      </c>
      <c r="BK311" t="s" s="616">
        <f>HYPERLINK("http://dx.doi.org/10.1016/j.bspc.2026.110743","http://dx.doi.org/10.1016/j.bspc.2026.110743")</f>
        <v>7292</v>
      </c>
      <c r="BL311" t="s" s="0">
        <v>81</v>
      </c>
      <c r="BM311" t="s" s="0">
        <v>81</v>
      </c>
      <c r="BN311" t="s" s="0">
        <v>222</v>
      </c>
      <c r="BO311" t="s" s="0">
        <v>2082</v>
      </c>
      <c r="BP311" t="s" s="0">
        <v>1003</v>
      </c>
      <c r="BQ311" t="s" s="0">
        <v>7293</v>
      </c>
      <c r="BR311" t="s" s="0">
        <v>81</v>
      </c>
      <c r="BS311" t="s" s="0">
        <v>7294</v>
      </c>
      <c r="BT311" t="s" s="617">
        <f>HYPERLINK("https://www.webofscience.com/wos/woscc/full-record/WOS:001794481200001","View Record in Web of Science")</f>
        <v>114</v>
      </c>
      <c r="BU311" t="s" s="0">
        <v>81</v>
      </c>
      <c r="BV311" t="s" s="0">
        <v>81</v>
      </c>
      <c r="BW311" t="s" s="0">
        <v>81</v>
      </c>
      <c r="BX311" t="s" s="0">
        <v>116</v>
      </c>
    </row>
    <row r="312">
      <c r="A312" t="s" s="0">
        <v>77</v>
      </c>
      <c r="B312" t="s" s="0">
        <v>77</v>
      </c>
      <c r="C312" t="s" s="0">
        <v>133</v>
      </c>
      <c r="D312" t="s" s="0">
        <v>97</v>
      </c>
      <c r="E312" t="s" s="0">
        <v>7295</v>
      </c>
      <c r="F312" t="s" s="0">
        <v>7296</v>
      </c>
      <c r="G312" t="s" s="0">
        <v>7297</v>
      </c>
      <c r="H312" t="s" s="0">
        <v>81</v>
      </c>
      <c r="I312" t="s" s="0">
        <v>82</v>
      </c>
      <c r="J312" t="s" s="0">
        <v>7298</v>
      </c>
      <c r="K312" t="s" s="0">
        <v>7299</v>
      </c>
      <c r="L312" t="s" s="0">
        <v>81</v>
      </c>
      <c r="M312" t="s" s="0">
        <v>81</v>
      </c>
      <c r="N312" t="s" s="0">
        <v>81</v>
      </c>
      <c r="O312" t="s" s="0">
        <v>7300</v>
      </c>
      <c r="P312" t="s" s="0">
        <v>7301</v>
      </c>
      <c r="Q312" t="s" s="0">
        <v>87</v>
      </c>
      <c r="R312" t="s" s="0">
        <v>81</v>
      </c>
      <c r="S312" t="s" s="0">
        <v>81</v>
      </c>
      <c r="T312" t="s" s="0">
        <v>81</v>
      </c>
      <c r="U312" t="s" s="0">
        <v>81</v>
      </c>
      <c r="V312" t="s" s="0">
        <v>7302</v>
      </c>
      <c r="W312" t="s" s="0">
        <v>910</v>
      </c>
      <c r="X312" t="s" s="0">
        <v>81</v>
      </c>
      <c r="Y312" t="s" s="0">
        <v>81</v>
      </c>
      <c r="Z312" t="s" s="0">
        <v>90</v>
      </c>
      <c r="AA312" t="s" s="0">
        <v>91</v>
      </c>
      <c r="AB312" t="s" s="0">
        <v>81</v>
      </c>
      <c r="AC312" t="s" s="0">
        <v>81</v>
      </c>
      <c r="AD312" t="s" s="0">
        <v>81</v>
      </c>
      <c r="AE312" t="s" s="0">
        <v>81</v>
      </c>
      <c r="AF312" t="s" s="0">
        <v>81</v>
      </c>
      <c r="AG312" t="s" s="0">
        <v>7303</v>
      </c>
      <c r="AH312" t="s" s="0">
        <v>81</v>
      </c>
      <c r="AI312" t="s" s="0">
        <v>7304</v>
      </c>
      <c r="AJ312" t="s" s="0">
        <v>7305</v>
      </c>
      <c r="AK312" t="s" s="0">
        <v>81</v>
      </c>
      <c r="AL312" t="s" s="0">
        <v>1635</v>
      </c>
      <c r="AM312" t="s" s="0">
        <v>228</v>
      </c>
      <c r="AN312" t="s" s="0">
        <v>176</v>
      </c>
      <c r="AO312" t="s" s="0">
        <v>97</v>
      </c>
      <c r="AP312" t="s" s="0">
        <v>211</v>
      </c>
      <c r="AQ312" t="s" s="0">
        <v>915</v>
      </c>
      <c r="AR312" t="s" s="0">
        <v>916</v>
      </c>
      <c r="AS312" t="s" s="0">
        <v>917</v>
      </c>
      <c r="AT312" t="s" s="0">
        <v>918</v>
      </c>
      <c r="AU312" t="s" s="0">
        <v>81</v>
      </c>
      <c r="AV312" t="s" s="0">
        <v>81</v>
      </c>
      <c r="AW312" t="s" s="0">
        <v>919</v>
      </c>
      <c r="AX312" t="s" s="0">
        <v>920</v>
      </c>
      <c r="AY312" t="s" s="0">
        <v>7306</v>
      </c>
      <c r="AZ312" t="s" s="0">
        <v>185</v>
      </c>
      <c r="BA312" t="s" s="0">
        <v>104</v>
      </c>
      <c r="BB312" t="s" s="0">
        <v>97</v>
      </c>
      <c r="BC312" t="s" s="0">
        <v>81</v>
      </c>
      <c r="BD312" t="s" s="0">
        <v>81</v>
      </c>
      <c r="BE312" t="s" s="0">
        <v>81</v>
      </c>
      <c r="BF312" t="s" s="0">
        <v>81</v>
      </c>
      <c r="BG312" t="s" s="0">
        <v>81</v>
      </c>
      <c r="BH312" t="s" s="0">
        <v>81</v>
      </c>
      <c r="BI312" t="s" s="0">
        <v>7307</v>
      </c>
      <c r="BJ312" t="s" s="0">
        <v>7308</v>
      </c>
      <c r="BK312" t="s" s="618">
        <f>HYPERLINK("http://dx.doi.org/10.1038/s41598-024-66481-4","http://dx.doi.org/10.1038/s41598-024-66481-4")</f>
        <v>7309</v>
      </c>
      <c r="BL312" t="s" s="0">
        <v>81</v>
      </c>
      <c r="BM312" t="s" s="0">
        <v>81</v>
      </c>
      <c r="BN312" t="s" s="0">
        <v>291</v>
      </c>
      <c r="BO312" t="s" s="0">
        <v>926</v>
      </c>
      <c r="BP312" t="s" s="0">
        <v>927</v>
      </c>
      <c r="BQ312" t="s" s="0">
        <v>7310</v>
      </c>
      <c r="BR312" t="s" s="0">
        <v>7311</v>
      </c>
      <c r="BS312" t="s" s="0">
        <v>7312</v>
      </c>
      <c r="BT312" t="s" s="619">
        <f>HYPERLINK("https://www.webofscience.com/wos/woscc/full-record/WOS:001271178000086","View Record in Web of Science")</f>
        <v>114</v>
      </c>
      <c r="BU312" t="s" s="0">
        <v>301</v>
      </c>
      <c r="BV312" t="s" s="0">
        <v>81</v>
      </c>
      <c r="BW312" t="s" s="0">
        <v>81</v>
      </c>
      <c r="BX312" t="s" s="0">
        <v>116</v>
      </c>
    </row>
    <row r="313">
      <c r="A313" t="s" s="0">
        <v>77</v>
      </c>
      <c r="B313" t="s" s="0">
        <v>77</v>
      </c>
      <c r="C313" t="s" s="0">
        <v>77</v>
      </c>
      <c r="D313" t="s" s="0">
        <v>77</v>
      </c>
      <c r="E313" t="s" s="0">
        <v>7313</v>
      </c>
      <c r="F313" t="s" s="0">
        <v>7314</v>
      </c>
      <c r="G313" t="s" s="0">
        <v>7315</v>
      </c>
      <c r="H313" t="s" s="0">
        <v>81</v>
      </c>
      <c r="I313" t="s" s="0">
        <v>82</v>
      </c>
      <c r="J313" t="s" s="0">
        <v>7316</v>
      </c>
      <c r="K313" t="s" s="0">
        <v>7317</v>
      </c>
      <c r="L313" t="s" s="0">
        <v>81</v>
      </c>
      <c r="M313" t="s" s="0">
        <v>81</v>
      </c>
      <c r="N313" t="s" s="0">
        <v>81</v>
      </c>
      <c r="O313" t="s" s="0">
        <v>7318</v>
      </c>
      <c r="P313" t="s" s="0">
        <v>7319</v>
      </c>
      <c r="Q313" t="s" s="0">
        <v>87</v>
      </c>
      <c r="R313" t="s" s="0">
        <v>81</v>
      </c>
      <c r="S313" t="s" s="0">
        <v>81</v>
      </c>
      <c r="T313" t="s" s="0">
        <v>81</v>
      </c>
      <c r="U313" t="s" s="0">
        <v>81</v>
      </c>
      <c r="V313" t="s" s="0">
        <v>7320</v>
      </c>
      <c r="W313" t="s" s="0">
        <v>2070</v>
      </c>
      <c r="X313" t="s" s="0">
        <v>81</v>
      </c>
      <c r="Y313" t="s" s="0">
        <v>81</v>
      </c>
      <c r="Z313" t="s" s="0">
        <v>90</v>
      </c>
      <c r="AA313" t="s" s="0">
        <v>91</v>
      </c>
      <c r="AB313" t="s" s="0">
        <v>81</v>
      </c>
      <c r="AC313" t="s" s="0">
        <v>81</v>
      </c>
      <c r="AD313" t="s" s="0">
        <v>81</v>
      </c>
      <c r="AE313" t="s" s="0">
        <v>81</v>
      </c>
      <c r="AF313" t="s" s="0">
        <v>81</v>
      </c>
      <c r="AG313" t="s" s="0">
        <v>7321</v>
      </c>
      <c r="AH313" t="s" s="0">
        <v>81</v>
      </c>
      <c r="AI313" t="s" s="0">
        <v>7322</v>
      </c>
      <c r="AJ313" t="s" s="0">
        <v>81</v>
      </c>
      <c r="AK313" t="s" s="0">
        <v>81</v>
      </c>
      <c r="AL313" t="s" s="0">
        <v>1511</v>
      </c>
      <c r="AM313" t="s" s="0">
        <v>77</v>
      </c>
      <c r="AN313" t="s" s="0">
        <v>77</v>
      </c>
      <c r="AO313" t="s" s="0">
        <v>97</v>
      </c>
      <c r="AP313" t="s" s="0">
        <v>97</v>
      </c>
      <c r="AQ313" t="s" s="0">
        <v>177</v>
      </c>
      <c r="AR313" t="s" s="0">
        <v>178</v>
      </c>
      <c r="AS313" t="s" s="0">
        <v>179</v>
      </c>
      <c r="AT313" t="s" s="0">
        <v>2073</v>
      </c>
      <c r="AU313" t="s" s="0">
        <v>2074</v>
      </c>
      <c r="AV313" t="s" s="0">
        <v>81</v>
      </c>
      <c r="AW313" t="s" s="0">
        <v>2075</v>
      </c>
      <c r="AX313" t="s" s="0">
        <v>2076</v>
      </c>
      <c r="AY313" t="s" s="0">
        <v>4798</v>
      </c>
      <c r="AZ313" t="s" s="0">
        <v>103</v>
      </c>
      <c r="BA313" t="s" s="0">
        <v>7095</v>
      </c>
      <c r="BB313" t="s" s="0">
        <v>81</v>
      </c>
      <c r="BC313" t="s" s="0">
        <v>81</v>
      </c>
      <c r="BD313" t="s" s="0">
        <v>145</v>
      </c>
      <c r="BE313" t="s" s="0">
        <v>81</v>
      </c>
      <c r="BF313" t="s" s="0">
        <v>81</v>
      </c>
      <c r="BG313" t="s" s="0">
        <v>81</v>
      </c>
      <c r="BH313" t="s" s="0">
        <v>81</v>
      </c>
      <c r="BI313" t="s" s="0">
        <v>7323</v>
      </c>
      <c r="BJ313" t="s" s="0">
        <v>7324</v>
      </c>
      <c r="BK313" t="s" s="620">
        <f>HYPERLINK("http://dx.doi.org/10.1016/j.bspc.2026.110173","http://dx.doi.org/10.1016/j.bspc.2026.110173")</f>
        <v>7325</v>
      </c>
      <c r="BL313" t="s" s="0">
        <v>81</v>
      </c>
      <c r="BM313" t="s" s="0">
        <v>81</v>
      </c>
      <c r="BN313" t="s" s="0">
        <v>228</v>
      </c>
      <c r="BO313" t="s" s="0">
        <v>2082</v>
      </c>
      <c r="BP313" t="s" s="0">
        <v>1003</v>
      </c>
      <c r="BQ313" t="s" s="0">
        <v>7326</v>
      </c>
      <c r="BR313" t="s" s="0">
        <v>81</v>
      </c>
      <c r="BS313" t="s" s="0">
        <v>7327</v>
      </c>
      <c r="BT313" t="s" s="621">
        <f>HYPERLINK("https://www.webofscience.com/wos/woscc/full-record/WOS:001733013600001","View Record in Web of Science")</f>
        <v>114</v>
      </c>
      <c r="BU313" t="s" s="0">
        <v>81</v>
      </c>
      <c r="BV313" t="s" s="0">
        <v>81</v>
      </c>
      <c r="BW313" t="s" s="0">
        <v>81</v>
      </c>
      <c r="BX313" t="s" s="0">
        <v>116</v>
      </c>
    </row>
    <row r="314">
      <c r="A314" t="s" s="0">
        <v>77</v>
      </c>
      <c r="B314" t="s" s="0">
        <v>77</v>
      </c>
      <c r="C314" t="s" s="0">
        <v>97</v>
      </c>
      <c r="D314" t="s" s="0">
        <v>77</v>
      </c>
      <c r="E314" t="s" s="0">
        <v>7328</v>
      </c>
      <c r="F314" t="s" s="0">
        <v>7329</v>
      </c>
      <c r="G314" t="s" s="0">
        <v>7330</v>
      </c>
      <c r="H314" t="s" s="0">
        <v>81</v>
      </c>
      <c r="I314" t="s" s="0">
        <v>82</v>
      </c>
      <c r="J314" t="s" s="0">
        <v>7331</v>
      </c>
      <c r="K314" t="s" s="0">
        <v>7332</v>
      </c>
      <c r="L314" t="s" s="0">
        <v>7333</v>
      </c>
      <c r="M314" t="s" s="0">
        <v>7334</v>
      </c>
      <c r="N314" t="s" s="0">
        <v>7335</v>
      </c>
      <c r="O314" t="s" s="0">
        <v>7336</v>
      </c>
      <c r="P314" t="s" s="0">
        <v>7337</v>
      </c>
      <c r="Q314" t="s" s="0">
        <v>87</v>
      </c>
      <c r="R314" t="s" s="0">
        <v>81</v>
      </c>
      <c r="S314" t="s" s="0">
        <v>81</v>
      </c>
      <c r="T314" t="s" s="0">
        <v>81</v>
      </c>
      <c r="U314" t="s" s="0">
        <v>81</v>
      </c>
      <c r="V314" t="s" s="0">
        <v>7338</v>
      </c>
      <c r="W314" t="s" s="0">
        <v>910</v>
      </c>
      <c r="X314" t="s" s="0">
        <v>81</v>
      </c>
      <c r="Y314" t="s" s="0">
        <v>81</v>
      </c>
      <c r="Z314" t="s" s="0">
        <v>90</v>
      </c>
      <c r="AA314" t="s" s="0">
        <v>91</v>
      </c>
      <c r="AB314" t="s" s="0">
        <v>81</v>
      </c>
      <c r="AC314" t="s" s="0">
        <v>81</v>
      </c>
      <c r="AD314" t="s" s="0">
        <v>81</v>
      </c>
      <c r="AE314" t="s" s="0">
        <v>81</v>
      </c>
      <c r="AF314" t="s" s="0">
        <v>81</v>
      </c>
      <c r="AG314" t="s" s="0">
        <v>7339</v>
      </c>
      <c r="AH314" t="s" s="0">
        <v>81</v>
      </c>
      <c r="AI314" t="s" s="0">
        <v>81</v>
      </c>
      <c r="AJ314" t="s" s="0">
        <v>81</v>
      </c>
      <c r="AK314" t="s" s="0">
        <v>81</v>
      </c>
      <c r="AL314" t="s" s="0">
        <v>344</v>
      </c>
      <c r="AM314" t="s" s="0">
        <v>196</v>
      </c>
      <c r="AN314" t="s" s="0">
        <v>196</v>
      </c>
      <c r="AO314" t="s" s="0">
        <v>156</v>
      </c>
      <c r="AP314" t="s" s="0">
        <v>175</v>
      </c>
      <c r="AQ314" t="s" s="0">
        <v>915</v>
      </c>
      <c r="AR314" t="s" s="0">
        <v>916</v>
      </c>
      <c r="AS314" t="s" s="0">
        <v>917</v>
      </c>
      <c r="AT314" t="s" s="0">
        <v>918</v>
      </c>
      <c r="AU314" t="s" s="0">
        <v>81</v>
      </c>
      <c r="AV314" t="s" s="0">
        <v>81</v>
      </c>
      <c r="AW314" t="s" s="0">
        <v>919</v>
      </c>
      <c r="AX314" t="s" s="0">
        <v>920</v>
      </c>
      <c r="AY314" t="s" s="0">
        <v>7340</v>
      </c>
      <c r="AZ314" t="s" s="0">
        <v>103</v>
      </c>
      <c r="BA314" t="s" s="0">
        <v>925</v>
      </c>
      <c r="BB314" t="s" s="0">
        <v>97</v>
      </c>
      <c r="BC314" t="s" s="0">
        <v>81</v>
      </c>
      <c r="BD314" t="s" s="0">
        <v>81</v>
      </c>
      <c r="BE314" t="s" s="0">
        <v>81</v>
      </c>
      <c r="BF314" t="s" s="0">
        <v>81</v>
      </c>
      <c r="BG314" t="s" s="0">
        <v>81</v>
      </c>
      <c r="BH314" t="s" s="0">
        <v>81</v>
      </c>
      <c r="BI314" t="s" s="0">
        <v>7341</v>
      </c>
      <c r="BJ314" t="s" s="0">
        <v>7342</v>
      </c>
      <c r="BK314" t="s" s="622">
        <f>HYPERLINK("http://dx.doi.org/10.1038/s41598-025-31874-6","http://dx.doi.org/10.1038/s41598-025-31874-6")</f>
        <v>7343</v>
      </c>
      <c r="BL314" t="s" s="0">
        <v>81</v>
      </c>
      <c r="BM314" t="s" s="0">
        <v>81</v>
      </c>
      <c r="BN314" t="s" s="0">
        <v>104</v>
      </c>
      <c r="BO314" t="s" s="0">
        <v>926</v>
      </c>
      <c r="BP314" t="s" s="0">
        <v>927</v>
      </c>
      <c r="BQ314" t="s" s="0">
        <v>7344</v>
      </c>
      <c r="BR314" t="s" s="0">
        <v>7345</v>
      </c>
      <c r="BS314" t="s" s="0">
        <v>7346</v>
      </c>
      <c r="BT314" t="s" s="623">
        <f>HYPERLINK("https://www.webofscience.com/wos/woscc/full-record/WOS:001665490800001","View Record in Web of Science")</f>
        <v>114</v>
      </c>
      <c r="BU314" t="s" s="0">
        <v>301</v>
      </c>
      <c r="BV314" t="s" s="0">
        <v>81</v>
      </c>
      <c r="BW314" t="s" s="0">
        <v>81</v>
      </c>
      <c r="BX314" t="s" s="0">
        <v>116</v>
      </c>
    </row>
    <row r="315">
      <c r="A315" t="s" s="0">
        <v>77</v>
      </c>
      <c r="B315" t="s" s="0">
        <v>77</v>
      </c>
      <c r="C315" t="s" s="0">
        <v>291</v>
      </c>
      <c r="D315" t="s" s="0">
        <v>77</v>
      </c>
      <c r="E315" t="s" s="0">
        <v>7347</v>
      </c>
      <c r="F315" t="s" s="0">
        <v>7348</v>
      </c>
      <c r="G315" t="s" s="0">
        <v>7349</v>
      </c>
      <c r="H315" t="s" s="0">
        <v>81</v>
      </c>
      <c r="I315" t="s" s="0">
        <v>82</v>
      </c>
      <c r="J315" t="s" s="0">
        <v>7350</v>
      </c>
      <c r="K315" t="s" s="0">
        <v>7351</v>
      </c>
      <c r="L315" t="s" s="0">
        <v>7352</v>
      </c>
      <c r="M315" t="s" s="0">
        <v>7353</v>
      </c>
      <c r="N315" t="s" s="0">
        <v>7354</v>
      </c>
      <c r="O315" t="s" s="0">
        <v>7355</v>
      </c>
      <c r="P315" t="s" s="0">
        <v>7356</v>
      </c>
      <c r="Q315" t="s" s="0">
        <v>87</v>
      </c>
      <c r="R315" t="s" s="0">
        <v>81</v>
      </c>
      <c r="S315" t="s" s="0">
        <v>81</v>
      </c>
      <c r="T315" t="s" s="0">
        <v>81</v>
      </c>
      <c r="U315" t="s" s="0">
        <v>81</v>
      </c>
      <c r="V315" t="s" s="0">
        <v>7357</v>
      </c>
      <c r="W315" t="s" s="0">
        <v>910</v>
      </c>
      <c r="X315" t="s" s="0">
        <v>81</v>
      </c>
      <c r="Y315" t="s" s="0">
        <v>81</v>
      </c>
      <c r="Z315" t="s" s="0">
        <v>90</v>
      </c>
      <c r="AA315" t="s" s="0">
        <v>91</v>
      </c>
      <c r="AB315" t="s" s="0">
        <v>81</v>
      </c>
      <c r="AC315" t="s" s="0">
        <v>81</v>
      </c>
      <c r="AD315" t="s" s="0">
        <v>81</v>
      </c>
      <c r="AE315" t="s" s="0">
        <v>81</v>
      </c>
      <c r="AF315" t="s" s="0">
        <v>81</v>
      </c>
      <c r="AG315" t="s" s="0">
        <v>7358</v>
      </c>
      <c r="AH315" t="s" s="0">
        <v>7359</v>
      </c>
      <c r="AI315" t="s" s="0">
        <v>7360</v>
      </c>
      <c r="AJ315" t="s" s="0">
        <v>7361</v>
      </c>
      <c r="AK315" t="s" s="0">
        <v>81</v>
      </c>
      <c r="AL315" t="s" s="0">
        <v>1049</v>
      </c>
      <c r="AM315" t="s" s="0">
        <v>1049</v>
      </c>
      <c r="AN315" t="s" s="0">
        <v>544</v>
      </c>
      <c r="AO315" t="s" s="0">
        <v>196</v>
      </c>
      <c r="AP315" t="s" s="0">
        <v>485</v>
      </c>
      <c r="AQ315" t="s" s="0">
        <v>915</v>
      </c>
      <c r="AR315" t="s" s="0">
        <v>916</v>
      </c>
      <c r="AS315" t="s" s="0">
        <v>917</v>
      </c>
      <c r="AT315" t="s" s="0">
        <v>918</v>
      </c>
      <c r="AU315" t="s" s="0">
        <v>81</v>
      </c>
      <c r="AV315" t="s" s="0">
        <v>81</v>
      </c>
      <c r="AW315" t="s" s="0">
        <v>919</v>
      </c>
      <c r="AX315" t="s" s="0">
        <v>920</v>
      </c>
      <c r="AY315" t="s" s="0">
        <v>5781</v>
      </c>
      <c r="AZ315" t="s" s="0">
        <v>185</v>
      </c>
      <c r="BA315" t="s" s="0">
        <v>104</v>
      </c>
      <c r="BB315" t="s" s="0">
        <v>97</v>
      </c>
      <c r="BC315" t="s" s="0">
        <v>81</v>
      </c>
      <c r="BD315" t="s" s="0">
        <v>81</v>
      </c>
      <c r="BE315" t="s" s="0">
        <v>81</v>
      </c>
      <c r="BF315" t="s" s="0">
        <v>81</v>
      </c>
      <c r="BG315" t="s" s="0">
        <v>81</v>
      </c>
      <c r="BH315" t="s" s="0">
        <v>81</v>
      </c>
      <c r="BI315" t="s" s="0">
        <v>7362</v>
      </c>
      <c r="BJ315" t="s" s="0">
        <v>7363</v>
      </c>
      <c r="BK315" t="s" s="624">
        <f>HYPERLINK("http://dx.doi.org/10.1038/s41598-024-71893-3","http://dx.doi.org/10.1038/s41598-024-71893-3")</f>
        <v>7364</v>
      </c>
      <c r="BL315" t="s" s="0">
        <v>81</v>
      </c>
      <c r="BM315" t="s" s="0">
        <v>81</v>
      </c>
      <c r="BN315" t="s" s="0">
        <v>925</v>
      </c>
      <c r="BO315" t="s" s="0">
        <v>926</v>
      </c>
      <c r="BP315" t="s" s="0">
        <v>927</v>
      </c>
      <c r="BQ315" t="s" s="0">
        <v>7365</v>
      </c>
      <c r="BR315" t="s" s="0">
        <v>7366</v>
      </c>
      <c r="BS315" t="s" s="0">
        <v>7367</v>
      </c>
      <c r="BT315" t="s" s="625">
        <f>HYPERLINK("https://www.webofscience.com/wos/woscc/full-record/WOS:001328801300019","View Record in Web of Science")</f>
        <v>114</v>
      </c>
      <c r="BU315" t="s" s="0">
        <v>301</v>
      </c>
      <c r="BV315" t="s" s="0">
        <v>81</v>
      </c>
      <c r="BW315" t="s" s="0">
        <v>81</v>
      </c>
      <c r="BX315" t="s" s="0">
        <v>116</v>
      </c>
    </row>
    <row r="316">
      <c r="A316" t="s" s="0">
        <v>77</v>
      </c>
      <c r="B316" t="s" s="0">
        <v>77</v>
      </c>
      <c r="C316" t="s" s="0">
        <v>77</v>
      </c>
      <c r="D316" t="s" s="0">
        <v>77</v>
      </c>
      <c r="E316" t="s" s="0">
        <v>7368</v>
      </c>
      <c r="F316" t="s" s="0">
        <v>7369</v>
      </c>
      <c r="G316" t="s" s="0">
        <v>7370</v>
      </c>
      <c r="H316" t="s" s="0">
        <v>81</v>
      </c>
      <c r="I316" t="s" s="0">
        <v>82</v>
      </c>
      <c r="J316" t="s" s="0">
        <v>7371</v>
      </c>
      <c r="K316" t="s" s="0">
        <v>7372</v>
      </c>
      <c r="L316" t="s" s="0">
        <v>7373</v>
      </c>
      <c r="M316" t="s" s="0">
        <v>1221</v>
      </c>
      <c r="N316" t="s" s="0">
        <v>7374</v>
      </c>
      <c r="O316" t="s" s="0">
        <v>7375</v>
      </c>
      <c r="P316" t="s" s="0">
        <v>7376</v>
      </c>
      <c r="Q316" t="s" s="0">
        <v>87</v>
      </c>
      <c r="R316" t="s" s="0">
        <v>81</v>
      </c>
      <c r="S316" t="s" s="0">
        <v>81</v>
      </c>
      <c r="T316" t="s" s="0">
        <v>81</v>
      </c>
      <c r="U316" t="s" s="0">
        <v>81</v>
      </c>
      <c r="V316" t="s" s="0">
        <v>7377</v>
      </c>
      <c r="W316" t="s" s="0">
        <v>7378</v>
      </c>
      <c r="X316" t="s" s="0">
        <v>81</v>
      </c>
      <c r="Y316" t="s" s="0">
        <v>81</v>
      </c>
      <c r="Z316" t="s" s="0">
        <v>90</v>
      </c>
      <c r="AA316" t="s" s="0">
        <v>91</v>
      </c>
      <c r="AB316" t="s" s="0">
        <v>81</v>
      </c>
      <c r="AC316" t="s" s="0">
        <v>81</v>
      </c>
      <c r="AD316" t="s" s="0">
        <v>81</v>
      </c>
      <c r="AE316" t="s" s="0">
        <v>81</v>
      </c>
      <c r="AF316" t="s" s="0">
        <v>81</v>
      </c>
      <c r="AG316" t="s" s="0">
        <v>7379</v>
      </c>
      <c r="AH316" t="s" s="0">
        <v>7380</v>
      </c>
      <c r="AI316" t="s" s="0">
        <v>81</v>
      </c>
      <c r="AJ316" t="s" s="0">
        <v>81</v>
      </c>
      <c r="AK316" t="s" s="0">
        <v>81</v>
      </c>
      <c r="AL316" t="s" s="0">
        <v>1442</v>
      </c>
      <c r="AM316" t="s" s="0">
        <v>77</v>
      </c>
      <c r="AN316" t="s" s="0">
        <v>77</v>
      </c>
      <c r="AO316" t="s" s="0">
        <v>156</v>
      </c>
      <c r="AP316" t="s" s="0">
        <v>156</v>
      </c>
      <c r="AQ316" t="s" s="0">
        <v>98</v>
      </c>
      <c r="AR316" t="s" s="0">
        <v>99</v>
      </c>
      <c r="AS316" t="s" s="0">
        <v>100</v>
      </c>
      <c r="AT316" t="s" s="0">
        <v>7381</v>
      </c>
      <c r="AU316" t="s" s="0">
        <v>7382</v>
      </c>
      <c r="AV316" t="s" s="0">
        <v>81</v>
      </c>
      <c r="AW316" t="s" s="0">
        <v>7383</v>
      </c>
      <c r="AX316" t="s" s="0">
        <v>7384</v>
      </c>
      <c r="AY316" t="s" s="0">
        <v>2108</v>
      </c>
      <c r="AZ316" t="s" s="0">
        <v>103</v>
      </c>
      <c r="BA316" t="s" s="0">
        <v>1635</v>
      </c>
      <c r="BB316" t="s" s="0">
        <v>156</v>
      </c>
      <c r="BC316" t="s" s="0">
        <v>81</v>
      </c>
      <c r="BD316" t="s" s="0">
        <v>81</v>
      </c>
      <c r="BE316" t="s" s="0">
        <v>81</v>
      </c>
      <c r="BF316" t="s" s="0">
        <v>81</v>
      </c>
      <c r="BG316" t="s" s="0">
        <v>7385</v>
      </c>
      <c r="BH316" t="s" s="0">
        <v>7386</v>
      </c>
      <c r="BI316" t="s" s="0">
        <v>81</v>
      </c>
      <c r="BJ316" t="s" s="0">
        <v>7387</v>
      </c>
      <c r="BK316" t="s" s="626">
        <f>HYPERLINK("http://dx.doi.org/10.1109/TCSVT.2025.3603409","http://dx.doi.org/10.1109/TCSVT.2025.3603409")</f>
        <v>7388</v>
      </c>
      <c r="BL316" t="s" s="0">
        <v>81</v>
      </c>
      <c r="BM316" t="s" s="0">
        <v>81</v>
      </c>
      <c r="BN316" t="s" s="0">
        <v>104</v>
      </c>
      <c r="BO316" t="s" s="0">
        <v>2191</v>
      </c>
      <c r="BP316" t="s" s="0">
        <v>1003</v>
      </c>
      <c r="BQ316" t="s" s="0">
        <v>7389</v>
      </c>
      <c r="BR316" t="s" s="0">
        <v>81</v>
      </c>
      <c r="BS316" t="s" s="0">
        <v>7390</v>
      </c>
      <c r="BT316" t="s" s="627">
        <f>HYPERLINK("https://www.webofscience.com/wos/woscc/full-record/WOS:001687411500038","View Record in Web of Science")</f>
        <v>114</v>
      </c>
      <c r="BU316" t="s" s="0">
        <v>81</v>
      </c>
      <c r="BV316" t="s" s="0">
        <v>81</v>
      </c>
      <c r="BW316" t="s" s="0">
        <v>81</v>
      </c>
      <c r="BX316" t="s" s="0">
        <v>116</v>
      </c>
    </row>
    <row r="317">
      <c r="A317" t="s" s="0">
        <v>77</v>
      </c>
      <c r="B317" t="s" s="0">
        <v>77</v>
      </c>
      <c r="C317" t="s" s="0">
        <v>77</v>
      </c>
      <c r="D317" t="s" s="0">
        <v>77</v>
      </c>
      <c r="E317" t="s" s="0">
        <v>7391</v>
      </c>
      <c r="F317" t="s" s="0">
        <v>7392</v>
      </c>
      <c r="G317" t="s" s="0">
        <v>7393</v>
      </c>
      <c r="H317" t="s" s="0">
        <v>81</v>
      </c>
      <c r="I317" t="s" s="0">
        <v>82</v>
      </c>
      <c r="J317" t="s" s="0">
        <v>7394</v>
      </c>
      <c r="K317" t="s" s="0">
        <v>7395</v>
      </c>
      <c r="L317" t="s" s="0">
        <v>81</v>
      </c>
      <c r="M317" t="s" s="0">
        <v>81</v>
      </c>
      <c r="N317" t="s" s="0">
        <v>81</v>
      </c>
      <c r="O317" t="s" s="0">
        <v>7396</v>
      </c>
      <c r="P317" t="s" s="0">
        <v>7397</v>
      </c>
      <c r="Q317" t="s" s="0">
        <v>87</v>
      </c>
      <c r="R317" t="s" s="0">
        <v>81</v>
      </c>
      <c r="S317" t="s" s="0">
        <v>81</v>
      </c>
      <c r="T317" t="s" s="0">
        <v>81</v>
      </c>
      <c r="U317" t="s" s="0">
        <v>81</v>
      </c>
      <c r="V317" t="s" s="0">
        <v>7398</v>
      </c>
      <c r="W317" t="s" s="0">
        <v>7399</v>
      </c>
      <c r="X317" t="s" s="0">
        <v>81</v>
      </c>
      <c r="Y317" t="s" s="0">
        <v>81</v>
      </c>
      <c r="Z317" t="s" s="0">
        <v>90</v>
      </c>
      <c r="AA317" t="s" s="0">
        <v>91</v>
      </c>
      <c r="AB317" t="s" s="0">
        <v>81</v>
      </c>
      <c r="AC317" t="s" s="0">
        <v>81</v>
      </c>
      <c r="AD317" t="s" s="0">
        <v>81</v>
      </c>
      <c r="AE317" t="s" s="0">
        <v>81</v>
      </c>
      <c r="AF317" t="s" s="0">
        <v>81</v>
      </c>
      <c r="AG317" t="s" s="0">
        <v>7400</v>
      </c>
      <c r="AH317" t="s" s="0">
        <v>81</v>
      </c>
      <c r="AI317" t="s" s="0">
        <v>81</v>
      </c>
      <c r="AJ317" t="s" s="0">
        <v>81</v>
      </c>
      <c r="AK317" t="s" s="0">
        <v>81</v>
      </c>
      <c r="AL317" t="s" s="0">
        <v>295</v>
      </c>
      <c r="AM317" t="s" s="0">
        <v>97</v>
      </c>
      <c r="AN317" t="s" s="0">
        <v>97</v>
      </c>
      <c r="AO317" t="s" s="0">
        <v>196</v>
      </c>
      <c r="AP317" t="s" s="0">
        <v>175</v>
      </c>
      <c r="AQ317" t="s" s="0">
        <v>7401</v>
      </c>
      <c r="AR317" t="s" s="0">
        <v>7402</v>
      </c>
      <c r="AS317" t="s" s="0">
        <v>7403</v>
      </c>
      <c r="AT317" t="s" s="0">
        <v>7404</v>
      </c>
      <c r="AU317" t="s" s="0">
        <v>81</v>
      </c>
      <c r="AV317" t="s" s="0">
        <v>81</v>
      </c>
      <c r="AW317" t="s" s="0">
        <v>7405</v>
      </c>
      <c r="AX317" t="s" s="0">
        <v>7406</v>
      </c>
      <c r="AY317" t="s" s="0">
        <v>290</v>
      </c>
      <c r="AZ317" t="s" s="0">
        <v>290</v>
      </c>
      <c r="BA317" t="s" s="0">
        <v>398</v>
      </c>
      <c r="BB317" t="s" s="0">
        <v>156</v>
      </c>
      <c r="BC317" t="s" s="0">
        <v>81</v>
      </c>
      <c r="BD317" t="s" s="0">
        <v>81</v>
      </c>
      <c r="BE317" t="s" s="0">
        <v>81</v>
      </c>
      <c r="BF317" t="s" s="0">
        <v>81</v>
      </c>
      <c r="BG317" t="s" s="0">
        <v>7407</v>
      </c>
      <c r="BH317" t="s" s="0">
        <v>7408</v>
      </c>
      <c r="BI317" t="s" s="0">
        <v>81</v>
      </c>
      <c r="BJ317" t="s" s="0">
        <v>7409</v>
      </c>
      <c r="BK317" t="s" s="628">
        <f>HYPERLINK("http://dx.doi.org/10.5755/j01.itc.54.2.39443","http://dx.doi.org/10.5755/j01.itc.54.2.39443")</f>
        <v>7410</v>
      </c>
      <c r="BL317" t="s" s="0">
        <v>81</v>
      </c>
      <c r="BM317" t="s" s="0">
        <v>81</v>
      </c>
      <c r="BN317" t="s" s="0">
        <v>925</v>
      </c>
      <c r="BO317" t="s" s="0">
        <v>7411</v>
      </c>
      <c r="BP317" t="s" s="0">
        <v>7412</v>
      </c>
      <c r="BQ317" t="s" s="0">
        <v>7413</v>
      </c>
      <c r="BR317" t="s" s="0">
        <v>81</v>
      </c>
      <c r="BS317" t="s" s="0">
        <v>7414</v>
      </c>
      <c r="BT317" t="s" s="629">
        <f>HYPERLINK("https://www.webofscience.com/wos/woscc/full-record/WOS:001615962900001","View Record in Web of Science")</f>
        <v>114</v>
      </c>
      <c r="BU317" t="s" s="0">
        <v>115</v>
      </c>
      <c r="BV317" t="s" s="0">
        <v>81</v>
      </c>
      <c r="BW317" t="s" s="0">
        <v>81</v>
      </c>
      <c r="BX317" t="s" s="0">
        <v>116</v>
      </c>
    </row>
    <row r="318">
      <c r="A318" t="s" s="0">
        <v>77</v>
      </c>
      <c r="B318" t="s" s="0">
        <v>77</v>
      </c>
      <c r="C318" t="s" s="0">
        <v>77</v>
      </c>
      <c r="D318" t="s" s="0">
        <v>77</v>
      </c>
      <c r="E318" t="s" s="0">
        <v>7415</v>
      </c>
      <c r="F318" t="s" s="0">
        <v>7416</v>
      </c>
      <c r="G318" t="s" s="0">
        <v>7417</v>
      </c>
      <c r="H318" t="s" s="0">
        <v>81</v>
      </c>
      <c r="I318" t="s" s="0">
        <v>238</v>
      </c>
      <c r="J318" t="s" s="0">
        <v>7418</v>
      </c>
      <c r="K318" t="s" s="0">
        <v>7419</v>
      </c>
      <c r="L318" t="s" s="0">
        <v>7420</v>
      </c>
      <c r="M318" t="s" s="0">
        <v>7421</v>
      </c>
      <c r="N318" t="s" s="0">
        <v>7422</v>
      </c>
      <c r="O318" t="s" s="0">
        <v>7423</v>
      </c>
      <c r="P318" t="s" s="0">
        <v>7424</v>
      </c>
      <c r="Q318" t="s" s="0">
        <v>87</v>
      </c>
      <c r="R318" t="s" s="0">
        <v>81</v>
      </c>
      <c r="S318" t="s" s="0">
        <v>81</v>
      </c>
      <c r="T318" t="s" s="0">
        <v>81</v>
      </c>
      <c r="U318" t="s" s="0">
        <v>81</v>
      </c>
      <c r="V318" t="s" s="0">
        <v>7425</v>
      </c>
      <c r="W318" t="s" s="0">
        <v>7426</v>
      </c>
      <c r="X318" t="s" s="0">
        <v>81</v>
      </c>
      <c r="Y318" t="s" s="0">
        <v>81</v>
      </c>
      <c r="Z318" t="s" s="0">
        <v>90</v>
      </c>
      <c r="AA318" t="s" s="0">
        <v>91</v>
      </c>
      <c r="AB318" t="s" s="0">
        <v>81</v>
      </c>
      <c r="AC318" t="s" s="0">
        <v>81</v>
      </c>
      <c r="AD318" t="s" s="0">
        <v>81</v>
      </c>
      <c r="AE318" t="s" s="0">
        <v>81</v>
      </c>
      <c r="AF318" t="s" s="0">
        <v>81</v>
      </c>
      <c r="AG318" t="s" s="0">
        <v>81</v>
      </c>
      <c r="AH318" t="s" s="0">
        <v>7427</v>
      </c>
      <c r="AI318" t="s" s="0">
        <v>81</v>
      </c>
      <c r="AJ318" t="s" s="0">
        <v>81</v>
      </c>
      <c r="AK318" t="s" s="0">
        <v>81</v>
      </c>
      <c r="AL318" t="s" s="0">
        <v>398</v>
      </c>
      <c r="AM318" t="s" s="0">
        <v>196</v>
      </c>
      <c r="AN318" t="s" s="0">
        <v>175</v>
      </c>
      <c r="AO318" t="s" s="0">
        <v>97</v>
      </c>
      <c r="AP318" t="s" s="0">
        <v>97</v>
      </c>
      <c r="AQ318" t="s" s="0">
        <v>3061</v>
      </c>
      <c r="AR318" t="s" s="0">
        <v>3062</v>
      </c>
      <c r="AS318" t="s" s="0">
        <v>3063</v>
      </c>
      <c r="AT318" t="s" s="0">
        <v>7428</v>
      </c>
      <c r="AU318" t="s" s="0">
        <v>81</v>
      </c>
      <c r="AV318" t="s" s="0">
        <v>81</v>
      </c>
      <c r="AW318" t="s" s="0">
        <v>7426</v>
      </c>
      <c r="AX318" t="s" s="0">
        <v>7429</v>
      </c>
      <c r="AY318" t="s" s="0">
        <v>103</v>
      </c>
      <c r="AZ318" t="s" s="0">
        <v>103</v>
      </c>
      <c r="BA318" t="s" s="0">
        <v>134</v>
      </c>
      <c r="BB318" t="s" s="0">
        <v>81</v>
      </c>
      <c r="BC318" t="s" s="0">
        <v>81</v>
      </c>
      <c r="BD318" t="s" s="0">
        <v>81</v>
      </c>
      <c r="BE318" t="s" s="0">
        <v>81</v>
      </c>
      <c r="BF318" t="s" s="0">
        <v>81</v>
      </c>
      <c r="BG318" t="s" s="0">
        <v>81</v>
      </c>
      <c r="BH318" t="s" s="0">
        <v>81</v>
      </c>
      <c r="BI318" t="s" s="0">
        <v>7430</v>
      </c>
      <c r="BJ318" t="s" s="0">
        <v>7431</v>
      </c>
      <c r="BK318" t="s" s="630">
        <f>HYPERLINK("http://dx.doi.org/10.2196/74196","http://dx.doi.org/10.2196/74196")</f>
        <v>7432</v>
      </c>
      <c r="BL318" t="s" s="0">
        <v>81</v>
      </c>
      <c r="BM318" t="s" s="0">
        <v>81</v>
      </c>
      <c r="BN318" t="s" s="0">
        <v>295</v>
      </c>
      <c r="BO318" t="s" s="0">
        <v>1380</v>
      </c>
      <c r="BP318" t="s" s="0">
        <v>1380</v>
      </c>
      <c r="BQ318" t="s" s="0">
        <v>7433</v>
      </c>
      <c r="BR318" t="s" s="0">
        <v>7434</v>
      </c>
      <c r="BS318" t="s" s="0">
        <v>7435</v>
      </c>
      <c r="BT318" t="s" s="631">
        <f>HYPERLINK("https://www.webofscience.com/wos/woscc/full-record/WOS:001695184700002","View Record in Web of Science")</f>
        <v>114</v>
      </c>
      <c r="BU318" t="s" s="0">
        <v>301</v>
      </c>
      <c r="BV318" t="s" s="0">
        <v>81</v>
      </c>
      <c r="BW318" t="s" s="0">
        <v>81</v>
      </c>
      <c r="BX318" t="s" s="0">
        <v>116</v>
      </c>
    </row>
    <row r="319">
      <c r="A319" t="s" s="0">
        <v>77</v>
      </c>
      <c r="B319" t="s" s="0">
        <v>77</v>
      </c>
      <c r="C319" t="s" s="0">
        <v>77</v>
      </c>
      <c r="D319" t="s" s="0">
        <v>77</v>
      </c>
      <c r="E319" t="s" s="0">
        <v>7436</v>
      </c>
      <c r="F319" t="s" s="0">
        <v>7437</v>
      </c>
      <c r="G319" t="s" s="0">
        <v>7438</v>
      </c>
      <c r="H319" t="s" s="0">
        <v>81</v>
      </c>
      <c r="I319" t="s" s="0">
        <v>82</v>
      </c>
      <c r="J319" t="s" s="0">
        <v>7439</v>
      </c>
      <c r="K319" t="s" s="0">
        <v>7440</v>
      </c>
      <c r="L319" t="s" s="0">
        <v>81</v>
      </c>
      <c r="M319" t="s" s="0">
        <v>81</v>
      </c>
      <c r="N319" t="s" s="0">
        <v>81</v>
      </c>
      <c r="O319" t="s" s="0">
        <v>7441</v>
      </c>
      <c r="P319" t="s" s="0">
        <v>7442</v>
      </c>
      <c r="Q319" t="s" s="0">
        <v>87</v>
      </c>
      <c r="R319" t="s" s="0">
        <v>81</v>
      </c>
      <c r="S319" t="s" s="0">
        <v>81</v>
      </c>
      <c r="T319" t="s" s="0">
        <v>81</v>
      </c>
      <c r="U319" t="s" s="0">
        <v>81</v>
      </c>
      <c r="V319" t="s" s="0">
        <v>7443</v>
      </c>
      <c r="W319" t="s" s="0">
        <v>279</v>
      </c>
      <c r="X319" t="s" s="0">
        <v>81</v>
      </c>
      <c r="Y319" t="s" s="0">
        <v>81</v>
      </c>
      <c r="Z319" t="s" s="0">
        <v>90</v>
      </c>
      <c r="AA319" t="s" s="0">
        <v>91</v>
      </c>
      <c r="AB319" t="s" s="0">
        <v>81</v>
      </c>
      <c r="AC319" t="s" s="0">
        <v>81</v>
      </c>
      <c r="AD319" t="s" s="0">
        <v>81</v>
      </c>
      <c r="AE319" t="s" s="0">
        <v>81</v>
      </c>
      <c r="AF319" t="s" s="0">
        <v>81</v>
      </c>
      <c r="AG319" t="s" s="0">
        <v>7444</v>
      </c>
      <c r="AH319" t="s" s="0">
        <v>81</v>
      </c>
      <c r="AI319" t="s" s="0">
        <v>7445</v>
      </c>
      <c r="AJ319" t="s" s="0">
        <v>81</v>
      </c>
      <c r="AK319" t="s" s="0">
        <v>81</v>
      </c>
      <c r="AL319" t="s" s="0">
        <v>398</v>
      </c>
      <c r="AM319" t="s" s="0">
        <v>77</v>
      </c>
      <c r="AN319" t="s" s="0">
        <v>77</v>
      </c>
      <c r="AO319" t="s" s="0">
        <v>156</v>
      </c>
      <c r="AP319" t="s" s="0">
        <v>156</v>
      </c>
      <c r="AQ319" t="s" s="0">
        <v>284</v>
      </c>
      <c r="AR319" t="s" s="0">
        <v>285</v>
      </c>
      <c r="AS319" t="s" s="0">
        <v>286</v>
      </c>
      <c r="AT319" t="s" s="0">
        <v>81</v>
      </c>
      <c r="AU319" t="s" s="0">
        <v>287</v>
      </c>
      <c r="AV319" t="s" s="0">
        <v>81</v>
      </c>
      <c r="AW319" t="s" s="0">
        <v>279</v>
      </c>
      <c r="AX319" t="s" s="0">
        <v>288</v>
      </c>
      <c r="AY319" t="s" s="0">
        <v>2215</v>
      </c>
      <c r="AZ319" t="s" s="0">
        <v>103</v>
      </c>
      <c r="BA319" t="s" s="0">
        <v>925</v>
      </c>
      <c r="BB319" t="s" s="0">
        <v>316</v>
      </c>
      <c r="BC319" t="s" s="0">
        <v>81</v>
      </c>
      <c r="BD319" t="s" s="0">
        <v>81</v>
      </c>
      <c r="BE319" t="s" s="0">
        <v>81</v>
      </c>
      <c r="BF319" t="s" s="0">
        <v>81</v>
      </c>
      <c r="BG319" t="s" s="0">
        <v>81</v>
      </c>
      <c r="BH319" t="s" s="0">
        <v>81</v>
      </c>
      <c r="BI319" t="s" s="0">
        <v>7446</v>
      </c>
      <c r="BJ319" t="s" s="0">
        <v>7447</v>
      </c>
      <c r="BK319" t="s" s="632">
        <f>HYPERLINK("http://dx.doi.org/10.3390/diagnostics16060866","http://dx.doi.org/10.3390/diagnostics16060866")</f>
        <v>7448</v>
      </c>
      <c r="BL319" t="s" s="0">
        <v>81</v>
      </c>
      <c r="BM319" t="s" s="0">
        <v>81</v>
      </c>
      <c r="BN319" t="s" s="0">
        <v>135</v>
      </c>
      <c r="BO319" t="s" s="0">
        <v>296</v>
      </c>
      <c r="BP319" t="s" s="0">
        <v>297</v>
      </c>
      <c r="BQ319" t="s" s="0">
        <v>7449</v>
      </c>
      <c r="BR319" t="s" s="0">
        <v>7450</v>
      </c>
      <c r="BS319" t="s" s="0">
        <v>7451</v>
      </c>
      <c r="BT319" t="s" s="633">
        <f>HYPERLINK("https://www.webofscience.com/wos/woscc/full-record/WOS:001726311000001","View Record in Web of Science")</f>
        <v>114</v>
      </c>
      <c r="BU319" t="s" s="0">
        <v>301</v>
      </c>
      <c r="BV319" t="s" s="0">
        <v>81</v>
      </c>
      <c r="BW319" t="s" s="0">
        <v>81</v>
      </c>
      <c r="BX319" t="s" s="0">
        <v>116</v>
      </c>
    </row>
    <row r="320">
      <c r="A320" t="s" s="0">
        <v>77</v>
      </c>
      <c r="B320" t="s" s="0">
        <v>77</v>
      </c>
      <c r="C320" t="s" s="0">
        <v>77</v>
      </c>
      <c r="D320" t="s" s="0">
        <v>77</v>
      </c>
      <c r="E320" t="s" s="0">
        <v>7452</v>
      </c>
      <c r="F320" t="s" s="0">
        <v>7453</v>
      </c>
      <c r="G320" t="s" s="0">
        <v>7454</v>
      </c>
      <c r="H320" t="s" s="0">
        <v>81</v>
      </c>
      <c r="I320" t="s" s="0">
        <v>82</v>
      </c>
      <c r="J320" t="s" s="0">
        <v>7455</v>
      </c>
      <c r="K320" t="s" s="0">
        <v>7456</v>
      </c>
      <c r="L320" t="s" s="0">
        <v>7457</v>
      </c>
      <c r="M320" t="s" s="0">
        <v>7458</v>
      </c>
      <c r="N320" t="s" s="0">
        <v>7459</v>
      </c>
      <c r="O320" t="s" s="0">
        <v>7460</v>
      </c>
      <c r="P320" t="s" s="0">
        <v>7461</v>
      </c>
      <c r="Q320" t="s" s="0">
        <v>87</v>
      </c>
      <c r="R320" t="s" s="0">
        <v>81</v>
      </c>
      <c r="S320" t="s" s="0">
        <v>81</v>
      </c>
      <c r="T320" t="s" s="0">
        <v>81</v>
      </c>
      <c r="U320" t="s" s="0">
        <v>81</v>
      </c>
      <c r="V320" t="s" s="0">
        <v>7462</v>
      </c>
      <c r="W320" t="s" s="0">
        <v>4424</v>
      </c>
      <c r="X320" t="s" s="0">
        <v>81</v>
      </c>
      <c r="Y320" t="s" s="0">
        <v>81</v>
      </c>
      <c r="Z320" t="s" s="0">
        <v>90</v>
      </c>
      <c r="AA320" t="s" s="0">
        <v>91</v>
      </c>
      <c r="AB320" t="s" s="0">
        <v>81</v>
      </c>
      <c r="AC320" t="s" s="0">
        <v>81</v>
      </c>
      <c r="AD320" t="s" s="0">
        <v>81</v>
      </c>
      <c r="AE320" t="s" s="0">
        <v>81</v>
      </c>
      <c r="AF320" t="s" s="0">
        <v>81</v>
      </c>
      <c r="AG320" t="s" s="0">
        <v>81</v>
      </c>
      <c r="AH320" t="s" s="0">
        <v>7463</v>
      </c>
      <c r="AI320" t="s" s="0">
        <v>7464</v>
      </c>
      <c r="AJ320" t="s" s="0">
        <v>81</v>
      </c>
      <c r="AK320" t="s" s="0">
        <v>81</v>
      </c>
      <c r="AL320" t="s" s="0">
        <v>756</v>
      </c>
      <c r="AM320" t="s" s="0">
        <v>77</v>
      </c>
      <c r="AN320" t="s" s="0">
        <v>77</v>
      </c>
      <c r="AO320" t="s" s="0">
        <v>77</v>
      </c>
      <c r="AP320" t="s" s="0">
        <v>156</v>
      </c>
      <c r="AQ320" t="s" s="0">
        <v>915</v>
      </c>
      <c r="AR320" t="s" s="0">
        <v>916</v>
      </c>
      <c r="AS320" t="s" s="0">
        <v>917</v>
      </c>
      <c r="AT320" t="s" s="0">
        <v>4426</v>
      </c>
      <c r="AU320" t="s" s="0">
        <v>81</v>
      </c>
      <c r="AV320" t="s" s="0">
        <v>81</v>
      </c>
      <c r="AW320" t="s" s="0">
        <v>4427</v>
      </c>
      <c r="AX320" t="s" s="0">
        <v>4428</v>
      </c>
      <c r="AY320" t="s" s="0">
        <v>7465</v>
      </c>
      <c r="AZ320" t="s" s="0">
        <v>290</v>
      </c>
      <c r="BA320" t="s" s="0">
        <v>381</v>
      </c>
      <c r="BB320" t="s" s="0">
        <v>97</v>
      </c>
      <c r="BC320" t="s" s="0">
        <v>81</v>
      </c>
      <c r="BD320" t="s" s="0">
        <v>81</v>
      </c>
      <c r="BE320" t="s" s="0">
        <v>81</v>
      </c>
      <c r="BF320" t="s" s="0">
        <v>81</v>
      </c>
      <c r="BG320" t="s" s="0">
        <v>81</v>
      </c>
      <c r="BH320" t="s" s="0">
        <v>81</v>
      </c>
      <c r="BI320" t="s" s="0">
        <v>7466</v>
      </c>
      <c r="BJ320" t="s" s="0">
        <v>7467</v>
      </c>
      <c r="BK320" t="s" s="634">
        <f>HYPERLINK("http://dx.doi.org/10.1038/s41746-025-02069-0","http://dx.doi.org/10.1038/s41746-025-02069-0")</f>
        <v>7468</v>
      </c>
      <c r="BL320" t="s" s="0">
        <v>81</v>
      </c>
      <c r="BM320" t="s" s="0">
        <v>81</v>
      </c>
      <c r="BN320" t="s" s="0">
        <v>211</v>
      </c>
      <c r="BO320" t="s" s="0">
        <v>792</v>
      </c>
      <c r="BP320" t="s" s="0">
        <v>792</v>
      </c>
      <c r="BQ320" t="s" s="0">
        <v>7469</v>
      </c>
      <c r="BR320" t="s" s="0">
        <v>7470</v>
      </c>
      <c r="BS320" t="s" s="0">
        <v>7471</v>
      </c>
      <c r="BT320" t="s" s="635">
        <f>HYPERLINK("https://www.webofscience.com/wos/woscc/full-record/WOS:001620479800003","View Record in Web of Science")</f>
        <v>114</v>
      </c>
      <c r="BU320" t="s" s="0">
        <v>301</v>
      </c>
      <c r="BV320" t="s" s="0">
        <v>81</v>
      </c>
      <c r="BW320" t="s" s="0">
        <v>81</v>
      </c>
      <c r="BX320" t="s" s="0">
        <v>116</v>
      </c>
    </row>
    <row r="321">
      <c r="A321" t="s" s="0">
        <v>77</v>
      </c>
      <c r="B321" t="s" s="0">
        <v>77</v>
      </c>
      <c r="C321" t="s" s="0">
        <v>77</v>
      </c>
      <c r="D321" t="s" s="0">
        <v>77</v>
      </c>
      <c r="E321" t="s" s="0">
        <v>7472</v>
      </c>
      <c r="F321" t="s" s="0">
        <v>7473</v>
      </c>
      <c r="G321" t="s" s="0">
        <v>7474</v>
      </c>
      <c r="H321" t="s" s="0">
        <v>81</v>
      </c>
      <c r="I321" t="s" s="0">
        <v>238</v>
      </c>
      <c r="J321" t="s" s="0">
        <v>7475</v>
      </c>
      <c r="K321" t="s" s="0">
        <v>7476</v>
      </c>
      <c r="L321" t="s" s="0">
        <v>81</v>
      </c>
      <c r="M321" t="s" s="0">
        <v>81</v>
      </c>
      <c r="N321" t="s" s="0">
        <v>81</v>
      </c>
      <c r="O321" t="s" s="0">
        <v>7477</v>
      </c>
      <c r="P321" t="s" s="0">
        <v>7478</v>
      </c>
      <c r="Q321" t="s" s="0">
        <v>87</v>
      </c>
      <c r="R321" t="s" s="0">
        <v>81</v>
      </c>
      <c r="S321" t="s" s="0">
        <v>81</v>
      </c>
      <c r="T321" t="s" s="0">
        <v>81</v>
      </c>
      <c r="U321" t="s" s="0">
        <v>81</v>
      </c>
      <c r="V321" t="s" s="0">
        <v>7479</v>
      </c>
      <c r="W321" t="s" s="0">
        <v>7480</v>
      </c>
      <c r="X321" t="s" s="0">
        <v>81</v>
      </c>
      <c r="Y321" t="s" s="0">
        <v>81</v>
      </c>
      <c r="Z321" t="s" s="0">
        <v>90</v>
      </c>
      <c r="AA321" t="s" s="0">
        <v>91</v>
      </c>
      <c r="AB321" t="s" s="0">
        <v>81</v>
      </c>
      <c r="AC321" t="s" s="0">
        <v>81</v>
      </c>
      <c r="AD321" t="s" s="0">
        <v>81</v>
      </c>
      <c r="AE321" t="s" s="0">
        <v>81</v>
      </c>
      <c r="AF321" t="s" s="0">
        <v>81</v>
      </c>
      <c r="AG321" t="s" s="0">
        <v>7481</v>
      </c>
      <c r="AH321" t="s" s="0">
        <v>81</v>
      </c>
      <c r="AI321" t="s" s="0">
        <v>7482</v>
      </c>
      <c r="AJ321" t="s" s="0">
        <v>7483</v>
      </c>
      <c r="AK321" t="s" s="0">
        <v>81</v>
      </c>
      <c r="AL321" t="s" s="0">
        <v>671</v>
      </c>
      <c r="AM321" t="s" s="0">
        <v>234</v>
      </c>
      <c r="AN321" t="s" s="0">
        <v>234</v>
      </c>
      <c r="AO321" t="s" s="0">
        <v>196</v>
      </c>
      <c r="AP321" t="s" s="0">
        <v>175</v>
      </c>
      <c r="AQ321" t="s" s="0">
        <v>1809</v>
      </c>
      <c r="AR321" t="s" s="0">
        <v>1810</v>
      </c>
      <c r="AS321" t="s" s="0">
        <v>1811</v>
      </c>
      <c r="AT321" t="s" s="0">
        <v>7484</v>
      </c>
      <c r="AU321" t="s" s="0">
        <v>7485</v>
      </c>
      <c r="AV321" t="s" s="0">
        <v>81</v>
      </c>
      <c r="AW321" t="s" s="0">
        <v>7486</v>
      </c>
      <c r="AX321" t="s" s="0">
        <v>7487</v>
      </c>
      <c r="AY321" t="s" s="0">
        <v>2108</v>
      </c>
      <c r="AZ321" t="s" s="0">
        <v>103</v>
      </c>
      <c r="BA321" t="s" s="0">
        <v>671</v>
      </c>
      <c r="BB321" t="s" s="0">
        <v>97</v>
      </c>
      <c r="BC321" t="s" s="0">
        <v>81</v>
      </c>
      <c r="BD321" t="s" s="0">
        <v>81</v>
      </c>
      <c r="BE321" t="s" s="0">
        <v>81</v>
      </c>
      <c r="BF321" t="s" s="0">
        <v>81</v>
      </c>
      <c r="BG321" t="s" s="0">
        <v>222</v>
      </c>
      <c r="BH321" t="s" s="0">
        <v>109</v>
      </c>
      <c r="BI321" t="s" s="0">
        <v>81</v>
      </c>
      <c r="BJ321" t="s" s="0">
        <v>7488</v>
      </c>
      <c r="BK321" t="s" s="636">
        <f>HYPERLINK("http://dx.doi.org/10.1177/15271544251381228","http://dx.doi.org/10.1177/15271544251381228")</f>
        <v>7489</v>
      </c>
      <c r="BL321" t="s" s="0">
        <v>81</v>
      </c>
      <c r="BM321" t="s" s="0">
        <v>81</v>
      </c>
      <c r="BN321" t="s" s="0">
        <v>261</v>
      </c>
      <c r="BO321" t="s" s="0">
        <v>7490</v>
      </c>
      <c r="BP321" t="s" s="0">
        <v>7491</v>
      </c>
      <c r="BQ321" t="s" s="0">
        <v>7492</v>
      </c>
      <c r="BR321" t="s" s="0">
        <v>7493</v>
      </c>
      <c r="BS321" t="s" s="0">
        <v>7494</v>
      </c>
      <c r="BT321" t="s" s="637">
        <f>HYPERLINK("https://www.webofscience.com/wos/woscc/full-record/WOS:001637905100003","View Record in Web of Science")</f>
        <v>114</v>
      </c>
      <c r="BU321" t="s" s="0">
        <v>81</v>
      </c>
      <c r="BV321" t="s" s="0">
        <v>81</v>
      </c>
      <c r="BW321" t="s" s="0">
        <v>81</v>
      </c>
      <c r="BX321" t="s" s="0">
        <v>116</v>
      </c>
    </row>
    <row r="322">
      <c r="A322" t="s" s="0">
        <v>77</v>
      </c>
      <c r="B322" t="s" s="0">
        <v>77</v>
      </c>
      <c r="C322" t="s" s="0">
        <v>156</v>
      </c>
      <c r="D322" t="s" s="0">
        <v>77</v>
      </c>
      <c r="E322" t="s" s="0">
        <v>7495</v>
      </c>
      <c r="F322" t="s" s="0">
        <v>7496</v>
      </c>
      <c r="G322" t="s" s="0">
        <v>7497</v>
      </c>
      <c r="H322" t="s" s="0">
        <v>81</v>
      </c>
      <c r="I322" t="s" s="0">
        <v>82</v>
      </c>
      <c r="J322" t="s" s="0">
        <v>7498</v>
      </c>
      <c r="K322" t="s" s="0">
        <v>7499</v>
      </c>
      <c r="L322" t="s" s="0">
        <v>81</v>
      </c>
      <c r="M322" t="s" s="0">
        <v>81</v>
      </c>
      <c r="N322" t="s" s="0">
        <v>81</v>
      </c>
      <c r="O322" t="s" s="0">
        <v>7500</v>
      </c>
      <c r="P322" t="s" s="0">
        <v>7501</v>
      </c>
      <c r="Q322" t="s" s="0">
        <v>87</v>
      </c>
      <c r="R322" t="s" s="0">
        <v>81</v>
      </c>
      <c r="S322" t="s" s="0">
        <v>81</v>
      </c>
      <c r="T322" t="s" s="0">
        <v>81</v>
      </c>
      <c r="U322" t="s" s="0">
        <v>81</v>
      </c>
      <c r="V322" t="s" s="0">
        <v>7502</v>
      </c>
      <c r="W322" t="s" s="0">
        <v>7503</v>
      </c>
      <c r="X322" t="s" s="0">
        <v>81</v>
      </c>
      <c r="Y322" t="s" s="0">
        <v>81</v>
      </c>
      <c r="Z322" t="s" s="0">
        <v>90</v>
      </c>
      <c r="AA322" t="s" s="0">
        <v>91</v>
      </c>
      <c r="AB322" t="s" s="0">
        <v>81</v>
      </c>
      <c r="AC322" t="s" s="0">
        <v>81</v>
      </c>
      <c r="AD322" t="s" s="0">
        <v>81</v>
      </c>
      <c r="AE322" t="s" s="0">
        <v>81</v>
      </c>
      <c r="AF322" t="s" s="0">
        <v>81</v>
      </c>
      <c r="AG322" t="s" s="0">
        <v>7504</v>
      </c>
      <c r="AH322" t="s" s="0">
        <v>1342</v>
      </c>
      <c r="AI322" t="s" s="0">
        <v>7505</v>
      </c>
      <c r="AJ322" t="s" s="0">
        <v>7506</v>
      </c>
      <c r="AK322" t="s" s="0">
        <v>81</v>
      </c>
      <c r="AL322" t="s" s="0">
        <v>343</v>
      </c>
      <c r="AM322" t="s" s="0">
        <v>316</v>
      </c>
      <c r="AN322" t="s" s="0">
        <v>316</v>
      </c>
      <c r="AO322" t="s" s="0">
        <v>97</v>
      </c>
      <c r="AP322" t="s" s="0">
        <v>381</v>
      </c>
      <c r="AQ322" t="s" s="0">
        <v>726</v>
      </c>
      <c r="AR322" t="s" s="0">
        <v>727</v>
      </c>
      <c r="AS322" t="s" s="0">
        <v>728</v>
      </c>
      <c r="AT322" t="s" s="0">
        <v>7507</v>
      </c>
      <c r="AU322" t="s" s="0">
        <v>7508</v>
      </c>
      <c r="AV322" t="s" s="0">
        <v>81</v>
      </c>
      <c r="AW322" t="s" s="0">
        <v>7509</v>
      </c>
      <c r="AX322" t="s" s="0">
        <v>7510</v>
      </c>
      <c r="AY322" t="s" s="0">
        <v>7511</v>
      </c>
      <c r="AZ322" t="s" s="0">
        <v>185</v>
      </c>
      <c r="BA322" t="s" s="0">
        <v>150</v>
      </c>
      <c r="BB322" t="s" s="0">
        <v>316</v>
      </c>
      <c r="BC322" t="s" s="0">
        <v>81</v>
      </c>
      <c r="BD322" t="s" s="0">
        <v>81</v>
      </c>
      <c r="BE322" t="s" s="0">
        <v>81</v>
      </c>
      <c r="BF322" t="s" s="0">
        <v>81</v>
      </c>
      <c r="BG322" t="s" s="0">
        <v>81</v>
      </c>
      <c r="BH322" t="s" s="0">
        <v>81</v>
      </c>
      <c r="BI322" t="s" s="0">
        <v>7512</v>
      </c>
      <c r="BJ322" t="s" s="0">
        <v>7513</v>
      </c>
      <c r="BK322" t="s" s="638">
        <f>HYPERLINK("http://dx.doi.org/10.1002/ima.23214","http://dx.doi.org/10.1002/ima.23214")</f>
        <v>7514</v>
      </c>
      <c r="BL322" t="s" s="0">
        <v>81</v>
      </c>
      <c r="BM322" t="s" s="0">
        <v>81</v>
      </c>
      <c r="BN322" t="s" s="0">
        <v>367</v>
      </c>
      <c r="BO322" t="s" s="0">
        <v>7515</v>
      </c>
      <c r="BP322" t="s" s="0">
        <v>7516</v>
      </c>
      <c r="BQ322" t="s" s="0">
        <v>7517</v>
      </c>
      <c r="BR322" t="s" s="0">
        <v>81</v>
      </c>
      <c r="BS322" t="s" s="0">
        <v>7518</v>
      </c>
      <c r="BT322" t="s" s="639">
        <f>HYPERLINK("https://www.webofscience.com/wos/woscc/full-record/WOS:001368669300001","View Record in Web of Science")</f>
        <v>114</v>
      </c>
      <c r="BU322" t="s" s="0">
        <v>81</v>
      </c>
      <c r="BV322" t="s" s="0">
        <v>81</v>
      </c>
      <c r="BW322" t="s" s="0">
        <v>81</v>
      </c>
      <c r="BX322" t="s" s="0">
        <v>116</v>
      </c>
    </row>
    <row r="323">
      <c r="A323" t="s" s="0">
        <v>77</v>
      </c>
      <c r="B323" t="s" s="0">
        <v>77</v>
      </c>
      <c r="C323" t="s" s="0">
        <v>381</v>
      </c>
      <c r="D323" t="s" s="0">
        <v>77</v>
      </c>
      <c r="E323" t="s" s="0">
        <v>7519</v>
      </c>
      <c r="F323" t="s" s="0">
        <v>7520</v>
      </c>
      <c r="G323" t="s" s="0">
        <v>7521</v>
      </c>
      <c r="H323" t="s" s="0">
        <v>81</v>
      </c>
      <c r="I323" t="s" s="0">
        <v>238</v>
      </c>
      <c r="J323" t="s" s="0">
        <v>7522</v>
      </c>
      <c r="K323" t="s" s="0">
        <v>7523</v>
      </c>
      <c r="L323" t="s" s="0">
        <v>81</v>
      </c>
      <c r="M323" t="s" s="0">
        <v>81</v>
      </c>
      <c r="N323" t="s" s="0">
        <v>81</v>
      </c>
      <c r="O323" t="s" s="0">
        <v>7524</v>
      </c>
      <c r="P323" t="s" s="0">
        <v>7525</v>
      </c>
      <c r="Q323" t="s" s="0">
        <v>87</v>
      </c>
      <c r="R323" t="s" s="0">
        <v>81</v>
      </c>
      <c r="S323" t="s" s="0">
        <v>81</v>
      </c>
      <c r="T323" t="s" s="0">
        <v>81</v>
      </c>
      <c r="U323" t="s" s="0">
        <v>81</v>
      </c>
      <c r="V323" t="s" s="0">
        <v>7526</v>
      </c>
      <c r="W323" t="s" s="0">
        <v>5713</v>
      </c>
      <c r="X323" t="s" s="0">
        <v>81</v>
      </c>
      <c r="Y323" t="s" s="0">
        <v>81</v>
      </c>
      <c r="Z323" t="s" s="0">
        <v>90</v>
      </c>
      <c r="AA323" t="s" s="0">
        <v>91</v>
      </c>
      <c r="AB323" t="s" s="0">
        <v>81</v>
      </c>
      <c r="AC323" t="s" s="0">
        <v>81</v>
      </c>
      <c r="AD323" t="s" s="0">
        <v>81</v>
      </c>
      <c r="AE323" t="s" s="0">
        <v>81</v>
      </c>
      <c r="AF323" t="s" s="0">
        <v>81</v>
      </c>
      <c r="AG323" t="s" s="0">
        <v>7527</v>
      </c>
      <c r="AH323" t="s" s="0">
        <v>81</v>
      </c>
      <c r="AI323" t="s" s="0">
        <v>7528</v>
      </c>
      <c r="AJ323" t="s" s="0">
        <v>7529</v>
      </c>
      <c r="AK323" t="s" s="0">
        <v>81</v>
      </c>
      <c r="AL323" t="s" s="0">
        <v>251</v>
      </c>
      <c r="AM323" t="s" s="0">
        <v>756</v>
      </c>
      <c r="AN323" t="s" s="0">
        <v>398</v>
      </c>
      <c r="AO323" t="s" s="0">
        <v>97</v>
      </c>
      <c r="AP323" t="s" s="0">
        <v>222</v>
      </c>
      <c r="AQ323" t="s" s="0">
        <v>284</v>
      </c>
      <c r="AR323" t="s" s="0">
        <v>285</v>
      </c>
      <c r="AS323" t="s" s="0">
        <v>286</v>
      </c>
      <c r="AT323" t="s" s="0">
        <v>81</v>
      </c>
      <c r="AU323" t="s" s="0">
        <v>5717</v>
      </c>
      <c r="AV323" t="s" s="0">
        <v>81</v>
      </c>
      <c r="AW323" t="s" s="0">
        <v>5713</v>
      </c>
      <c r="AX323" t="s" s="0">
        <v>5718</v>
      </c>
      <c r="AY323" t="s" s="0">
        <v>6555</v>
      </c>
      <c r="AZ323" t="s" s="0">
        <v>185</v>
      </c>
      <c r="BA323" t="s" s="0">
        <v>291</v>
      </c>
      <c r="BB323" t="s" s="0">
        <v>234</v>
      </c>
      <c r="BC323" t="s" s="0">
        <v>81</v>
      </c>
      <c r="BD323" t="s" s="0">
        <v>81</v>
      </c>
      <c r="BE323" t="s" s="0">
        <v>81</v>
      </c>
      <c r="BF323" t="s" s="0">
        <v>81</v>
      </c>
      <c r="BG323" t="s" s="0">
        <v>81</v>
      </c>
      <c r="BH323" t="s" s="0">
        <v>81</v>
      </c>
      <c r="BI323" t="s" s="0">
        <v>465</v>
      </c>
      <c r="BJ323" t="s" s="0">
        <v>7530</v>
      </c>
      <c r="BK323" t="s" s="640">
        <f>HYPERLINK("http://dx.doi.org/10.3390/info15070394","http://dx.doi.org/10.3390/info15070394")</f>
        <v>7531</v>
      </c>
      <c r="BL323" t="s" s="0">
        <v>81</v>
      </c>
      <c r="BM323" t="s" s="0">
        <v>81</v>
      </c>
      <c r="BN323" t="s" s="0">
        <v>291</v>
      </c>
      <c r="BO323" t="s" s="0">
        <v>5722</v>
      </c>
      <c r="BP323" t="s" s="0">
        <v>152</v>
      </c>
      <c r="BQ323" t="s" s="0">
        <v>7532</v>
      </c>
      <c r="BR323" t="s" s="0">
        <v>81</v>
      </c>
      <c r="BS323" t="s" s="0">
        <v>7533</v>
      </c>
      <c r="BT323" t="s" s="641">
        <f>HYPERLINK("https://www.webofscience.com/wos/woscc/full-record/WOS:001277566100001","View Record in Web of Science")</f>
        <v>114</v>
      </c>
      <c r="BU323" t="s" s="0">
        <v>301</v>
      </c>
      <c r="BV323" t="s" s="0">
        <v>81</v>
      </c>
      <c r="BW323" t="s" s="0">
        <v>81</v>
      </c>
      <c r="BX323" t="s" s="0">
        <v>116</v>
      </c>
    </row>
    <row r="324">
      <c r="A324" t="s" s="0">
        <v>77</v>
      </c>
      <c r="B324" t="s" s="0">
        <v>77</v>
      </c>
      <c r="C324" t="s" s="0">
        <v>77</v>
      </c>
      <c r="D324" t="s" s="0">
        <v>77</v>
      </c>
      <c r="E324" t="s" s="0">
        <v>7534</v>
      </c>
      <c r="F324" t="s" s="0">
        <v>7535</v>
      </c>
      <c r="G324" t="s" s="0">
        <v>7536</v>
      </c>
      <c r="H324" t="s" s="0">
        <v>81</v>
      </c>
      <c r="I324" t="s" s="0">
        <v>82</v>
      </c>
      <c r="J324" t="s" s="0">
        <v>7537</v>
      </c>
      <c r="K324" t="s" s="0">
        <v>7538</v>
      </c>
      <c r="L324" t="s" s="0">
        <v>7539</v>
      </c>
      <c r="M324" t="s" s="0">
        <v>7540</v>
      </c>
      <c r="N324" t="s" s="0">
        <v>7541</v>
      </c>
      <c r="O324" t="s" s="0">
        <v>7542</v>
      </c>
      <c r="P324" t="s" s="0">
        <v>7543</v>
      </c>
      <c r="Q324" t="s" s="0">
        <v>87</v>
      </c>
      <c r="R324" t="s" s="0">
        <v>81</v>
      </c>
      <c r="S324" t="s" s="0">
        <v>81</v>
      </c>
      <c r="T324" t="s" s="0">
        <v>81</v>
      </c>
      <c r="U324" t="s" s="0">
        <v>81</v>
      </c>
      <c r="V324" t="s" s="0">
        <v>7544</v>
      </c>
      <c r="W324" t="s" s="0">
        <v>7545</v>
      </c>
      <c r="X324" t="s" s="0">
        <v>81</v>
      </c>
      <c r="Y324" t="s" s="0">
        <v>81</v>
      </c>
      <c r="Z324" t="s" s="0">
        <v>90</v>
      </c>
      <c r="AA324" t="s" s="0">
        <v>91</v>
      </c>
      <c r="AB324" t="s" s="0">
        <v>81</v>
      </c>
      <c r="AC324" t="s" s="0">
        <v>81</v>
      </c>
      <c r="AD324" t="s" s="0">
        <v>81</v>
      </c>
      <c r="AE324" t="s" s="0">
        <v>81</v>
      </c>
      <c r="AF324" t="s" s="0">
        <v>81</v>
      </c>
      <c r="AG324" t="s" s="0">
        <v>81</v>
      </c>
      <c r="AH324" t="s" s="0">
        <v>7546</v>
      </c>
      <c r="AI324" t="s" s="0">
        <v>7547</v>
      </c>
      <c r="AJ324" t="s" s="0">
        <v>81</v>
      </c>
      <c r="AK324" t="s" s="0">
        <v>81</v>
      </c>
      <c r="AL324" t="s" s="0">
        <v>5496</v>
      </c>
      <c r="AM324" t="s" s="0">
        <v>77</v>
      </c>
      <c r="AN324" t="s" s="0">
        <v>77</v>
      </c>
      <c r="AO324" t="s" s="0">
        <v>77</v>
      </c>
      <c r="AP324" t="s" s="0">
        <v>77</v>
      </c>
      <c r="AQ324" t="s" s="0">
        <v>136</v>
      </c>
      <c r="AR324" t="s" s="0">
        <v>137</v>
      </c>
      <c r="AS324" t="s" s="0">
        <v>138</v>
      </c>
      <c r="AT324" t="s" s="0">
        <v>7548</v>
      </c>
      <c r="AU324" t="s" s="0">
        <v>7549</v>
      </c>
      <c r="AV324" t="s" s="0">
        <v>81</v>
      </c>
      <c r="AW324" t="s" s="0">
        <v>7550</v>
      </c>
      <c r="AX324" t="s" s="0">
        <v>7551</v>
      </c>
      <c r="AY324" t="s" s="0">
        <v>3366</v>
      </c>
      <c r="AZ324" t="s" s="0">
        <v>103</v>
      </c>
      <c r="BA324" t="s" s="0">
        <v>7552</v>
      </c>
      <c r="BB324" t="s" s="0">
        <v>234</v>
      </c>
      <c r="BC324" t="s" s="0">
        <v>81</v>
      </c>
      <c r="BD324" t="s" s="0">
        <v>81</v>
      </c>
      <c r="BE324" t="s" s="0">
        <v>81</v>
      </c>
      <c r="BF324" t="s" s="0">
        <v>81</v>
      </c>
      <c r="BG324" t="s" s="0">
        <v>81</v>
      </c>
      <c r="BH324" t="s" s="0">
        <v>81</v>
      </c>
      <c r="BI324" t="s" s="0">
        <v>7553</v>
      </c>
      <c r="BJ324" t="s" s="0">
        <v>7554</v>
      </c>
      <c r="BK324" t="s" s="642">
        <f>HYPERLINK("http://dx.doi.org/10.1016/j.jbc.2026.113234","http://dx.doi.org/10.1016/j.jbc.2026.113234")</f>
        <v>7555</v>
      </c>
      <c r="BL324" t="s" s="0">
        <v>81</v>
      </c>
      <c r="BM324" t="s" s="0">
        <v>81</v>
      </c>
      <c r="BN324" t="s" s="0">
        <v>291</v>
      </c>
      <c r="BO324" t="s" s="0">
        <v>6425</v>
      </c>
      <c r="BP324" t="s" s="0">
        <v>6425</v>
      </c>
      <c r="BQ324" t="s" s="0">
        <v>7556</v>
      </c>
      <c r="BR324" t="s" s="0">
        <v>7557</v>
      </c>
      <c r="BS324" t="s" s="0">
        <v>7558</v>
      </c>
      <c r="BT324" t="s" s="643">
        <f>HYPERLINK("https://www.webofscience.com/wos/woscc/full-record/WOS:001813600700001","View Record in Web of Science")</f>
        <v>114</v>
      </c>
      <c r="BU324" t="s" s="0">
        <v>301</v>
      </c>
      <c r="BV324" t="s" s="0">
        <v>81</v>
      </c>
      <c r="BW324" t="s" s="0">
        <v>81</v>
      </c>
      <c r="BX324" t="s" s="0">
        <v>116</v>
      </c>
    </row>
    <row r="325">
      <c r="A325" t="s" s="0">
        <v>77</v>
      </c>
      <c r="B325" t="s" s="0">
        <v>77</v>
      </c>
      <c r="C325" t="s" s="0">
        <v>486</v>
      </c>
      <c r="D325" t="s" s="0">
        <v>156</v>
      </c>
      <c r="E325" t="s" s="0">
        <v>7559</v>
      </c>
      <c r="F325" t="s" s="0">
        <v>7560</v>
      </c>
      <c r="G325" t="s" s="0">
        <v>7561</v>
      </c>
      <c r="H325" t="s" s="0">
        <v>81</v>
      </c>
      <c r="I325" t="s" s="0">
        <v>238</v>
      </c>
      <c r="J325" t="s" s="0">
        <v>7562</v>
      </c>
      <c r="K325" t="s" s="0">
        <v>1288</v>
      </c>
      <c r="L325" t="s" s="0">
        <v>81</v>
      </c>
      <c r="M325" t="s" s="0">
        <v>81</v>
      </c>
      <c r="N325" t="s" s="0">
        <v>81</v>
      </c>
      <c r="O325" t="s" s="0">
        <v>7563</v>
      </c>
      <c r="P325" t="s" s="0">
        <v>7564</v>
      </c>
      <c r="Q325" t="s" s="0">
        <v>87</v>
      </c>
      <c r="R325" t="s" s="0">
        <v>81</v>
      </c>
      <c r="S325" t="s" s="0">
        <v>81</v>
      </c>
      <c r="T325" t="s" s="0">
        <v>81</v>
      </c>
      <c r="U325" t="s" s="0">
        <v>81</v>
      </c>
      <c r="V325" t="s" s="0">
        <v>7565</v>
      </c>
      <c r="W325" t="s" s="0">
        <v>3034</v>
      </c>
      <c r="X325" t="s" s="0">
        <v>81</v>
      </c>
      <c r="Y325" t="s" s="0">
        <v>81</v>
      </c>
      <c r="Z325" t="s" s="0">
        <v>90</v>
      </c>
      <c r="AA325" t="s" s="0">
        <v>91</v>
      </c>
      <c r="AB325" t="s" s="0">
        <v>81</v>
      </c>
      <c r="AC325" t="s" s="0">
        <v>81</v>
      </c>
      <c r="AD325" t="s" s="0">
        <v>81</v>
      </c>
      <c r="AE325" t="s" s="0">
        <v>81</v>
      </c>
      <c r="AF325" t="s" s="0">
        <v>81</v>
      </c>
      <c r="AG325" t="s" s="0">
        <v>7566</v>
      </c>
      <c r="AH325" t="s" s="0">
        <v>1342</v>
      </c>
      <c r="AI325" t="s" s="0">
        <v>81</v>
      </c>
      <c r="AJ325" t="s" s="0">
        <v>81</v>
      </c>
      <c r="AK325" t="s" s="0">
        <v>81</v>
      </c>
      <c r="AL325" t="s" s="0">
        <v>228</v>
      </c>
      <c r="AM325" t="s" s="0">
        <v>7123</v>
      </c>
      <c r="AN325" t="s" s="0">
        <v>186</v>
      </c>
      <c r="AO325" t="s" s="0">
        <v>234</v>
      </c>
      <c r="AP325" t="s" s="0">
        <v>1374</v>
      </c>
      <c r="AQ325" t="s" s="0">
        <v>726</v>
      </c>
      <c r="AR325" t="s" s="0">
        <v>727</v>
      </c>
      <c r="AS325" t="s" s="0">
        <v>728</v>
      </c>
      <c r="AT325" t="s" s="0">
        <v>81</v>
      </c>
      <c r="AU325" t="s" s="0">
        <v>3038</v>
      </c>
      <c r="AV325" t="s" s="0">
        <v>81</v>
      </c>
      <c r="AW325" t="s" s="0">
        <v>3039</v>
      </c>
      <c r="AX325" t="s" s="0">
        <v>3040</v>
      </c>
      <c r="AY325" t="s" s="0">
        <v>557</v>
      </c>
      <c r="AZ325" t="s" s="0">
        <v>260</v>
      </c>
      <c r="BA325" t="s" s="0">
        <v>211</v>
      </c>
      <c r="BB325" t="s" s="0">
        <v>7567</v>
      </c>
      <c r="BC325" t="s" s="0">
        <v>81</v>
      </c>
      <c r="BD325" t="s" s="0">
        <v>81</v>
      </c>
      <c r="BE325" t="s" s="0">
        <v>81</v>
      </c>
      <c r="BF325" t="s" s="0">
        <v>81</v>
      </c>
      <c r="BG325" t="s" s="0">
        <v>97</v>
      </c>
      <c r="BH325" t="s" s="0">
        <v>211</v>
      </c>
      <c r="BI325" t="s" s="0">
        <v>81</v>
      </c>
      <c r="BJ325" t="s" s="0">
        <v>7568</v>
      </c>
      <c r="BK325" t="s" s="644">
        <f>HYPERLINK("http://dx.doi.org/10.1049/htl2.12039","http://dx.doi.org/10.1049/htl2.12039")</f>
        <v>7569</v>
      </c>
      <c r="BL325" t="s" s="0">
        <v>81</v>
      </c>
      <c r="BM325" t="s" s="0">
        <v>3814</v>
      </c>
      <c r="BN325" t="s" s="0">
        <v>211</v>
      </c>
      <c r="BO325" t="s" s="0">
        <v>2082</v>
      </c>
      <c r="BP325" t="s" s="0">
        <v>1003</v>
      </c>
      <c r="BQ325" t="s" s="0">
        <v>7570</v>
      </c>
      <c r="BR325" t="s" s="0">
        <v>7571</v>
      </c>
      <c r="BS325" t="s" s="0">
        <v>7572</v>
      </c>
      <c r="BT325" t="s" s="645">
        <f>HYPERLINK("https://www.webofscience.com/wos/woscc/full-record/WOS:000898017600001","View Record in Web of Science")</f>
        <v>114</v>
      </c>
      <c r="BU325" t="s" s="0">
        <v>301</v>
      </c>
      <c r="BV325" t="s" s="0">
        <v>81</v>
      </c>
      <c r="BW325" t="s" s="0">
        <v>81</v>
      </c>
      <c r="BX325" t="s" s="0">
        <v>116</v>
      </c>
    </row>
    <row r="326">
      <c r="A326" t="s" s="0">
        <v>77</v>
      </c>
      <c r="B326" t="s" s="0">
        <v>77</v>
      </c>
      <c r="C326" t="s" s="0">
        <v>77</v>
      </c>
      <c r="D326" t="s" s="0">
        <v>77</v>
      </c>
      <c r="E326" t="s" s="0">
        <v>7573</v>
      </c>
      <c r="F326" t="s" s="0">
        <v>7574</v>
      </c>
      <c r="G326" t="s" s="0">
        <v>7575</v>
      </c>
      <c r="H326" t="s" s="0">
        <v>81</v>
      </c>
      <c r="I326" t="s" s="0">
        <v>238</v>
      </c>
      <c r="J326" t="s" s="0">
        <v>7576</v>
      </c>
      <c r="K326" t="s" s="0">
        <v>7577</v>
      </c>
      <c r="L326" t="s" s="0">
        <v>81</v>
      </c>
      <c r="M326" t="s" s="0">
        <v>81</v>
      </c>
      <c r="N326" t="s" s="0">
        <v>81</v>
      </c>
      <c r="O326" t="s" s="0">
        <v>7578</v>
      </c>
      <c r="P326" t="s" s="0">
        <v>7579</v>
      </c>
      <c r="Q326" t="s" s="0">
        <v>87</v>
      </c>
      <c r="R326" t="s" s="0">
        <v>81</v>
      </c>
      <c r="S326" t="s" s="0">
        <v>81</v>
      </c>
      <c r="T326" t="s" s="0">
        <v>81</v>
      </c>
      <c r="U326" t="s" s="0">
        <v>81</v>
      </c>
      <c r="V326" t="s" s="0">
        <v>7580</v>
      </c>
      <c r="W326" t="s" s="0">
        <v>886</v>
      </c>
      <c r="X326" t="s" s="0">
        <v>81</v>
      </c>
      <c r="Y326" t="s" s="0">
        <v>81</v>
      </c>
      <c r="Z326" t="s" s="0">
        <v>90</v>
      </c>
      <c r="AA326" t="s" s="0">
        <v>91</v>
      </c>
      <c r="AB326" t="s" s="0">
        <v>81</v>
      </c>
      <c r="AC326" t="s" s="0">
        <v>81</v>
      </c>
      <c r="AD326" t="s" s="0">
        <v>81</v>
      </c>
      <c r="AE326" t="s" s="0">
        <v>81</v>
      </c>
      <c r="AF326" t="s" s="0">
        <v>81</v>
      </c>
      <c r="AG326" t="s" s="0">
        <v>7581</v>
      </c>
      <c r="AH326" t="s" s="0">
        <v>7582</v>
      </c>
      <c r="AI326" t="s" s="0">
        <v>7583</v>
      </c>
      <c r="AJ326" t="s" s="0">
        <v>81</v>
      </c>
      <c r="AK326" t="s" s="0">
        <v>81</v>
      </c>
      <c r="AL326" t="s" s="0">
        <v>1607</v>
      </c>
      <c r="AM326" t="s" s="0">
        <v>77</v>
      </c>
      <c r="AN326" t="s" s="0">
        <v>77</v>
      </c>
      <c r="AO326" t="s" s="0">
        <v>156</v>
      </c>
      <c r="AP326" t="s" s="0">
        <v>156</v>
      </c>
      <c r="AQ326" t="s" s="0">
        <v>368</v>
      </c>
      <c r="AR326" t="s" s="0">
        <v>369</v>
      </c>
      <c r="AS326" t="s" s="0">
        <v>370</v>
      </c>
      <c r="AT326" t="s" s="0">
        <v>81</v>
      </c>
      <c r="AU326" t="s" s="0">
        <v>891</v>
      </c>
      <c r="AV326" t="s" s="0">
        <v>81</v>
      </c>
      <c r="AW326" t="s" s="0">
        <v>892</v>
      </c>
      <c r="AX326" t="s" s="0">
        <v>893</v>
      </c>
      <c r="AY326" t="s" s="0">
        <v>7584</v>
      </c>
      <c r="AZ326" t="s" s="0">
        <v>103</v>
      </c>
      <c r="BA326" t="s" s="0">
        <v>261</v>
      </c>
      <c r="BB326" t="s" s="0">
        <v>81</v>
      </c>
      <c r="BC326" t="s" s="0">
        <v>81</v>
      </c>
      <c r="BD326" t="s" s="0">
        <v>81</v>
      </c>
      <c r="BE326" t="s" s="0">
        <v>81</v>
      </c>
      <c r="BF326" t="s" s="0">
        <v>81</v>
      </c>
      <c r="BG326" t="s" s="0">
        <v>81</v>
      </c>
      <c r="BH326" t="s" s="0">
        <v>81</v>
      </c>
      <c r="BI326" t="s" s="0">
        <v>7585</v>
      </c>
      <c r="BJ326" t="s" s="0">
        <v>7586</v>
      </c>
      <c r="BK326" t="s" s="646">
        <f>HYPERLINK("http://dx.doi.org/10.3389/frai.2026.1827586","http://dx.doi.org/10.3389/frai.2026.1827586")</f>
        <v>7587</v>
      </c>
      <c r="BL326" t="s" s="0">
        <v>81</v>
      </c>
      <c r="BM326" t="s" s="0">
        <v>675</v>
      </c>
      <c r="BN326" t="s" s="0">
        <v>486</v>
      </c>
      <c r="BO326" t="s" s="0">
        <v>898</v>
      </c>
      <c r="BP326" t="s" s="0">
        <v>152</v>
      </c>
      <c r="BQ326" t="s" s="0">
        <v>7588</v>
      </c>
      <c r="BR326" t="s" s="0">
        <v>7589</v>
      </c>
      <c r="BS326" t="s" s="0">
        <v>7590</v>
      </c>
      <c r="BT326" t="s" s="647">
        <f>HYPERLINK("https://www.webofscience.com/wos/woscc/full-record/WOS:001782225600001","View Record in Web of Science")</f>
        <v>114</v>
      </c>
      <c r="BU326" t="s" s="0">
        <v>301</v>
      </c>
      <c r="BV326" t="s" s="0">
        <v>81</v>
      </c>
      <c r="BW326" t="s" s="0">
        <v>81</v>
      </c>
      <c r="BX326" t="s" s="0">
        <v>116</v>
      </c>
    </row>
    <row r="327">
      <c r="A327" t="s" s="0">
        <v>77</v>
      </c>
      <c r="B327" t="s" s="0">
        <v>77</v>
      </c>
      <c r="C327" t="s" s="0">
        <v>77</v>
      </c>
      <c r="D327" t="s" s="0">
        <v>77</v>
      </c>
      <c r="E327" t="s" s="0">
        <v>7591</v>
      </c>
      <c r="F327" t="s" s="0">
        <v>7592</v>
      </c>
      <c r="G327" t="s" s="0">
        <v>7593</v>
      </c>
      <c r="H327" t="s" s="0">
        <v>81</v>
      </c>
      <c r="I327" t="s" s="0">
        <v>82</v>
      </c>
      <c r="J327" t="s" s="0">
        <v>7594</v>
      </c>
      <c r="K327" t="s" s="0">
        <v>7595</v>
      </c>
      <c r="L327" t="s" s="0">
        <v>7596</v>
      </c>
      <c r="M327" t="s" s="0">
        <v>7596</v>
      </c>
      <c r="N327" t="s" s="0">
        <v>7597</v>
      </c>
      <c r="O327" t="s" s="0">
        <v>7598</v>
      </c>
      <c r="P327" t="s" s="0">
        <v>7599</v>
      </c>
      <c r="Q327" t="s" s="0">
        <v>87</v>
      </c>
      <c r="R327" t="s" s="0">
        <v>81</v>
      </c>
      <c r="S327" t="s" s="0">
        <v>81</v>
      </c>
      <c r="T327" t="s" s="0">
        <v>81</v>
      </c>
      <c r="U327" t="s" s="0">
        <v>81</v>
      </c>
      <c r="V327" t="s" s="0">
        <v>7600</v>
      </c>
      <c r="W327" t="s" s="0">
        <v>4142</v>
      </c>
      <c r="X327" t="s" s="0">
        <v>81</v>
      </c>
      <c r="Y327" t="s" s="0">
        <v>81</v>
      </c>
      <c r="Z327" t="s" s="0">
        <v>90</v>
      </c>
      <c r="AA327" t="s" s="0">
        <v>1581</v>
      </c>
      <c r="AB327" t="s" s="0">
        <v>81</v>
      </c>
      <c r="AC327" t="s" s="0">
        <v>81</v>
      </c>
      <c r="AD327" t="s" s="0">
        <v>81</v>
      </c>
      <c r="AE327" t="s" s="0">
        <v>81</v>
      </c>
      <c r="AF327" t="s" s="0">
        <v>81</v>
      </c>
      <c r="AG327" t="s" s="0">
        <v>7601</v>
      </c>
      <c r="AH327" t="s" s="0">
        <v>7602</v>
      </c>
      <c r="AI327" t="s" s="0">
        <v>7603</v>
      </c>
      <c r="AJ327" t="s" s="0">
        <v>7604</v>
      </c>
      <c r="AK327" t="s" s="0">
        <v>81</v>
      </c>
      <c r="AL327" t="s" s="0">
        <v>508</v>
      </c>
      <c r="AM327" t="s" s="0">
        <v>77</v>
      </c>
      <c r="AN327" t="s" s="0">
        <v>77</v>
      </c>
      <c r="AO327" t="s" s="0">
        <v>156</v>
      </c>
      <c r="AP327" t="s" s="0">
        <v>156</v>
      </c>
      <c r="AQ327" t="s" s="0">
        <v>212</v>
      </c>
      <c r="AR327" t="s" s="0">
        <v>213</v>
      </c>
      <c r="AS327" t="s" s="0">
        <v>214</v>
      </c>
      <c r="AT327" t="s" s="0">
        <v>4145</v>
      </c>
      <c r="AU327" t="s" s="0">
        <v>4146</v>
      </c>
      <c r="AV327" t="s" s="0">
        <v>81</v>
      </c>
      <c r="AW327" t="s" s="0">
        <v>4147</v>
      </c>
      <c r="AX327" t="s" s="0">
        <v>4148</v>
      </c>
      <c r="AY327" t="s" s="0">
        <v>81</v>
      </c>
      <c r="AZ327" t="s" s="0">
        <v>103</v>
      </c>
      <c r="BA327" t="s" s="0">
        <v>81</v>
      </c>
      <c r="BB327" t="s" s="0">
        <v>81</v>
      </c>
      <c r="BC327" t="s" s="0">
        <v>81</v>
      </c>
      <c r="BD327" t="s" s="0">
        <v>81</v>
      </c>
      <c r="BE327" t="s" s="0">
        <v>81</v>
      </c>
      <c r="BF327" t="s" s="0">
        <v>81</v>
      </c>
      <c r="BG327" t="s" s="0">
        <v>81</v>
      </c>
      <c r="BH327" t="s" s="0">
        <v>81</v>
      </c>
      <c r="BI327" t="s" s="0">
        <v>81</v>
      </c>
      <c r="BJ327" t="s" s="0">
        <v>7605</v>
      </c>
      <c r="BK327" t="s" s="648">
        <f>HYPERLINK("http://dx.doi.org/10.1007/s10796-026-10712-8","http://dx.doi.org/10.1007/s10796-026-10712-8")</f>
        <v>7606</v>
      </c>
      <c r="BL327" t="s" s="0">
        <v>81</v>
      </c>
      <c r="BM327" t="s" s="0">
        <v>948</v>
      </c>
      <c r="BN327" t="s" s="0">
        <v>135</v>
      </c>
      <c r="BO327" t="s" s="0">
        <v>4151</v>
      </c>
      <c r="BP327" t="s" s="0">
        <v>152</v>
      </c>
      <c r="BQ327" t="s" s="0">
        <v>7607</v>
      </c>
      <c r="BR327" t="s" s="0">
        <v>81</v>
      </c>
      <c r="BS327" t="s" s="0">
        <v>7608</v>
      </c>
      <c r="BT327" t="s" s="649">
        <f>HYPERLINK("https://www.webofscience.com/wos/woscc/full-record/WOS:001741963600001","View Record in Web of Science")</f>
        <v>114</v>
      </c>
      <c r="BU327" t="s" s="0">
        <v>1055</v>
      </c>
      <c r="BV327" t="s" s="0">
        <v>81</v>
      </c>
      <c r="BW327" t="s" s="0">
        <v>81</v>
      </c>
      <c r="BX327" t="s" s="0">
        <v>116</v>
      </c>
    </row>
    <row r="328">
      <c r="A328" t="s" s="0">
        <v>156</v>
      </c>
      <c r="B328" t="s" s="0">
        <v>77</v>
      </c>
      <c r="C328" t="s" s="0">
        <v>671</v>
      </c>
      <c r="D328" t="s" s="0">
        <v>77</v>
      </c>
      <c r="E328" t="s" s="0">
        <v>7609</v>
      </c>
      <c r="F328" t="s" s="0">
        <v>7610</v>
      </c>
      <c r="G328" t="s" s="0">
        <v>7611</v>
      </c>
      <c r="H328" t="s" s="0">
        <v>81</v>
      </c>
      <c r="I328" t="s" s="0">
        <v>82</v>
      </c>
      <c r="J328" t="s" s="0">
        <v>7612</v>
      </c>
      <c r="K328" t="s" s="0">
        <v>7613</v>
      </c>
      <c r="L328" t="s" s="0">
        <v>81</v>
      </c>
      <c r="M328" t="s" s="0">
        <v>81</v>
      </c>
      <c r="N328" t="s" s="0">
        <v>81</v>
      </c>
      <c r="O328" t="s" s="0">
        <v>7614</v>
      </c>
      <c r="P328" t="s" s="0">
        <v>7615</v>
      </c>
      <c r="Q328" t="s" s="0">
        <v>87</v>
      </c>
      <c r="R328" t="s" s="0">
        <v>81</v>
      </c>
      <c r="S328" t="s" s="0">
        <v>81</v>
      </c>
      <c r="T328" t="s" s="0">
        <v>81</v>
      </c>
      <c r="U328" t="s" s="0">
        <v>81</v>
      </c>
      <c r="V328" t="s" s="0">
        <v>7616</v>
      </c>
      <c r="W328" t="s" s="0">
        <v>7617</v>
      </c>
      <c r="X328" t="s" s="0">
        <v>81</v>
      </c>
      <c r="Y328" t="s" s="0">
        <v>81</v>
      </c>
      <c r="Z328" t="s" s="0">
        <v>90</v>
      </c>
      <c r="AA328" t="s" s="0">
        <v>91</v>
      </c>
      <c r="AB328" t="s" s="0">
        <v>81</v>
      </c>
      <c r="AC328" t="s" s="0">
        <v>81</v>
      </c>
      <c r="AD328" t="s" s="0">
        <v>81</v>
      </c>
      <c r="AE328" t="s" s="0">
        <v>81</v>
      </c>
      <c r="AF328" t="s" s="0">
        <v>81</v>
      </c>
      <c r="AG328" t="s" s="0">
        <v>81</v>
      </c>
      <c r="AH328" t="s" s="0">
        <v>7618</v>
      </c>
      <c r="AI328" t="s" s="0">
        <v>7619</v>
      </c>
      <c r="AJ328" t="s" s="0">
        <v>7620</v>
      </c>
      <c r="AK328" t="s" s="0">
        <v>81</v>
      </c>
      <c r="AL328" t="s" s="0">
        <v>97</v>
      </c>
      <c r="AM328" t="s" s="0">
        <v>664</v>
      </c>
      <c r="AN328" t="s" s="0">
        <v>696</v>
      </c>
      <c r="AO328" t="s" s="0">
        <v>156</v>
      </c>
      <c r="AP328" t="s" s="0">
        <v>176</v>
      </c>
      <c r="AQ328" t="s" s="0">
        <v>1654</v>
      </c>
      <c r="AR328" t="s" s="0">
        <v>1345</v>
      </c>
      <c r="AS328" t="s" s="0">
        <v>1655</v>
      </c>
      <c r="AT328" t="s" s="0">
        <v>7621</v>
      </c>
      <c r="AU328" t="s" s="0">
        <v>7622</v>
      </c>
      <c r="AV328" t="s" s="0">
        <v>81</v>
      </c>
      <c r="AW328" t="s" s="0">
        <v>7623</v>
      </c>
      <c r="AX328" t="s" s="0">
        <v>7624</v>
      </c>
      <c r="AY328" t="s" s="0">
        <v>7625</v>
      </c>
      <c r="AZ328" t="s" s="0">
        <v>260</v>
      </c>
      <c r="BA328" t="s" s="0">
        <v>508</v>
      </c>
      <c r="BB328" t="s" s="0">
        <v>175</v>
      </c>
      <c r="BC328" t="s" s="0">
        <v>81</v>
      </c>
      <c r="BD328" t="s" s="0">
        <v>81</v>
      </c>
      <c r="BE328" t="s" s="0">
        <v>81</v>
      </c>
      <c r="BF328" t="s" s="0">
        <v>81</v>
      </c>
      <c r="BG328" t="s" s="0">
        <v>81</v>
      </c>
      <c r="BH328" t="s" s="0">
        <v>81</v>
      </c>
      <c r="BI328" t="s" s="0">
        <v>81</v>
      </c>
      <c r="BJ328" t="s" s="0">
        <v>7626</v>
      </c>
      <c r="BK328" t="s" s="650">
        <f>HYPERLINK("http://dx.doi.org/10.1093/nar/gkac1212","http://dx.doi.org/10.1093/nar/gkac1212")</f>
        <v>7627</v>
      </c>
      <c r="BL328" t="s" s="0">
        <v>81</v>
      </c>
      <c r="BM328" t="s" s="0">
        <v>3838</v>
      </c>
      <c r="BN328" t="s" s="0">
        <v>104</v>
      </c>
      <c r="BO328" t="s" s="0">
        <v>6425</v>
      </c>
      <c r="BP328" t="s" s="0">
        <v>6425</v>
      </c>
      <c r="BQ328" t="s" s="0">
        <v>7628</v>
      </c>
      <c r="BR328" t="s" s="0">
        <v>7629</v>
      </c>
      <c r="BS328" t="s" s="0">
        <v>7630</v>
      </c>
      <c r="BT328" t="s" s="651">
        <f>HYPERLINK("https://www.webofscience.com/wos/woscc/full-record/WOS:000910082400001","View Record in Web of Science")</f>
        <v>114</v>
      </c>
      <c r="BU328" t="s" s="0">
        <v>301</v>
      </c>
      <c r="BV328" t="s" s="0">
        <v>81</v>
      </c>
      <c r="BW328" t="s" s="0">
        <v>81</v>
      </c>
      <c r="BX328" t="s" s="0">
        <v>116</v>
      </c>
    </row>
    <row r="329">
      <c r="A329" t="s" s="0">
        <v>77</v>
      </c>
      <c r="B329" t="s" s="0">
        <v>77</v>
      </c>
      <c r="C329" t="s" s="0">
        <v>77</v>
      </c>
      <c r="D329" t="s" s="0">
        <v>77</v>
      </c>
      <c r="E329" t="s" s="0">
        <v>7631</v>
      </c>
      <c r="F329" t="s" s="0">
        <v>7632</v>
      </c>
      <c r="G329" t="s" s="0">
        <v>7633</v>
      </c>
      <c r="H329" t="s" s="0">
        <v>81</v>
      </c>
      <c r="I329" t="s" s="0">
        <v>82</v>
      </c>
      <c r="J329" t="s" s="0">
        <v>7634</v>
      </c>
      <c r="K329" t="s" s="0">
        <v>7635</v>
      </c>
      <c r="L329" t="s" s="0">
        <v>7636</v>
      </c>
      <c r="M329" t="s" s="0">
        <v>7637</v>
      </c>
      <c r="N329" t="s" s="0">
        <v>7638</v>
      </c>
      <c r="O329" t="s" s="0">
        <v>7639</v>
      </c>
      <c r="P329" t="s" s="0">
        <v>7640</v>
      </c>
      <c r="Q329" t="s" s="0">
        <v>87</v>
      </c>
      <c r="R329" t="s" s="0">
        <v>81</v>
      </c>
      <c r="S329" t="s" s="0">
        <v>81</v>
      </c>
      <c r="T329" t="s" s="0">
        <v>81</v>
      </c>
      <c r="U329" t="s" s="0">
        <v>81</v>
      </c>
      <c r="V329" t="s" s="0">
        <v>7641</v>
      </c>
      <c r="W329" t="s" s="0">
        <v>4424</v>
      </c>
      <c r="X329" t="s" s="0">
        <v>81</v>
      </c>
      <c r="Y329" t="s" s="0">
        <v>81</v>
      </c>
      <c r="Z329" t="s" s="0">
        <v>90</v>
      </c>
      <c r="AA329" t="s" s="0">
        <v>91</v>
      </c>
      <c r="AB329" t="s" s="0">
        <v>81</v>
      </c>
      <c r="AC329" t="s" s="0">
        <v>81</v>
      </c>
      <c r="AD329" t="s" s="0">
        <v>81</v>
      </c>
      <c r="AE329" t="s" s="0">
        <v>81</v>
      </c>
      <c r="AF329" t="s" s="0">
        <v>81</v>
      </c>
      <c r="AG329" t="s" s="0">
        <v>81</v>
      </c>
      <c r="AH329" t="s" s="0">
        <v>7642</v>
      </c>
      <c r="AI329" t="s" s="0">
        <v>7643</v>
      </c>
      <c r="AJ329" t="s" s="0">
        <v>81</v>
      </c>
      <c r="AK329" t="s" s="0">
        <v>81</v>
      </c>
      <c r="AL329" t="s" s="0">
        <v>3518</v>
      </c>
      <c r="AM329" t="s" s="0">
        <v>175</v>
      </c>
      <c r="AN329" t="s" s="0">
        <v>175</v>
      </c>
      <c r="AO329" t="s" s="0">
        <v>156</v>
      </c>
      <c r="AP329" t="s" s="0">
        <v>316</v>
      </c>
      <c r="AQ329" t="s" s="0">
        <v>915</v>
      </c>
      <c r="AR329" t="s" s="0">
        <v>916</v>
      </c>
      <c r="AS329" t="s" s="0">
        <v>917</v>
      </c>
      <c r="AT329" t="s" s="0">
        <v>4426</v>
      </c>
      <c r="AU329" t="s" s="0">
        <v>81</v>
      </c>
      <c r="AV329" t="s" s="0">
        <v>81</v>
      </c>
      <c r="AW329" t="s" s="0">
        <v>4427</v>
      </c>
      <c r="AX329" t="s" s="0">
        <v>4428</v>
      </c>
      <c r="AY329" t="s" s="0">
        <v>7030</v>
      </c>
      <c r="AZ329" t="s" s="0">
        <v>290</v>
      </c>
      <c r="BA329" t="s" s="0">
        <v>381</v>
      </c>
      <c r="BB329" t="s" s="0">
        <v>97</v>
      </c>
      <c r="BC329" t="s" s="0">
        <v>81</v>
      </c>
      <c r="BD329" t="s" s="0">
        <v>81</v>
      </c>
      <c r="BE329" t="s" s="0">
        <v>81</v>
      </c>
      <c r="BF329" t="s" s="0">
        <v>81</v>
      </c>
      <c r="BG329" t="s" s="0">
        <v>81</v>
      </c>
      <c r="BH329" t="s" s="0">
        <v>81</v>
      </c>
      <c r="BI329" t="s" s="0">
        <v>7644</v>
      </c>
      <c r="BJ329" t="s" s="0">
        <v>7645</v>
      </c>
      <c r="BK329" t="s" s="652">
        <f>HYPERLINK("http://dx.doi.org/10.1038/s41746-025-02143-7","http://dx.doi.org/10.1038/s41746-025-02143-7")</f>
        <v>7646</v>
      </c>
      <c r="BL329" t="s" s="0">
        <v>81</v>
      </c>
      <c r="BM329" t="s" s="0">
        <v>81</v>
      </c>
      <c r="BN329" t="s" s="0">
        <v>134</v>
      </c>
      <c r="BO329" t="s" s="0">
        <v>792</v>
      </c>
      <c r="BP329" t="s" s="0">
        <v>792</v>
      </c>
      <c r="BQ329" t="s" s="0">
        <v>7647</v>
      </c>
      <c r="BR329" t="s" s="0">
        <v>7648</v>
      </c>
      <c r="BS329" t="s" s="0">
        <v>7649</v>
      </c>
      <c r="BT329" t="s" s="653">
        <f>HYPERLINK("https://www.webofscience.com/wos/woscc/full-record/WOS:001632438600002","View Record in Web of Science")</f>
        <v>114</v>
      </c>
      <c r="BU329" t="s" s="0">
        <v>301</v>
      </c>
      <c r="BV329" t="s" s="0">
        <v>81</v>
      </c>
      <c r="BW329" t="s" s="0">
        <v>81</v>
      </c>
      <c r="BX329" t="s" s="0">
        <v>116</v>
      </c>
    </row>
    <row r="330">
      <c r="A330" t="s" s="0">
        <v>77</v>
      </c>
      <c r="B330" t="s" s="0">
        <v>77</v>
      </c>
      <c r="C330" t="s" s="0">
        <v>77</v>
      </c>
      <c r="D330" t="s" s="0">
        <v>77</v>
      </c>
      <c r="E330" t="s" s="0">
        <v>7650</v>
      </c>
      <c r="F330" t="s" s="0">
        <v>7651</v>
      </c>
      <c r="G330" t="s" s="0">
        <v>7652</v>
      </c>
      <c r="H330" t="s" s="0">
        <v>81</v>
      </c>
      <c r="I330" t="s" s="0">
        <v>238</v>
      </c>
      <c r="J330" t="s" s="0">
        <v>7653</v>
      </c>
      <c r="K330" t="s" s="0">
        <v>7654</v>
      </c>
      <c r="L330" t="s" s="0">
        <v>81</v>
      </c>
      <c r="M330" t="s" s="0">
        <v>81</v>
      </c>
      <c r="N330" t="s" s="0">
        <v>81</v>
      </c>
      <c r="O330" t="s" s="0">
        <v>7655</v>
      </c>
      <c r="P330" t="s" s="0">
        <v>7656</v>
      </c>
      <c r="Q330" t="s" s="0">
        <v>87</v>
      </c>
      <c r="R330" t="s" s="0">
        <v>81</v>
      </c>
      <c r="S330" t="s" s="0">
        <v>81</v>
      </c>
      <c r="T330" t="s" s="0">
        <v>81</v>
      </c>
      <c r="U330" t="s" s="0">
        <v>81</v>
      </c>
      <c r="V330" t="s" s="0">
        <v>7657</v>
      </c>
      <c r="W330" t="s" s="0">
        <v>1063</v>
      </c>
      <c r="X330" t="s" s="0">
        <v>81</v>
      </c>
      <c r="Y330" t="s" s="0">
        <v>81</v>
      </c>
      <c r="Z330" t="s" s="0">
        <v>90</v>
      </c>
      <c r="AA330" t="s" s="0">
        <v>91</v>
      </c>
      <c r="AB330" t="s" s="0">
        <v>81</v>
      </c>
      <c r="AC330" t="s" s="0">
        <v>81</v>
      </c>
      <c r="AD330" t="s" s="0">
        <v>81</v>
      </c>
      <c r="AE330" t="s" s="0">
        <v>81</v>
      </c>
      <c r="AF330" t="s" s="0">
        <v>81</v>
      </c>
      <c r="AG330" t="s" s="0">
        <v>7658</v>
      </c>
      <c r="AH330" t="s" s="0">
        <v>81</v>
      </c>
      <c r="AI330" t="s" s="0">
        <v>81</v>
      </c>
      <c r="AJ330" t="s" s="0">
        <v>81</v>
      </c>
      <c r="AK330" t="s" s="0">
        <v>81</v>
      </c>
      <c r="AL330" t="s" s="0">
        <v>191</v>
      </c>
      <c r="AM330" t="s" s="0">
        <v>77</v>
      </c>
      <c r="AN330" t="s" s="0">
        <v>77</v>
      </c>
      <c r="AO330" t="s" s="0">
        <v>77</v>
      </c>
      <c r="AP330" t="s" s="0">
        <v>77</v>
      </c>
      <c r="AQ330" t="s" s="0">
        <v>726</v>
      </c>
      <c r="AR330" t="s" s="0">
        <v>727</v>
      </c>
      <c r="AS330" t="s" s="0">
        <v>728</v>
      </c>
      <c r="AT330" t="s" s="0">
        <v>81</v>
      </c>
      <c r="AU330" t="s" s="0">
        <v>1067</v>
      </c>
      <c r="AV330" t="s" s="0">
        <v>81</v>
      </c>
      <c r="AW330" t="s" s="0">
        <v>1068</v>
      </c>
      <c r="AX330" t="s" s="0">
        <v>1069</v>
      </c>
      <c r="AY330" t="s" s="0">
        <v>7659</v>
      </c>
      <c r="AZ330" t="s" s="0">
        <v>103</v>
      </c>
      <c r="BA330" t="s" s="0">
        <v>261</v>
      </c>
      <c r="BB330" t="s" s="0">
        <v>381</v>
      </c>
      <c r="BC330" t="s" s="0">
        <v>81</v>
      </c>
      <c r="BD330" t="s" s="0">
        <v>81</v>
      </c>
      <c r="BE330" t="s" s="0">
        <v>81</v>
      </c>
      <c r="BF330" t="s" s="0">
        <v>81</v>
      </c>
      <c r="BG330" t="s" s="0">
        <v>81</v>
      </c>
      <c r="BH330" t="s" s="0">
        <v>81</v>
      </c>
      <c r="BI330" t="s" s="0">
        <v>7660</v>
      </c>
      <c r="BJ330" t="s" s="0">
        <v>7661</v>
      </c>
      <c r="BK330" t="s" s="654">
        <f>HYPERLINK("http://dx.doi.org/10.1002/hsr2.73042","http://dx.doi.org/10.1002/hsr2.73042")</f>
        <v>7662</v>
      </c>
      <c r="BL330" t="s" s="0">
        <v>81</v>
      </c>
      <c r="BM330" t="s" s="0">
        <v>81</v>
      </c>
      <c r="BN330" t="s" s="0">
        <v>175</v>
      </c>
      <c r="BO330" t="s" s="0">
        <v>1074</v>
      </c>
      <c r="BP330" t="s" s="0">
        <v>1075</v>
      </c>
      <c r="BQ330" t="s" s="0">
        <v>7663</v>
      </c>
      <c r="BR330" t="s" s="0">
        <v>81</v>
      </c>
      <c r="BS330" t="s" s="0">
        <v>7664</v>
      </c>
      <c r="BT330" t="s" s="655">
        <f>HYPERLINK("https://www.webofscience.com/wos/woscc/full-record/WOS:001848544900001","View Record in Web of Science")</f>
        <v>114</v>
      </c>
      <c r="BU330" t="s" s="0">
        <v>301</v>
      </c>
      <c r="BV330" t="s" s="0">
        <v>81</v>
      </c>
      <c r="BW330" t="s" s="0">
        <v>81</v>
      </c>
      <c r="BX330" t="s" s="0">
        <v>116</v>
      </c>
    </row>
    <row r="331">
      <c r="A331" t="s" s="0">
        <v>77</v>
      </c>
      <c r="B331" t="s" s="0">
        <v>77</v>
      </c>
      <c r="C331" t="s" s="0">
        <v>77</v>
      </c>
      <c r="D331" t="s" s="0">
        <v>77</v>
      </c>
      <c r="E331" t="s" s="0">
        <v>7665</v>
      </c>
      <c r="F331" t="s" s="0">
        <v>7666</v>
      </c>
      <c r="G331" t="s" s="0">
        <v>7667</v>
      </c>
      <c r="H331" t="s" s="0">
        <v>81</v>
      </c>
      <c r="I331" t="s" s="0">
        <v>238</v>
      </c>
      <c r="J331" t="s" s="0">
        <v>7668</v>
      </c>
      <c r="K331" t="s" s="0">
        <v>7669</v>
      </c>
      <c r="L331" t="s" s="0">
        <v>7670</v>
      </c>
      <c r="M331" t="s" s="0">
        <v>7671</v>
      </c>
      <c r="N331" t="s" s="0">
        <v>7672</v>
      </c>
      <c r="O331" t="s" s="0">
        <v>7673</v>
      </c>
      <c r="P331" t="s" s="0">
        <v>7674</v>
      </c>
      <c r="Q331" t="s" s="0">
        <v>87</v>
      </c>
      <c r="R331" t="s" s="0">
        <v>81</v>
      </c>
      <c r="S331" t="s" s="0">
        <v>81</v>
      </c>
      <c r="T331" t="s" s="0">
        <v>81</v>
      </c>
      <c r="U331" t="s" s="0">
        <v>81</v>
      </c>
      <c r="V331" t="s" s="0">
        <v>7675</v>
      </c>
      <c r="W331" t="s" s="0">
        <v>7676</v>
      </c>
      <c r="X331" t="s" s="0">
        <v>81</v>
      </c>
      <c r="Y331" t="s" s="0">
        <v>81</v>
      </c>
      <c r="Z331" t="s" s="0">
        <v>90</v>
      </c>
      <c r="AA331" t="s" s="0">
        <v>91</v>
      </c>
      <c r="AB331" t="s" s="0">
        <v>81</v>
      </c>
      <c r="AC331" t="s" s="0">
        <v>81</v>
      </c>
      <c r="AD331" t="s" s="0">
        <v>81</v>
      </c>
      <c r="AE331" t="s" s="0">
        <v>81</v>
      </c>
      <c r="AF331" t="s" s="0">
        <v>81</v>
      </c>
      <c r="AG331" t="s" s="0">
        <v>7677</v>
      </c>
      <c r="AH331" t="s" s="0">
        <v>81</v>
      </c>
      <c r="AI331" t="s" s="0">
        <v>7678</v>
      </c>
      <c r="AJ331" t="s" s="0">
        <v>7679</v>
      </c>
      <c r="AK331" t="s" s="0">
        <v>81</v>
      </c>
      <c r="AL331" t="s" s="0">
        <v>295</v>
      </c>
      <c r="AM331" t="s" s="0">
        <v>196</v>
      </c>
      <c r="AN331" t="s" s="0">
        <v>196</v>
      </c>
      <c r="AO331" t="s" s="0">
        <v>77</v>
      </c>
      <c r="AP331" t="s" s="0">
        <v>175</v>
      </c>
      <c r="AQ331" t="s" s="0">
        <v>136</v>
      </c>
      <c r="AR331" t="s" s="0">
        <v>137</v>
      </c>
      <c r="AS331" t="s" s="0">
        <v>138</v>
      </c>
      <c r="AT331" t="s" s="0">
        <v>7680</v>
      </c>
      <c r="AU331" t="s" s="0">
        <v>81</v>
      </c>
      <c r="AV331" t="s" s="0">
        <v>81</v>
      </c>
      <c r="AW331" t="s" s="0">
        <v>7681</v>
      </c>
      <c r="AX331" t="s" s="0">
        <v>7682</v>
      </c>
      <c r="AY331" t="s" s="0">
        <v>3233</v>
      </c>
      <c r="AZ331" t="s" s="0">
        <v>260</v>
      </c>
      <c r="BA331" t="s" s="0">
        <v>291</v>
      </c>
      <c r="BB331" t="s" s="0">
        <v>81</v>
      </c>
      <c r="BC331" t="s" s="0">
        <v>81</v>
      </c>
      <c r="BD331" t="s" s="0">
        <v>81</v>
      </c>
      <c r="BE331" t="s" s="0">
        <v>81</v>
      </c>
      <c r="BF331" t="s" s="0">
        <v>81</v>
      </c>
      <c r="BG331" t="s" s="0">
        <v>81</v>
      </c>
      <c r="BH331" t="s" s="0">
        <v>81</v>
      </c>
      <c r="BI331" t="s" s="0">
        <v>4406</v>
      </c>
      <c r="BJ331" t="s" s="0">
        <v>7683</v>
      </c>
      <c r="BK331" t="s" s="656">
        <f>HYPERLINK("http://dx.doi.org/10.1016/j.simpa.2023.100478","http://dx.doi.org/10.1016/j.simpa.2023.100478")</f>
        <v>7684</v>
      </c>
      <c r="BL331" t="s" s="0">
        <v>81</v>
      </c>
      <c r="BM331" t="s" s="0">
        <v>557</v>
      </c>
      <c r="BN331" t="s" s="0">
        <v>175</v>
      </c>
      <c r="BO331" t="s" s="0">
        <v>7685</v>
      </c>
      <c r="BP331" t="s" s="0">
        <v>152</v>
      </c>
      <c r="BQ331" t="s" s="0">
        <v>7686</v>
      </c>
      <c r="BR331" t="s" s="0">
        <v>7687</v>
      </c>
      <c r="BS331" t="s" s="0">
        <v>7688</v>
      </c>
      <c r="BT331" t="s" s="657">
        <f>HYPERLINK("https://www.webofscience.com/wos/woscc/full-record/WOS:000944864400001","View Record in Web of Science")</f>
        <v>114</v>
      </c>
      <c r="BU331" t="s" s="0">
        <v>301</v>
      </c>
      <c r="BV331" t="s" s="0">
        <v>81</v>
      </c>
      <c r="BW331" t="s" s="0">
        <v>81</v>
      </c>
      <c r="BX331" t="s" s="0">
        <v>116</v>
      </c>
    </row>
    <row r="332">
      <c r="A332" t="s" s="0">
        <v>77</v>
      </c>
      <c r="B332" t="s" s="0">
        <v>77</v>
      </c>
      <c r="C332" t="s" s="0">
        <v>156</v>
      </c>
      <c r="D332" t="s" s="0">
        <v>77</v>
      </c>
      <c r="E332" t="s" s="0">
        <v>7689</v>
      </c>
      <c r="F332" t="s" s="0">
        <v>7690</v>
      </c>
      <c r="G332" t="s" s="0">
        <v>7691</v>
      </c>
      <c r="H332" t="s" s="0">
        <v>81</v>
      </c>
      <c r="I332" t="s" s="0">
        <v>82</v>
      </c>
      <c r="J332" t="s" s="0">
        <v>7692</v>
      </c>
      <c r="K332" t="s" s="0">
        <v>7693</v>
      </c>
      <c r="L332" t="s" s="0">
        <v>81</v>
      </c>
      <c r="M332" t="s" s="0">
        <v>81</v>
      </c>
      <c r="N332" t="s" s="0">
        <v>81</v>
      </c>
      <c r="O332" t="s" s="0">
        <v>7694</v>
      </c>
      <c r="P332" t="s" s="0">
        <v>7695</v>
      </c>
      <c r="Q332" t="s" s="0">
        <v>87</v>
      </c>
      <c r="R332" t="s" s="0">
        <v>81</v>
      </c>
      <c r="S332" t="s" s="0">
        <v>81</v>
      </c>
      <c r="T332" t="s" s="0">
        <v>81</v>
      </c>
      <c r="U332" t="s" s="0">
        <v>81</v>
      </c>
      <c r="V332" t="s" s="0">
        <v>7696</v>
      </c>
      <c r="W332" t="s" s="0">
        <v>2950</v>
      </c>
      <c r="X332" t="s" s="0">
        <v>81</v>
      </c>
      <c r="Y332" t="s" s="0">
        <v>81</v>
      </c>
      <c r="Z332" t="s" s="0">
        <v>90</v>
      </c>
      <c r="AA332" t="s" s="0">
        <v>91</v>
      </c>
      <c r="AB332" t="s" s="0">
        <v>81</v>
      </c>
      <c r="AC332" t="s" s="0">
        <v>81</v>
      </c>
      <c r="AD332" t="s" s="0">
        <v>81</v>
      </c>
      <c r="AE332" t="s" s="0">
        <v>81</v>
      </c>
      <c r="AF332" t="s" s="0">
        <v>81</v>
      </c>
      <c r="AG332" t="s" s="0">
        <v>7697</v>
      </c>
      <c r="AH332" t="s" s="0">
        <v>7698</v>
      </c>
      <c r="AI332" t="s" s="0">
        <v>7699</v>
      </c>
      <c r="AJ332" t="s" s="0">
        <v>81</v>
      </c>
      <c r="AK332" t="s" s="0">
        <v>81</v>
      </c>
      <c r="AL332" t="s" s="0">
        <v>542</v>
      </c>
      <c r="AM332" t="s" s="0">
        <v>104</v>
      </c>
      <c r="AN332" t="s" s="0">
        <v>925</v>
      </c>
      <c r="AO332" t="s" s="0">
        <v>134</v>
      </c>
      <c r="AP332" t="s" s="0">
        <v>324</v>
      </c>
      <c r="AQ332" t="s" s="0">
        <v>136</v>
      </c>
      <c r="AR332" t="s" s="0">
        <v>137</v>
      </c>
      <c r="AS332" t="s" s="0">
        <v>138</v>
      </c>
      <c r="AT332" t="s" s="0">
        <v>2956</v>
      </c>
      <c r="AU332" t="s" s="0">
        <v>2957</v>
      </c>
      <c r="AV332" t="s" s="0">
        <v>81</v>
      </c>
      <c r="AW332" t="s" s="0">
        <v>2958</v>
      </c>
      <c r="AX332" t="s" s="0">
        <v>2959</v>
      </c>
      <c r="AY332" t="s" s="0">
        <v>1183</v>
      </c>
      <c r="AZ332" t="s" s="0">
        <v>185</v>
      </c>
      <c r="BA332" t="s" s="0">
        <v>7700</v>
      </c>
      <c r="BB332" t="s" s="0">
        <v>81</v>
      </c>
      <c r="BC332" t="s" s="0">
        <v>81</v>
      </c>
      <c r="BD332" t="s" s="0">
        <v>2974</v>
      </c>
      <c r="BE332" t="s" s="0">
        <v>81</v>
      </c>
      <c r="BF332" t="s" s="0">
        <v>81</v>
      </c>
      <c r="BG332" t="s" s="0">
        <v>81</v>
      </c>
      <c r="BH332" t="s" s="0">
        <v>81</v>
      </c>
      <c r="BI332" t="s" s="0">
        <v>7701</v>
      </c>
      <c r="BJ332" t="s" s="0">
        <v>7702</v>
      </c>
      <c r="BK332" t="s" s="658">
        <f>HYPERLINK("http://dx.doi.org/10.1016/j.asoc.2024.112225","http://dx.doi.org/10.1016/j.asoc.2024.112225")</f>
        <v>7703</v>
      </c>
      <c r="BL332" t="s" s="0">
        <v>81</v>
      </c>
      <c r="BM332" t="s" s="0">
        <v>6550</v>
      </c>
      <c r="BN332" t="s" s="0">
        <v>104</v>
      </c>
      <c r="BO332" t="s" s="0">
        <v>2009</v>
      </c>
      <c r="BP332" t="s" s="0">
        <v>152</v>
      </c>
      <c r="BQ332" t="s" s="0">
        <v>7704</v>
      </c>
      <c r="BR332" t="s" s="0">
        <v>81</v>
      </c>
      <c r="BS332" t="s" s="0">
        <v>7705</v>
      </c>
      <c r="BT332" t="s" s="659">
        <f>HYPERLINK("https://www.webofscience.com/wos/woscc/full-record/WOS:001322564500001","View Record in Web of Science")</f>
        <v>114</v>
      </c>
      <c r="BU332" t="s" s="0">
        <v>81</v>
      </c>
      <c r="BV332" t="s" s="0">
        <v>81</v>
      </c>
      <c r="BW332" t="s" s="0">
        <v>81</v>
      </c>
      <c r="BX332" t="s" s="0">
        <v>116</v>
      </c>
    </row>
    <row r="333">
      <c r="A333" t="s" s="0">
        <v>77</v>
      </c>
      <c r="B333" t="s" s="0">
        <v>77</v>
      </c>
      <c r="C333" t="s" s="0">
        <v>77</v>
      </c>
      <c r="D333" t="s" s="0">
        <v>77</v>
      </c>
      <c r="E333" t="s" s="0">
        <v>7706</v>
      </c>
      <c r="F333" t="s" s="0">
        <v>7707</v>
      </c>
      <c r="G333" t="s" s="0">
        <v>7708</v>
      </c>
      <c r="H333" t="s" s="0">
        <v>81</v>
      </c>
      <c r="I333" t="s" s="0">
        <v>238</v>
      </c>
      <c r="J333" t="s" s="0">
        <v>7709</v>
      </c>
      <c r="K333" t="s" s="0">
        <v>7710</v>
      </c>
      <c r="L333" t="s" s="0">
        <v>81</v>
      </c>
      <c r="M333" t="s" s="0">
        <v>81</v>
      </c>
      <c r="N333" t="s" s="0">
        <v>81</v>
      </c>
      <c r="O333" t="s" s="0">
        <v>7711</v>
      </c>
      <c r="P333" t="s" s="0">
        <v>7712</v>
      </c>
      <c r="Q333" t="s" s="0">
        <v>87</v>
      </c>
      <c r="R333" t="s" s="0">
        <v>81</v>
      </c>
      <c r="S333" t="s" s="0">
        <v>81</v>
      </c>
      <c r="T333" t="s" s="0">
        <v>81</v>
      </c>
      <c r="U333" t="s" s="0">
        <v>81</v>
      </c>
      <c r="V333" t="s" s="0">
        <v>7713</v>
      </c>
      <c r="W333" t="s" s="0">
        <v>6009</v>
      </c>
      <c r="X333" t="s" s="0">
        <v>81</v>
      </c>
      <c r="Y333" t="s" s="0">
        <v>81</v>
      </c>
      <c r="Z333" t="s" s="0">
        <v>90</v>
      </c>
      <c r="AA333" t="s" s="0">
        <v>91</v>
      </c>
      <c r="AB333" t="s" s="0">
        <v>81</v>
      </c>
      <c r="AC333" t="s" s="0">
        <v>81</v>
      </c>
      <c r="AD333" t="s" s="0">
        <v>81</v>
      </c>
      <c r="AE333" t="s" s="0">
        <v>81</v>
      </c>
      <c r="AF333" t="s" s="0">
        <v>81</v>
      </c>
      <c r="AG333" t="s" s="0">
        <v>7714</v>
      </c>
      <c r="AH333" t="s" s="0">
        <v>7715</v>
      </c>
      <c r="AI333" t="s" s="0">
        <v>7716</v>
      </c>
      <c r="AJ333" t="s" s="0">
        <v>7717</v>
      </c>
      <c r="AK333" t="s" s="0">
        <v>81</v>
      </c>
      <c r="AL333" t="s" s="0">
        <v>1912</v>
      </c>
      <c r="AM333" t="s" s="0">
        <v>196</v>
      </c>
      <c r="AN333" t="s" s="0">
        <v>196</v>
      </c>
      <c r="AO333" t="s" s="0">
        <v>77</v>
      </c>
      <c r="AP333" t="s" s="0">
        <v>77</v>
      </c>
      <c r="AQ333" t="s" s="0">
        <v>368</v>
      </c>
      <c r="AR333" t="s" s="0">
        <v>369</v>
      </c>
      <c r="AS333" t="s" s="0">
        <v>370</v>
      </c>
      <c r="AT333" t="s" s="0">
        <v>81</v>
      </c>
      <c r="AU333" t="s" s="0">
        <v>6014</v>
      </c>
      <c r="AV333" t="s" s="0">
        <v>81</v>
      </c>
      <c r="AW333" t="s" s="0">
        <v>6015</v>
      </c>
      <c r="AX333" t="s" s="0">
        <v>6016</v>
      </c>
      <c r="AY333" t="s" s="0">
        <v>1763</v>
      </c>
      <c r="AZ333" t="s" s="0">
        <v>290</v>
      </c>
      <c r="BA333" t="s" s="0">
        <v>234</v>
      </c>
      <c r="BB333" t="s" s="0">
        <v>81</v>
      </c>
      <c r="BC333" t="s" s="0">
        <v>81</v>
      </c>
      <c r="BD333" t="s" s="0">
        <v>81</v>
      </c>
      <c r="BE333" t="s" s="0">
        <v>81</v>
      </c>
      <c r="BF333" t="s" s="0">
        <v>81</v>
      </c>
      <c r="BG333" t="s" s="0">
        <v>81</v>
      </c>
      <c r="BH333" t="s" s="0">
        <v>81</v>
      </c>
      <c r="BI333" t="s" s="0">
        <v>7718</v>
      </c>
      <c r="BJ333" t="s" s="0">
        <v>7719</v>
      </c>
      <c r="BK333" t="s" s="660">
        <f>HYPERLINK("http://dx.doi.org/10.3389/fcomp.2025.1633916","http://dx.doi.org/10.3389/fcomp.2025.1633916")</f>
        <v>7720</v>
      </c>
      <c r="BL333" t="s" s="0">
        <v>81</v>
      </c>
      <c r="BM333" t="s" s="0">
        <v>81</v>
      </c>
      <c r="BN333" t="s" s="0">
        <v>925</v>
      </c>
      <c r="BO333" t="s" s="0">
        <v>1493</v>
      </c>
      <c r="BP333" t="s" s="0">
        <v>152</v>
      </c>
      <c r="BQ333" t="s" s="0">
        <v>7721</v>
      </c>
      <c r="BR333" t="s" s="0">
        <v>81</v>
      </c>
      <c r="BS333" t="s" s="0">
        <v>7722</v>
      </c>
      <c r="BT333" t="s" s="661">
        <f>HYPERLINK("https://www.webofscience.com/wos/woscc/full-record/WOS:001555632700001","View Record in Web of Science")</f>
        <v>114</v>
      </c>
      <c r="BU333" t="s" s="0">
        <v>301</v>
      </c>
      <c r="BV333" t="s" s="0">
        <v>81</v>
      </c>
      <c r="BW333" t="s" s="0">
        <v>81</v>
      </c>
      <c r="BX333" t="s" s="0">
        <v>116</v>
      </c>
    </row>
    <row r="334">
      <c r="A334" t="s" s="0">
        <v>77</v>
      </c>
      <c r="B334" t="s" s="0">
        <v>77</v>
      </c>
      <c r="C334" t="s" s="0">
        <v>77</v>
      </c>
      <c r="D334" t="s" s="0">
        <v>77</v>
      </c>
      <c r="E334" t="s" s="0">
        <v>7723</v>
      </c>
      <c r="F334" t="s" s="0">
        <v>7724</v>
      </c>
      <c r="G334" t="s" s="0">
        <v>7725</v>
      </c>
      <c r="H334" t="s" s="0">
        <v>81</v>
      </c>
      <c r="I334" t="s" s="0">
        <v>82</v>
      </c>
      <c r="J334" t="s" s="0">
        <v>7726</v>
      </c>
      <c r="K334" t="s" s="0">
        <v>7727</v>
      </c>
      <c r="L334" t="s" s="0">
        <v>7728</v>
      </c>
      <c r="M334" t="s" s="0">
        <v>7728</v>
      </c>
      <c r="N334" t="s" s="0">
        <v>7729</v>
      </c>
      <c r="O334" t="s" s="0">
        <v>7730</v>
      </c>
      <c r="P334" t="s" s="0">
        <v>7731</v>
      </c>
      <c r="Q334" t="s" s="0">
        <v>87</v>
      </c>
      <c r="R334" t="s" s="0">
        <v>81</v>
      </c>
      <c r="S334" t="s" s="0">
        <v>81</v>
      </c>
      <c r="T334" t="s" s="0">
        <v>81</v>
      </c>
      <c r="U334" t="s" s="0">
        <v>81</v>
      </c>
      <c r="V334" t="s" s="0">
        <v>7732</v>
      </c>
      <c r="W334" t="s" s="0">
        <v>7733</v>
      </c>
      <c r="X334" t="s" s="0">
        <v>81</v>
      </c>
      <c r="Y334" t="s" s="0">
        <v>81</v>
      </c>
      <c r="Z334" t="s" s="0">
        <v>90</v>
      </c>
      <c r="AA334" t="s" s="0">
        <v>91</v>
      </c>
      <c r="AB334" t="s" s="0">
        <v>81</v>
      </c>
      <c r="AC334" t="s" s="0">
        <v>81</v>
      </c>
      <c r="AD334" t="s" s="0">
        <v>81</v>
      </c>
      <c r="AE334" t="s" s="0">
        <v>81</v>
      </c>
      <c r="AF334" t="s" s="0">
        <v>81</v>
      </c>
      <c r="AG334" t="s" s="0">
        <v>7734</v>
      </c>
      <c r="AH334" t="s" s="0">
        <v>7735</v>
      </c>
      <c r="AI334" t="s" s="0">
        <v>7736</v>
      </c>
      <c r="AJ334" t="s" s="0">
        <v>7737</v>
      </c>
      <c r="AK334" t="s" s="0">
        <v>81</v>
      </c>
      <c r="AL334" t="s" s="0">
        <v>1049</v>
      </c>
      <c r="AM334" t="s" s="0">
        <v>175</v>
      </c>
      <c r="AN334" t="s" s="0">
        <v>133</v>
      </c>
      <c r="AO334" t="s" s="0">
        <v>77</v>
      </c>
      <c r="AP334" t="s" s="0">
        <v>77</v>
      </c>
      <c r="AQ334" t="s" s="0">
        <v>368</v>
      </c>
      <c r="AR334" t="s" s="0">
        <v>369</v>
      </c>
      <c r="AS334" t="s" s="0">
        <v>370</v>
      </c>
      <c r="AT334" t="s" s="0">
        <v>81</v>
      </c>
      <c r="AU334" t="s" s="0">
        <v>7738</v>
      </c>
      <c r="AV334" t="s" s="0">
        <v>81</v>
      </c>
      <c r="AW334" t="s" s="0">
        <v>7739</v>
      </c>
      <c r="AX334" t="s" s="0">
        <v>7740</v>
      </c>
      <c r="AY334" t="s" s="0">
        <v>7741</v>
      </c>
      <c r="AZ334" t="s" s="0">
        <v>290</v>
      </c>
      <c r="BA334" t="s" s="0">
        <v>925</v>
      </c>
      <c r="BB334" t="s" s="0">
        <v>81</v>
      </c>
      <c r="BC334" t="s" s="0">
        <v>81</v>
      </c>
      <c r="BD334" t="s" s="0">
        <v>81</v>
      </c>
      <c r="BE334" t="s" s="0">
        <v>81</v>
      </c>
      <c r="BF334" t="s" s="0">
        <v>81</v>
      </c>
      <c r="BG334" t="s" s="0">
        <v>81</v>
      </c>
      <c r="BH334" t="s" s="0">
        <v>81</v>
      </c>
      <c r="BI334" t="s" s="0">
        <v>7742</v>
      </c>
      <c r="BJ334" t="s" s="0">
        <v>7743</v>
      </c>
      <c r="BK334" t="s" s="662">
        <f>HYPERLINK("http://dx.doi.org/10.3389/fphar.2025.1654681","http://dx.doi.org/10.3389/fphar.2025.1654681")</f>
        <v>7744</v>
      </c>
      <c r="BL334" t="s" s="0">
        <v>81</v>
      </c>
      <c r="BM334" t="s" s="0">
        <v>81</v>
      </c>
      <c r="BN334" t="s" s="0">
        <v>109</v>
      </c>
      <c r="BO334" t="s" s="0">
        <v>973</v>
      </c>
      <c r="BP334" t="s" s="0">
        <v>973</v>
      </c>
      <c r="BQ334" t="s" s="0">
        <v>7745</v>
      </c>
      <c r="BR334" t="s" s="0">
        <v>7746</v>
      </c>
      <c r="BS334" t="s" s="0">
        <v>7747</v>
      </c>
      <c r="BT334" t="s" s="663">
        <f>HYPERLINK("https://www.webofscience.com/wos/woscc/full-record/WOS:001648759800001","View Record in Web of Science")</f>
        <v>114</v>
      </c>
      <c r="BU334" t="s" s="0">
        <v>6488</v>
      </c>
      <c r="BV334" t="s" s="0">
        <v>81</v>
      </c>
      <c r="BW334" t="s" s="0">
        <v>81</v>
      </c>
      <c r="BX334" t="s" s="0">
        <v>116</v>
      </c>
    </row>
    <row r="335">
      <c r="A335" t="s" s="0">
        <v>77</v>
      </c>
      <c r="B335" t="s" s="0">
        <v>77</v>
      </c>
      <c r="C335" t="s" s="0">
        <v>77</v>
      </c>
      <c r="D335" t="s" s="0">
        <v>77</v>
      </c>
      <c r="E335" t="s" s="0">
        <v>7748</v>
      </c>
      <c r="F335" t="s" s="0">
        <v>7749</v>
      </c>
      <c r="G335" t="s" s="0">
        <v>7750</v>
      </c>
      <c r="H335" t="s" s="0">
        <v>81</v>
      </c>
      <c r="I335" t="s" s="0">
        <v>528</v>
      </c>
      <c r="J335" t="s" s="0">
        <v>7751</v>
      </c>
      <c r="K335" t="s" s="0">
        <v>7752</v>
      </c>
      <c r="L335" t="s" s="0">
        <v>81</v>
      </c>
      <c r="M335" t="s" s="0">
        <v>81</v>
      </c>
      <c r="N335" t="s" s="0">
        <v>81</v>
      </c>
      <c r="O335" t="s" s="0">
        <v>7753</v>
      </c>
      <c r="P335" t="s" s="0">
        <v>7754</v>
      </c>
      <c r="Q335" t="s" s="0">
        <v>87</v>
      </c>
      <c r="R335" t="s" s="0">
        <v>81</v>
      </c>
      <c r="S335" t="s" s="0">
        <v>81</v>
      </c>
      <c r="T335" t="s" s="0">
        <v>81</v>
      </c>
      <c r="U335" t="s" s="0">
        <v>81</v>
      </c>
      <c r="V335" t="s" s="0">
        <v>7755</v>
      </c>
      <c r="W335" t="s" s="0">
        <v>7756</v>
      </c>
      <c r="X335" t="s" s="0">
        <v>81</v>
      </c>
      <c r="Y335" t="s" s="0">
        <v>81</v>
      </c>
      <c r="Z335" t="s" s="0">
        <v>90</v>
      </c>
      <c r="AA335" t="s" s="0">
        <v>91</v>
      </c>
      <c r="AB335" t="s" s="0">
        <v>81</v>
      </c>
      <c r="AC335" t="s" s="0">
        <v>81</v>
      </c>
      <c r="AD335" t="s" s="0">
        <v>81</v>
      </c>
      <c r="AE335" t="s" s="0">
        <v>81</v>
      </c>
      <c r="AF335" t="s" s="0">
        <v>81</v>
      </c>
      <c r="AG335" t="s" s="0">
        <v>7757</v>
      </c>
      <c r="AH335" t="s" s="0">
        <v>7758</v>
      </c>
      <c r="AI335" t="s" s="0">
        <v>7759</v>
      </c>
      <c r="AJ335" t="s" s="0">
        <v>81</v>
      </c>
      <c r="AK335" t="s" s="0">
        <v>81</v>
      </c>
      <c r="AL335" t="s" s="0">
        <v>5527</v>
      </c>
      <c r="AM335" t="s" s="0">
        <v>175</v>
      </c>
      <c r="AN335" t="s" s="0">
        <v>133</v>
      </c>
      <c r="AO335" t="s" s="0">
        <v>252</v>
      </c>
      <c r="AP335" t="s" s="0">
        <v>3425</v>
      </c>
      <c r="AQ335" t="s" s="0">
        <v>136</v>
      </c>
      <c r="AR335" t="s" s="0">
        <v>137</v>
      </c>
      <c r="AS335" t="s" s="0">
        <v>138</v>
      </c>
      <c r="AT335" t="s" s="0">
        <v>7760</v>
      </c>
      <c r="AU335" t="s" s="0">
        <v>7761</v>
      </c>
      <c r="AV335" t="s" s="0">
        <v>81</v>
      </c>
      <c r="AW335" t="s" s="0">
        <v>7756</v>
      </c>
      <c r="AX335" t="s" s="0">
        <v>7762</v>
      </c>
      <c r="AY335" t="s" s="0">
        <v>578</v>
      </c>
      <c r="AZ335" t="s" s="0">
        <v>290</v>
      </c>
      <c r="BA335" t="s" s="0">
        <v>7254</v>
      </c>
      <c r="BB335" t="s" s="0">
        <v>81</v>
      </c>
      <c r="BC335" t="s" s="0">
        <v>81</v>
      </c>
      <c r="BD335" t="s" s="0">
        <v>81</v>
      </c>
      <c r="BE335" t="s" s="0">
        <v>81</v>
      </c>
      <c r="BF335" t="s" s="0">
        <v>81</v>
      </c>
      <c r="BG335" t="s" s="0">
        <v>81</v>
      </c>
      <c r="BH335" t="s" s="0">
        <v>81</v>
      </c>
      <c r="BI335" t="s" s="0">
        <v>7763</v>
      </c>
      <c r="BJ335" t="s" s="0">
        <v>7764</v>
      </c>
      <c r="BK335" t="s" s="664">
        <f>HYPERLINK("http://dx.doi.org/10.1016/j.technovation.2025.103315","http://dx.doi.org/10.1016/j.technovation.2025.103315")</f>
        <v>7765</v>
      </c>
      <c r="BL335" t="s" s="0">
        <v>81</v>
      </c>
      <c r="BM335" t="s" s="0">
        <v>578</v>
      </c>
      <c r="BN335" t="s" s="0">
        <v>291</v>
      </c>
      <c r="BO335" t="s" s="0">
        <v>7766</v>
      </c>
      <c r="BP335" t="s" s="0">
        <v>7767</v>
      </c>
      <c r="BQ335" t="s" s="0">
        <v>7768</v>
      </c>
      <c r="BR335" t="s" s="0">
        <v>81</v>
      </c>
      <c r="BS335" t="s" s="0">
        <v>7769</v>
      </c>
      <c r="BT335" t="s" s="665">
        <f>HYPERLINK("https://www.webofscience.com/wos/woscc/full-record/WOS:001534153000001","View Record in Web of Science")</f>
        <v>114</v>
      </c>
      <c r="BU335" t="s" s="0">
        <v>81</v>
      </c>
      <c r="BV335" t="s" s="0">
        <v>81</v>
      </c>
      <c r="BW335" t="s" s="0">
        <v>81</v>
      </c>
      <c r="BX335" t="s" s="0">
        <v>116</v>
      </c>
    </row>
    <row r="336">
      <c r="A336" t="s" s="0">
        <v>156</v>
      </c>
      <c r="B336" t="s" s="0">
        <v>77</v>
      </c>
      <c r="C336" t="s" s="0">
        <v>381</v>
      </c>
      <c r="D336" t="s" s="0">
        <v>77</v>
      </c>
      <c r="E336" t="s" s="0">
        <v>7770</v>
      </c>
      <c r="F336" t="s" s="0">
        <v>7771</v>
      </c>
      <c r="G336" t="s" s="0">
        <v>7772</v>
      </c>
      <c r="H336" t="s" s="0">
        <v>81</v>
      </c>
      <c r="I336" t="s" s="0">
        <v>528</v>
      </c>
      <c r="J336" t="s" s="0">
        <v>7773</v>
      </c>
      <c r="K336" t="s" s="0">
        <v>7774</v>
      </c>
      <c r="L336" t="s" s="0">
        <v>81</v>
      </c>
      <c r="M336" t="s" s="0">
        <v>81</v>
      </c>
      <c r="N336" t="s" s="0">
        <v>81</v>
      </c>
      <c r="O336" t="s" s="0">
        <v>7775</v>
      </c>
      <c r="P336" t="s" s="0">
        <v>7776</v>
      </c>
      <c r="Q336" t="s" s="0">
        <v>87</v>
      </c>
      <c r="R336" t="s" s="0">
        <v>81</v>
      </c>
      <c r="S336" t="s" s="0">
        <v>81</v>
      </c>
      <c r="T336" t="s" s="0">
        <v>81</v>
      </c>
      <c r="U336" t="s" s="0">
        <v>81</v>
      </c>
      <c r="V336" t="s" s="0">
        <v>7777</v>
      </c>
      <c r="W336" t="s" s="0">
        <v>660</v>
      </c>
      <c r="X336" t="s" s="0">
        <v>81</v>
      </c>
      <c r="Y336" t="s" s="0">
        <v>81</v>
      </c>
      <c r="Z336" t="s" s="0">
        <v>90</v>
      </c>
      <c r="AA336" t="s" s="0">
        <v>91</v>
      </c>
      <c r="AB336" t="s" s="0">
        <v>81</v>
      </c>
      <c r="AC336" t="s" s="0">
        <v>81</v>
      </c>
      <c r="AD336" t="s" s="0">
        <v>81</v>
      </c>
      <c r="AE336" t="s" s="0">
        <v>81</v>
      </c>
      <c r="AF336" t="s" s="0">
        <v>81</v>
      </c>
      <c r="AG336" t="s" s="0">
        <v>7778</v>
      </c>
      <c r="AH336" t="s" s="0">
        <v>7779</v>
      </c>
      <c r="AI336" t="s" s="0">
        <v>7780</v>
      </c>
      <c r="AJ336" t="s" s="0">
        <v>7781</v>
      </c>
      <c r="AK336" t="s" s="0">
        <v>81</v>
      </c>
      <c r="AL336" t="s" s="0">
        <v>344</v>
      </c>
      <c r="AM336" t="s" s="0">
        <v>914</v>
      </c>
      <c r="AN336" t="s" s="0">
        <v>1837</v>
      </c>
      <c r="AO336" t="s" s="0">
        <v>1635</v>
      </c>
      <c r="AP336" t="s" s="0">
        <v>697</v>
      </c>
      <c r="AQ336" t="s" s="0">
        <v>665</v>
      </c>
      <c r="AR336" t="s" s="0">
        <v>546</v>
      </c>
      <c r="AS336" t="s" s="0">
        <v>666</v>
      </c>
      <c r="AT336" t="s" s="0">
        <v>667</v>
      </c>
      <c r="AU336" t="s" s="0">
        <v>81</v>
      </c>
      <c r="AV336" t="s" s="0">
        <v>81</v>
      </c>
      <c r="AW336" t="s" s="0">
        <v>668</v>
      </c>
      <c r="AX336" t="s" s="0">
        <v>669</v>
      </c>
      <c r="AY336" t="s" s="0">
        <v>7782</v>
      </c>
      <c r="AZ336" t="s" s="0">
        <v>290</v>
      </c>
      <c r="BA336" t="s" s="0">
        <v>228</v>
      </c>
      <c r="BB336" t="s" s="0">
        <v>97</v>
      </c>
      <c r="BC336" t="s" s="0">
        <v>81</v>
      </c>
      <c r="BD336" t="s" s="0">
        <v>81</v>
      </c>
      <c r="BE336" t="s" s="0">
        <v>81</v>
      </c>
      <c r="BF336" t="s" s="0">
        <v>81</v>
      </c>
      <c r="BG336" t="s" s="0">
        <v>81</v>
      </c>
      <c r="BH336" t="s" s="0">
        <v>81</v>
      </c>
      <c r="BI336" t="s" s="0">
        <v>1398</v>
      </c>
      <c r="BJ336" t="s" s="0">
        <v>7783</v>
      </c>
      <c r="BK336" t="s" s="666">
        <f>HYPERLINK("http://dx.doi.org/10.1186/s12910-025-01243-z","http://dx.doi.org/10.1186/s12910-025-01243-z")</f>
        <v>7784</v>
      </c>
      <c r="BL336" t="s" s="0">
        <v>81</v>
      </c>
      <c r="BM336" t="s" s="0">
        <v>81</v>
      </c>
      <c r="BN336" t="s" s="0">
        <v>191</v>
      </c>
      <c r="BO336" t="s" s="0">
        <v>676</v>
      </c>
      <c r="BP336" t="s" s="0">
        <v>677</v>
      </c>
      <c r="BQ336" t="s" s="0">
        <v>7785</v>
      </c>
      <c r="BR336" t="s" s="0">
        <v>7786</v>
      </c>
      <c r="BS336" t="s" s="0">
        <v>7787</v>
      </c>
      <c r="BT336" t="s" s="667">
        <f>HYPERLINK("https://www.webofscience.com/wos/woscc/full-record/WOS:001524669100001","View Record in Web of Science")</f>
        <v>114</v>
      </c>
      <c r="BU336" t="s" s="0">
        <v>6488</v>
      </c>
      <c r="BV336" t="s" s="0">
        <v>2886</v>
      </c>
      <c r="BW336" t="s" s="0">
        <v>2887</v>
      </c>
      <c r="BX336" t="s" s="0">
        <v>116</v>
      </c>
    </row>
    <row r="337">
      <c r="A337" t="s" s="0">
        <v>77</v>
      </c>
      <c r="B337" t="s" s="0">
        <v>77</v>
      </c>
      <c r="C337" t="s" s="0">
        <v>97</v>
      </c>
      <c r="D337" t="s" s="0">
        <v>77</v>
      </c>
      <c r="E337" t="s" s="0">
        <v>7788</v>
      </c>
      <c r="F337" t="s" s="0">
        <v>7789</v>
      </c>
      <c r="G337" t="s" s="0">
        <v>7790</v>
      </c>
      <c r="H337" t="s" s="0">
        <v>81</v>
      </c>
      <c r="I337" t="s" s="0">
        <v>82</v>
      </c>
      <c r="J337" t="s" s="0">
        <v>7791</v>
      </c>
      <c r="K337" t="s" s="0">
        <v>7792</v>
      </c>
      <c r="L337" t="s" s="0">
        <v>81</v>
      </c>
      <c r="M337" t="s" s="0">
        <v>81</v>
      </c>
      <c r="N337" t="s" s="0">
        <v>81</v>
      </c>
      <c r="O337" t="s" s="0">
        <v>7793</v>
      </c>
      <c r="P337" t="s" s="0">
        <v>6162</v>
      </c>
      <c r="Q337" t="s" s="0">
        <v>87</v>
      </c>
      <c r="R337" t="s" s="0">
        <v>81</v>
      </c>
      <c r="S337" t="s" s="0">
        <v>81</v>
      </c>
      <c r="T337" t="s" s="0">
        <v>81</v>
      </c>
      <c r="U337" t="s" s="0">
        <v>81</v>
      </c>
      <c r="V337" t="s" s="0">
        <v>7794</v>
      </c>
      <c r="W337" t="s" s="0">
        <v>4668</v>
      </c>
      <c r="X337" t="s" s="0">
        <v>81</v>
      </c>
      <c r="Y337" t="s" s="0">
        <v>81</v>
      </c>
      <c r="Z337" t="s" s="0">
        <v>90</v>
      </c>
      <c r="AA337" t="s" s="0">
        <v>91</v>
      </c>
      <c r="AB337" t="s" s="0">
        <v>81</v>
      </c>
      <c r="AC337" t="s" s="0">
        <v>81</v>
      </c>
      <c r="AD337" t="s" s="0">
        <v>81</v>
      </c>
      <c r="AE337" t="s" s="0">
        <v>81</v>
      </c>
      <c r="AF337" t="s" s="0">
        <v>81</v>
      </c>
      <c r="AG337" t="s" s="0">
        <v>7795</v>
      </c>
      <c r="AH337" t="s" s="0">
        <v>7796</v>
      </c>
      <c r="AI337" t="s" s="0">
        <v>7797</v>
      </c>
      <c r="AJ337" t="s" s="0">
        <v>7798</v>
      </c>
      <c r="AK337" t="s" s="0">
        <v>81</v>
      </c>
      <c r="AL337" t="s" s="0">
        <v>1049</v>
      </c>
      <c r="AM337" t="s" s="0">
        <v>196</v>
      </c>
      <c r="AN337" t="s" s="0">
        <v>196</v>
      </c>
      <c r="AO337" t="s" s="0">
        <v>97</v>
      </c>
      <c r="AP337" t="s" s="0">
        <v>261</v>
      </c>
      <c r="AQ337" t="s" s="0">
        <v>177</v>
      </c>
      <c r="AR337" t="s" s="0">
        <v>178</v>
      </c>
      <c r="AS337" t="s" s="0">
        <v>179</v>
      </c>
      <c r="AT337" t="s" s="0">
        <v>4673</v>
      </c>
      <c r="AU337" t="s" s="0">
        <v>4674</v>
      </c>
      <c r="AV337" t="s" s="0">
        <v>81</v>
      </c>
      <c r="AW337" t="s" s="0">
        <v>4675</v>
      </c>
      <c r="AX337" t="s" s="0">
        <v>4676</v>
      </c>
      <c r="AY337" t="s" s="0">
        <v>2502</v>
      </c>
      <c r="AZ337" t="s" s="0">
        <v>290</v>
      </c>
      <c r="BA337" t="s" s="0">
        <v>7799</v>
      </c>
      <c r="BB337" t="s" s="0">
        <v>81</v>
      </c>
      <c r="BC337" t="s" s="0">
        <v>81</v>
      </c>
      <c r="BD337" t="s" s="0">
        <v>81</v>
      </c>
      <c r="BE337" t="s" s="0">
        <v>81</v>
      </c>
      <c r="BF337" t="s" s="0">
        <v>81</v>
      </c>
      <c r="BG337" t="s" s="0">
        <v>81</v>
      </c>
      <c r="BH337" t="s" s="0">
        <v>81</v>
      </c>
      <c r="BI337" t="s" s="0">
        <v>7800</v>
      </c>
      <c r="BJ337" t="s" s="0">
        <v>7801</v>
      </c>
      <c r="BK337" t="s" s="668">
        <f>HYPERLINK("http://dx.doi.org/10.1016/j.compbiolchem.2024.108333","http://dx.doi.org/10.1016/j.compbiolchem.2024.108333")</f>
        <v>7802</v>
      </c>
      <c r="BL337" t="s" s="0">
        <v>81</v>
      </c>
      <c r="BM337" t="s" s="0">
        <v>1029</v>
      </c>
      <c r="BN337" t="s" s="0">
        <v>211</v>
      </c>
      <c r="BO337" t="s" s="0">
        <v>4680</v>
      </c>
      <c r="BP337" t="s" s="0">
        <v>4681</v>
      </c>
      <c r="BQ337" t="s" s="0">
        <v>7803</v>
      </c>
      <c r="BR337" t="s" s="0">
        <v>7804</v>
      </c>
      <c r="BS337" t="s" s="0">
        <v>7805</v>
      </c>
      <c r="BT337" t="s" s="669">
        <f>HYPERLINK("https://www.webofscience.com/wos/woscc/full-record/WOS:001412437500001","View Record in Web of Science")</f>
        <v>114</v>
      </c>
      <c r="BU337" t="s" s="0">
        <v>81</v>
      </c>
      <c r="BV337" t="s" s="0">
        <v>81</v>
      </c>
      <c r="BW337" t="s" s="0">
        <v>81</v>
      </c>
      <c r="BX337" t="s" s="0">
        <v>116</v>
      </c>
    </row>
    <row r="338">
      <c r="A338" t="s" s="0">
        <v>77</v>
      </c>
      <c r="B338" t="s" s="0">
        <v>77</v>
      </c>
      <c r="C338" t="s" s="0">
        <v>77</v>
      </c>
      <c r="D338" t="s" s="0">
        <v>77</v>
      </c>
      <c r="E338" t="s" s="0">
        <v>7806</v>
      </c>
      <c r="F338" t="s" s="0">
        <v>7807</v>
      </c>
      <c r="G338" t="s" s="0">
        <v>7808</v>
      </c>
      <c r="H338" t="s" s="0">
        <v>81</v>
      </c>
      <c r="I338" t="s" s="0">
        <v>82</v>
      </c>
      <c r="J338" t="s" s="0">
        <v>7809</v>
      </c>
      <c r="K338" t="s" s="0">
        <v>7810</v>
      </c>
      <c r="L338" t="s" s="0">
        <v>7811</v>
      </c>
      <c r="M338" t="s" s="0">
        <v>7811</v>
      </c>
      <c r="N338" t="s" s="0">
        <v>7812</v>
      </c>
      <c r="O338" t="s" s="0">
        <v>7813</v>
      </c>
      <c r="P338" t="s" s="0">
        <v>7814</v>
      </c>
      <c r="Q338" t="s" s="0">
        <v>87</v>
      </c>
      <c r="R338" t="s" s="0">
        <v>81</v>
      </c>
      <c r="S338" t="s" s="0">
        <v>81</v>
      </c>
      <c r="T338" t="s" s="0">
        <v>81</v>
      </c>
      <c r="U338" t="s" s="0">
        <v>81</v>
      </c>
      <c r="V338" t="s" s="0">
        <v>7815</v>
      </c>
      <c r="W338" t="s" s="0">
        <v>7816</v>
      </c>
      <c r="X338" t="s" s="0">
        <v>81</v>
      </c>
      <c r="Y338" t="s" s="0">
        <v>81</v>
      </c>
      <c r="Z338" t="s" s="0">
        <v>90</v>
      </c>
      <c r="AA338" t="s" s="0">
        <v>91</v>
      </c>
      <c r="AB338" t="s" s="0">
        <v>81</v>
      </c>
      <c r="AC338" t="s" s="0">
        <v>81</v>
      </c>
      <c r="AD338" t="s" s="0">
        <v>81</v>
      </c>
      <c r="AE338" t="s" s="0">
        <v>81</v>
      </c>
      <c r="AF338" t="s" s="0">
        <v>81</v>
      </c>
      <c r="AG338" t="s" s="0">
        <v>7817</v>
      </c>
      <c r="AH338" t="s" s="0">
        <v>7818</v>
      </c>
      <c r="AI338" t="s" s="0">
        <v>7819</v>
      </c>
      <c r="AJ338" t="s" s="0">
        <v>81</v>
      </c>
      <c r="AK338" t="s" s="0">
        <v>81</v>
      </c>
      <c r="AL338" t="s" s="0">
        <v>1635</v>
      </c>
      <c r="AM338" t="s" s="0">
        <v>77</v>
      </c>
      <c r="AN338" t="s" s="0">
        <v>77</v>
      </c>
      <c r="AO338" t="s" s="0">
        <v>77</v>
      </c>
      <c r="AP338" t="s" s="0">
        <v>77</v>
      </c>
      <c r="AQ338" t="s" s="0">
        <v>726</v>
      </c>
      <c r="AR338" t="s" s="0">
        <v>727</v>
      </c>
      <c r="AS338" t="s" s="0">
        <v>728</v>
      </c>
      <c r="AT338" t="s" s="0">
        <v>7820</v>
      </c>
      <c r="AU338" t="s" s="0">
        <v>7821</v>
      </c>
      <c r="AV338" t="s" s="0">
        <v>81</v>
      </c>
      <c r="AW338" t="s" s="0">
        <v>7822</v>
      </c>
      <c r="AX338" t="s" s="0">
        <v>7823</v>
      </c>
      <c r="AY338" t="s" s="0">
        <v>1743</v>
      </c>
      <c r="AZ338" t="s" s="0">
        <v>290</v>
      </c>
      <c r="BA338" t="s" s="0">
        <v>671</v>
      </c>
      <c r="BB338" t="s" s="0">
        <v>191</v>
      </c>
      <c r="BC338" t="s" s="0">
        <v>81</v>
      </c>
      <c r="BD338" t="s" s="0">
        <v>81</v>
      </c>
      <c r="BE338" t="s" s="0">
        <v>81</v>
      </c>
      <c r="BF338" t="s" s="0">
        <v>81</v>
      </c>
      <c r="BG338" t="s" s="0">
        <v>7824</v>
      </c>
      <c r="BH338" t="s" s="0">
        <v>7825</v>
      </c>
      <c r="BI338" t="s" s="0">
        <v>81</v>
      </c>
      <c r="BJ338" t="s" s="0">
        <v>7826</v>
      </c>
      <c r="BK338" t="s" s="670">
        <f>HYPERLINK("http://dx.doi.org/10.1111/dom.70058","http://dx.doi.org/10.1111/dom.70058")</f>
        <v>7827</v>
      </c>
      <c r="BL338" t="s" s="0">
        <v>81</v>
      </c>
      <c r="BM338" t="s" s="0">
        <v>1869</v>
      </c>
      <c r="BN338" t="s" s="0">
        <v>211</v>
      </c>
      <c r="BO338" t="s" s="0">
        <v>6302</v>
      </c>
      <c r="BP338" t="s" s="0">
        <v>6302</v>
      </c>
      <c r="BQ338" t="s" s="0">
        <v>7828</v>
      </c>
      <c r="BR338" t="s" s="0">
        <v>7829</v>
      </c>
      <c r="BS338" t="s" s="0">
        <v>7830</v>
      </c>
      <c r="BT338" t="s" s="671">
        <f>HYPERLINK("https://www.webofscience.com/wos/woscc/full-record/WOS:001562159100001","View Record in Web of Science")</f>
        <v>114</v>
      </c>
      <c r="BU338" t="s" s="0">
        <v>155</v>
      </c>
      <c r="BV338" t="s" s="0">
        <v>81</v>
      </c>
      <c r="BW338" t="s" s="0">
        <v>81</v>
      </c>
      <c r="BX338" t="s" s="0">
        <v>116</v>
      </c>
    </row>
    <row r="339">
      <c r="A339" t="s" s="0">
        <v>97</v>
      </c>
      <c r="B339" t="s" s="0">
        <v>77</v>
      </c>
      <c r="C339" t="s" s="0">
        <v>134</v>
      </c>
      <c r="D339" t="s" s="0">
        <v>77</v>
      </c>
      <c r="E339" t="s" s="0">
        <v>7831</v>
      </c>
      <c r="F339" t="s" s="0">
        <v>7832</v>
      </c>
      <c r="G339" t="s" s="0">
        <v>7833</v>
      </c>
      <c r="H339" t="s" s="0">
        <v>81</v>
      </c>
      <c r="I339" t="s" s="0">
        <v>528</v>
      </c>
      <c r="J339" t="s" s="0">
        <v>7834</v>
      </c>
      <c r="K339" t="s" s="0">
        <v>7835</v>
      </c>
      <c r="L339" t="s" s="0">
        <v>7836</v>
      </c>
      <c r="M339" t="s" s="0">
        <v>7837</v>
      </c>
      <c r="N339" t="s" s="0">
        <v>7838</v>
      </c>
      <c r="O339" t="s" s="0">
        <v>7839</v>
      </c>
      <c r="P339" t="s" s="0">
        <v>7840</v>
      </c>
      <c r="Q339" t="s" s="0">
        <v>87</v>
      </c>
      <c r="R339" t="s" s="0">
        <v>81</v>
      </c>
      <c r="S339" t="s" s="0">
        <v>81</v>
      </c>
      <c r="T339" t="s" s="0">
        <v>81</v>
      </c>
      <c r="U339" t="s" s="0">
        <v>81</v>
      </c>
      <c r="V339" t="s" s="0">
        <v>7841</v>
      </c>
      <c r="W339" t="s" s="0">
        <v>7842</v>
      </c>
      <c r="X339" t="s" s="0">
        <v>81</v>
      </c>
      <c r="Y339" t="s" s="0">
        <v>81</v>
      </c>
      <c r="Z339" t="s" s="0">
        <v>90</v>
      </c>
      <c r="AA339" t="s" s="0">
        <v>91</v>
      </c>
      <c r="AB339" t="s" s="0">
        <v>81</v>
      </c>
      <c r="AC339" t="s" s="0">
        <v>81</v>
      </c>
      <c r="AD339" t="s" s="0">
        <v>81</v>
      </c>
      <c r="AE339" t="s" s="0">
        <v>81</v>
      </c>
      <c r="AF339" t="s" s="0">
        <v>81</v>
      </c>
      <c r="AG339" t="s" s="0">
        <v>7843</v>
      </c>
      <c r="AH339" t="s" s="0">
        <v>7844</v>
      </c>
      <c r="AI339" t="s" s="0">
        <v>81</v>
      </c>
      <c r="AJ339" t="s" s="0">
        <v>7845</v>
      </c>
      <c r="AK339" t="s" s="0">
        <v>81</v>
      </c>
      <c r="AL339" t="s" s="0">
        <v>1635</v>
      </c>
      <c r="AM339" t="s" s="0">
        <v>542</v>
      </c>
      <c r="AN339" t="s" s="0">
        <v>2447</v>
      </c>
      <c r="AO339" t="s" s="0">
        <v>156</v>
      </c>
      <c r="AP339" t="s" s="0">
        <v>3518</v>
      </c>
      <c r="AQ339" t="s" s="0">
        <v>284</v>
      </c>
      <c r="AR339" t="s" s="0">
        <v>285</v>
      </c>
      <c r="AS339" t="s" s="0">
        <v>286</v>
      </c>
      <c r="AT339" t="s" s="0">
        <v>81</v>
      </c>
      <c r="AU339" t="s" s="0">
        <v>7846</v>
      </c>
      <c r="AV339" t="s" s="0">
        <v>81</v>
      </c>
      <c r="AW339" t="s" s="0">
        <v>7842</v>
      </c>
      <c r="AX339" t="s" s="0">
        <v>7847</v>
      </c>
      <c r="AY339" t="s" s="0">
        <v>3740</v>
      </c>
      <c r="AZ339" t="s" s="0">
        <v>220</v>
      </c>
      <c r="BA339" t="s" s="0">
        <v>134</v>
      </c>
      <c r="BB339" t="s" s="0">
        <v>196</v>
      </c>
      <c r="BC339" t="s" s="0">
        <v>81</v>
      </c>
      <c r="BD339" t="s" s="0">
        <v>81</v>
      </c>
      <c r="BE339" t="s" s="0">
        <v>81</v>
      </c>
      <c r="BF339" t="s" s="0">
        <v>81</v>
      </c>
      <c r="BG339" t="s" s="0">
        <v>81</v>
      </c>
      <c r="BH339" t="s" s="0">
        <v>81</v>
      </c>
      <c r="BI339" t="s" s="0">
        <v>7700</v>
      </c>
      <c r="BJ339" t="s" s="0">
        <v>7848</v>
      </c>
      <c r="BK339" t="s" s="672">
        <f>HYPERLINK("http://dx.doi.org/10.3390/bios12030167","http://dx.doi.org/10.3390/bios12030167")</f>
        <v>7849</v>
      </c>
      <c r="BL339" t="s" s="0">
        <v>81</v>
      </c>
      <c r="BM339" t="s" s="0">
        <v>81</v>
      </c>
      <c r="BN339" t="s" s="0">
        <v>210</v>
      </c>
      <c r="BO339" t="s" s="0">
        <v>7850</v>
      </c>
      <c r="BP339" t="s" s="0">
        <v>7851</v>
      </c>
      <c r="BQ339" t="s" s="0">
        <v>7852</v>
      </c>
      <c r="BR339" t="s" s="0">
        <v>7853</v>
      </c>
      <c r="BS339" t="s" s="0">
        <v>7854</v>
      </c>
      <c r="BT339" t="s" s="673">
        <f>HYPERLINK("https://www.webofscience.com/wos/woscc/full-record/WOS:000776014800001","View Record in Web of Science")</f>
        <v>114</v>
      </c>
      <c r="BU339" t="s" s="0">
        <v>301</v>
      </c>
      <c r="BV339" t="s" s="0">
        <v>81</v>
      </c>
      <c r="BW339" t="s" s="0">
        <v>81</v>
      </c>
      <c r="BX339" t="s" s="0">
        <v>116</v>
      </c>
    </row>
    <row r="340">
      <c r="A340" t="s" s="0">
        <v>77</v>
      </c>
      <c r="B340" t="s" s="0">
        <v>77</v>
      </c>
      <c r="C340" t="s" s="0">
        <v>97</v>
      </c>
      <c r="D340" t="s" s="0">
        <v>77</v>
      </c>
      <c r="E340" t="s" s="0">
        <v>7855</v>
      </c>
      <c r="F340" t="s" s="0">
        <v>7856</v>
      </c>
      <c r="G340" t="s" s="0">
        <v>7857</v>
      </c>
      <c r="H340" t="s" s="0">
        <v>81</v>
      </c>
      <c r="I340" t="s" s="0">
        <v>238</v>
      </c>
      <c r="J340" t="s" s="0">
        <v>7858</v>
      </c>
      <c r="K340" t="s" s="0">
        <v>7859</v>
      </c>
      <c r="L340" t="s" s="0">
        <v>7860</v>
      </c>
      <c r="M340" t="s" s="0">
        <v>6794</v>
      </c>
      <c r="N340" t="s" s="0">
        <v>7861</v>
      </c>
      <c r="O340" t="s" s="0">
        <v>7862</v>
      </c>
      <c r="P340" t="s" s="0">
        <v>7863</v>
      </c>
      <c r="Q340" t="s" s="0">
        <v>87</v>
      </c>
      <c r="R340" t="s" s="0">
        <v>81</v>
      </c>
      <c r="S340" t="s" s="0">
        <v>81</v>
      </c>
      <c r="T340" t="s" s="0">
        <v>81</v>
      </c>
      <c r="U340" t="s" s="0">
        <v>81</v>
      </c>
      <c r="V340" t="s" s="0">
        <v>7864</v>
      </c>
      <c r="W340" t="s" s="0">
        <v>7865</v>
      </c>
      <c r="X340" t="s" s="0">
        <v>81</v>
      </c>
      <c r="Y340" t="s" s="0">
        <v>81</v>
      </c>
      <c r="Z340" t="s" s="0">
        <v>90</v>
      </c>
      <c r="AA340" t="s" s="0">
        <v>91</v>
      </c>
      <c r="AB340" t="s" s="0">
        <v>81</v>
      </c>
      <c r="AC340" t="s" s="0">
        <v>81</v>
      </c>
      <c r="AD340" t="s" s="0">
        <v>81</v>
      </c>
      <c r="AE340" t="s" s="0">
        <v>81</v>
      </c>
      <c r="AF340" t="s" s="0">
        <v>81</v>
      </c>
      <c r="AG340" t="s" s="0">
        <v>81</v>
      </c>
      <c r="AH340" t="s" s="0">
        <v>7866</v>
      </c>
      <c r="AI340" t="s" s="0">
        <v>7867</v>
      </c>
      <c r="AJ340" t="s" s="0">
        <v>7868</v>
      </c>
      <c r="AK340" t="s" s="0">
        <v>81</v>
      </c>
      <c r="AL340" t="s" s="0">
        <v>251</v>
      </c>
      <c r="AM340" t="s" s="0">
        <v>196</v>
      </c>
      <c r="AN340" t="s" s="0">
        <v>196</v>
      </c>
      <c r="AO340" t="s" s="0">
        <v>97</v>
      </c>
      <c r="AP340" t="s" s="0">
        <v>156</v>
      </c>
      <c r="AQ340" t="s" s="0">
        <v>1654</v>
      </c>
      <c r="AR340" t="s" s="0">
        <v>1345</v>
      </c>
      <c r="AS340" t="s" s="0">
        <v>1655</v>
      </c>
      <c r="AT340" t="s" s="0">
        <v>7869</v>
      </c>
      <c r="AU340" t="s" s="0">
        <v>81</v>
      </c>
      <c r="AV340" t="s" s="0">
        <v>81</v>
      </c>
      <c r="AW340" t="s" s="0">
        <v>7865</v>
      </c>
      <c r="AX340" t="s" s="0">
        <v>7870</v>
      </c>
      <c r="AY340" t="s" s="0">
        <v>578</v>
      </c>
      <c r="AZ340" t="s" s="0">
        <v>290</v>
      </c>
      <c r="BA340" t="s" s="0">
        <v>234</v>
      </c>
      <c r="BB340" t="s" s="0">
        <v>196</v>
      </c>
      <c r="BC340" t="s" s="0">
        <v>81</v>
      </c>
      <c r="BD340" t="s" s="0">
        <v>81</v>
      </c>
      <c r="BE340" t="s" s="0">
        <v>81</v>
      </c>
      <c r="BF340" t="s" s="0">
        <v>81</v>
      </c>
      <c r="BG340" t="s" s="0">
        <v>81</v>
      </c>
      <c r="BH340" t="s" s="0">
        <v>81</v>
      </c>
      <c r="BI340" t="s" s="0">
        <v>7871</v>
      </c>
      <c r="BJ340" t="s" s="0">
        <v>7872</v>
      </c>
      <c r="BK340" t="s" s="674">
        <f>HYPERLINK("http://dx.doi.org/10.1093/narcan/zcaf029","http://dx.doi.org/10.1093/narcan/zcaf029")</f>
        <v>7873</v>
      </c>
      <c r="BL340" t="s" s="0">
        <v>81</v>
      </c>
      <c r="BM340" t="s" s="0">
        <v>81</v>
      </c>
      <c r="BN340" t="s" s="0">
        <v>486</v>
      </c>
      <c r="BO340" t="s" s="0">
        <v>7874</v>
      </c>
      <c r="BP340" t="s" s="0">
        <v>7874</v>
      </c>
      <c r="BQ340" t="s" s="0">
        <v>7875</v>
      </c>
      <c r="BR340" t="s" s="0">
        <v>7876</v>
      </c>
      <c r="BS340" t="s" s="0">
        <v>7877</v>
      </c>
      <c r="BT340" t="s" s="675">
        <f>HYPERLINK("https://www.webofscience.com/wos/woscc/full-record/WOS:001565289700001","View Record in Web of Science")</f>
        <v>114</v>
      </c>
      <c r="BU340" t="s" s="0">
        <v>301</v>
      </c>
      <c r="BV340" t="s" s="0">
        <v>81</v>
      </c>
      <c r="BW340" t="s" s="0">
        <v>81</v>
      </c>
      <c r="BX340" t="s" s="0">
        <v>116</v>
      </c>
    </row>
    <row r="341">
      <c r="A341" t="s" s="0">
        <v>77</v>
      </c>
      <c r="B341" t="s" s="0">
        <v>77</v>
      </c>
      <c r="C341" t="s" s="0">
        <v>77</v>
      </c>
      <c r="D341" t="s" s="0">
        <v>77</v>
      </c>
      <c r="E341" t="s" s="0">
        <v>7878</v>
      </c>
      <c r="F341" t="s" s="0">
        <v>7879</v>
      </c>
      <c r="G341" t="s" s="0">
        <v>7880</v>
      </c>
      <c r="H341" t="s" s="0">
        <v>81</v>
      </c>
      <c r="I341" t="s" s="0">
        <v>528</v>
      </c>
      <c r="J341" t="s" s="0">
        <v>7881</v>
      </c>
      <c r="K341" t="s" s="0">
        <v>7882</v>
      </c>
      <c r="L341" t="s" s="0">
        <v>81</v>
      </c>
      <c r="M341" t="s" s="0">
        <v>81</v>
      </c>
      <c r="N341" t="s" s="0">
        <v>81</v>
      </c>
      <c r="O341" t="s" s="0">
        <v>7883</v>
      </c>
      <c r="P341" t="s" s="0">
        <v>7884</v>
      </c>
      <c r="Q341" t="s" s="0">
        <v>87</v>
      </c>
      <c r="R341" t="s" s="0">
        <v>81</v>
      </c>
      <c r="S341" t="s" s="0">
        <v>81</v>
      </c>
      <c r="T341" t="s" s="0">
        <v>81</v>
      </c>
      <c r="U341" t="s" s="0">
        <v>81</v>
      </c>
      <c r="V341" t="s" s="0">
        <v>7885</v>
      </c>
      <c r="W341" t="s" s="0">
        <v>6799</v>
      </c>
      <c r="X341" t="s" s="0">
        <v>81</v>
      </c>
      <c r="Y341" t="s" s="0">
        <v>81</v>
      </c>
      <c r="Z341" t="s" s="0">
        <v>90</v>
      </c>
      <c r="AA341" t="s" s="0">
        <v>91</v>
      </c>
      <c r="AB341" t="s" s="0">
        <v>81</v>
      </c>
      <c r="AC341" t="s" s="0">
        <v>81</v>
      </c>
      <c r="AD341" t="s" s="0">
        <v>81</v>
      </c>
      <c r="AE341" t="s" s="0">
        <v>81</v>
      </c>
      <c r="AF341" t="s" s="0">
        <v>81</v>
      </c>
      <c r="AG341" t="s" s="0">
        <v>7886</v>
      </c>
      <c r="AH341" t="s" s="0">
        <v>81</v>
      </c>
      <c r="AI341" t="s" s="0">
        <v>7887</v>
      </c>
      <c r="AJ341" t="s" s="0">
        <v>81</v>
      </c>
      <c r="AK341" t="s" s="0">
        <v>81</v>
      </c>
      <c r="AL341" t="s" s="0">
        <v>1635</v>
      </c>
      <c r="AM341" t="s" s="0">
        <v>97</v>
      </c>
      <c r="AN341" t="s" s="0">
        <v>97</v>
      </c>
      <c r="AO341" t="s" s="0">
        <v>156</v>
      </c>
      <c r="AP341" t="s" s="0">
        <v>156</v>
      </c>
      <c r="AQ341" t="s" s="0">
        <v>368</v>
      </c>
      <c r="AR341" t="s" s="0">
        <v>369</v>
      </c>
      <c r="AS341" t="s" s="0">
        <v>370</v>
      </c>
      <c r="AT341" t="s" s="0">
        <v>6802</v>
      </c>
      <c r="AU341" t="s" s="0">
        <v>81</v>
      </c>
      <c r="AV341" t="s" s="0">
        <v>81</v>
      </c>
      <c r="AW341" t="s" s="0">
        <v>6803</v>
      </c>
      <c r="AX341" t="s" s="0">
        <v>6804</v>
      </c>
      <c r="AY341" t="s" s="0">
        <v>7888</v>
      </c>
      <c r="AZ341" t="s" s="0">
        <v>103</v>
      </c>
      <c r="BA341" t="s" s="0">
        <v>222</v>
      </c>
      <c r="BB341" t="s" s="0">
        <v>81</v>
      </c>
      <c r="BC341" t="s" s="0">
        <v>81</v>
      </c>
      <c r="BD341" t="s" s="0">
        <v>81</v>
      </c>
      <c r="BE341" t="s" s="0">
        <v>81</v>
      </c>
      <c r="BF341" t="s" s="0">
        <v>81</v>
      </c>
      <c r="BG341" t="s" s="0">
        <v>81</v>
      </c>
      <c r="BH341" t="s" s="0">
        <v>81</v>
      </c>
      <c r="BI341" t="s" s="0">
        <v>7889</v>
      </c>
      <c r="BJ341" t="s" s="0">
        <v>7890</v>
      </c>
      <c r="BK341" t="s" s="676">
        <f>HYPERLINK("http://dx.doi.org/10.3389/fpsyt.2026.1751654","http://dx.doi.org/10.3389/fpsyt.2026.1751654")</f>
        <v>7891</v>
      </c>
      <c r="BL341" t="s" s="0">
        <v>81</v>
      </c>
      <c r="BM341" t="s" s="0">
        <v>81</v>
      </c>
      <c r="BN341" t="s" s="0">
        <v>925</v>
      </c>
      <c r="BO341" t="s" s="0">
        <v>6809</v>
      </c>
      <c r="BP341" t="s" s="0">
        <v>6809</v>
      </c>
      <c r="BQ341" t="s" s="0">
        <v>7892</v>
      </c>
      <c r="BR341" t="s" s="0">
        <v>7893</v>
      </c>
      <c r="BS341" t="s" s="0">
        <v>7894</v>
      </c>
      <c r="BT341" t="s" s="677">
        <f>HYPERLINK("https://www.webofscience.com/wos/woscc/full-record/WOS:001729632900001","View Record in Web of Science")</f>
        <v>114</v>
      </c>
      <c r="BU341" t="s" s="0">
        <v>301</v>
      </c>
      <c r="BV341" t="s" s="0">
        <v>81</v>
      </c>
      <c r="BW341" t="s" s="0">
        <v>81</v>
      </c>
      <c r="BX341" t="s" s="0">
        <v>116</v>
      </c>
    </row>
    <row r="342">
      <c r="A342" t="s" s="0">
        <v>97</v>
      </c>
      <c r="B342" t="s" s="0">
        <v>77</v>
      </c>
      <c r="C342" t="s" s="0">
        <v>97</v>
      </c>
      <c r="D342" t="s" s="0">
        <v>77</v>
      </c>
      <c r="E342" t="s" s="0">
        <v>7895</v>
      </c>
      <c r="F342" t="s" s="0">
        <v>7896</v>
      </c>
      <c r="G342" t="s" s="0">
        <v>7897</v>
      </c>
      <c r="H342" t="s" s="0">
        <v>81</v>
      </c>
      <c r="I342" t="s" s="0">
        <v>82</v>
      </c>
      <c r="J342" t="s" s="0">
        <v>7898</v>
      </c>
      <c r="K342" t="s" s="0">
        <v>7899</v>
      </c>
      <c r="L342" t="s" s="0">
        <v>7900</v>
      </c>
      <c r="M342" t="s" s="0">
        <v>7900</v>
      </c>
      <c r="N342" t="s" s="0">
        <v>335</v>
      </c>
      <c r="O342" t="s" s="0">
        <v>7901</v>
      </c>
      <c r="P342" t="s" s="0">
        <v>7902</v>
      </c>
      <c r="Q342" t="s" s="0">
        <v>87</v>
      </c>
      <c r="R342" t="s" s="0">
        <v>81</v>
      </c>
      <c r="S342" t="s" s="0">
        <v>81</v>
      </c>
      <c r="T342" t="s" s="0">
        <v>81</v>
      </c>
      <c r="U342" t="s" s="0">
        <v>81</v>
      </c>
      <c r="V342" t="s" s="0">
        <v>7903</v>
      </c>
      <c r="W342" t="s" s="0">
        <v>7904</v>
      </c>
      <c r="X342" t="s" s="0">
        <v>81</v>
      </c>
      <c r="Y342" t="s" s="0">
        <v>81</v>
      </c>
      <c r="Z342" t="s" s="0">
        <v>90</v>
      </c>
      <c r="AA342" t="s" s="0">
        <v>91</v>
      </c>
      <c r="AB342" t="s" s="0">
        <v>81</v>
      </c>
      <c r="AC342" t="s" s="0">
        <v>81</v>
      </c>
      <c r="AD342" t="s" s="0">
        <v>81</v>
      </c>
      <c r="AE342" t="s" s="0">
        <v>81</v>
      </c>
      <c r="AF342" t="s" s="0">
        <v>81</v>
      </c>
      <c r="AG342" t="s" s="0">
        <v>7905</v>
      </c>
      <c r="AH342" t="s" s="0">
        <v>7906</v>
      </c>
      <c r="AI342" t="s" s="0">
        <v>7907</v>
      </c>
      <c r="AJ342" t="s" s="0">
        <v>7908</v>
      </c>
      <c r="AK342" t="s" s="0">
        <v>81</v>
      </c>
      <c r="AL342" t="s" s="0">
        <v>890</v>
      </c>
      <c r="AM342" t="s" s="0">
        <v>234</v>
      </c>
      <c r="AN342" t="s" s="0">
        <v>134</v>
      </c>
      <c r="AO342" t="s" s="0">
        <v>97</v>
      </c>
      <c r="AP342" t="s" s="0">
        <v>234</v>
      </c>
      <c r="AQ342" t="s" s="0">
        <v>212</v>
      </c>
      <c r="AR342" t="s" s="0">
        <v>429</v>
      </c>
      <c r="AS342" t="s" s="0">
        <v>784</v>
      </c>
      <c r="AT342" t="s" s="0">
        <v>7909</v>
      </c>
      <c r="AU342" t="s" s="0">
        <v>7910</v>
      </c>
      <c r="AV342" t="s" s="0">
        <v>81</v>
      </c>
      <c r="AW342" t="s" s="0">
        <v>7911</v>
      </c>
      <c r="AX342" t="s" s="0">
        <v>7912</v>
      </c>
      <c r="AY342" t="s" s="0">
        <v>514</v>
      </c>
      <c r="AZ342" t="s" s="0">
        <v>185</v>
      </c>
      <c r="BA342" t="s" s="0">
        <v>174</v>
      </c>
      <c r="BB342" t="s" s="0">
        <v>175</v>
      </c>
      <c r="BC342" t="s" s="0">
        <v>81</v>
      </c>
      <c r="BD342" t="s" s="0">
        <v>81</v>
      </c>
      <c r="BE342" t="s" s="0">
        <v>81</v>
      </c>
      <c r="BF342" t="s" s="0">
        <v>81</v>
      </c>
      <c r="BG342" t="s" s="0">
        <v>7913</v>
      </c>
      <c r="BH342" t="s" s="0">
        <v>7914</v>
      </c>
      <c r="BI342" t="s" s="0">
        <v>81</v>
      </c>
      <c r="BJ342" t="s" s="0">
        <v>7915</v>
      </c>
      <c r="BK342" t="s" s="678">
        <f>HYPERLINK("http://dx.doi.org/10.1007/s00464-024-10681-6","http://dx.doi.org/10.1007/s00464-024-10681-6")</f>
        <v>7916</v>
      </c>
      <c r="BL342" t="s" s="0">
        <v>81</v>
      </c>
      <c r="BM342" t="s" s="0">
        <v>190</v>
      </c>
      <c r="BN342" t="s" s="0">
        <v>381</v>
      </c>
      <c r="BO342" t="s" s="0">
        <v>4529</v>
      </c>
      <c r="BP342" t="s" s="0">
        <v>4529</v>
      </c>
      <c r="BQ342" t="s" s="0">
        <v>7917</v>
      </c>
      <c r="BR342" t="s" s="0">
        <v>7918</v>
      </c>
      <c r="BS342" t="s" s="0">
        <v>7919</v>
      </c>
      <c r="BT342" t="s" s="679">
        <f>HYPERLINK("https://www.webofscience.com/wos/woscc/full-record/WOS:001156360600003","View Record in Web of Science")</f>
        <v>114</v>
      </c>
      <c r="BU342" t="s" s="0">
        <v>155</v>
      </c>
      <c r="BV342" t="s" s="0">
        <v>81</v>
      </c>
      <c r="BW342" t="s" s="0">
        <v>81</v>
      </c>
      <c r="BX342" t="s" s="0">
        <v>116</v>
      </c>
    </row>
    <row r="343">
      <c r="A343" t="s" s="0">
        <v>97</v>
      </c>
      <c r="B343" t="s" s="0">
        <v>77</v>
      </c>
      <c r="C343" t="s" s="0">
        <v>196</v>
      </c>
      <c r="D343" t="s" s="0">
        <v>77</v>
      </c>
      <c r="E343" t="s" s="0">
        <v>7920</v>
      </c>
      <c r="F343" t="s" s="0">
        <v>7921</v>
      </c>
      <c r="G343" t="s" s="0">
        <v>7922</v>
      </c>
      <c r="H343" t="s" s="0">
        <v>81</v>
      </c>
      <c r="I343" t="s" s="0">
        <v>82</v>
      </c>
      <c r="J343" t="s" s="0">
        <v>7923</v>
      </c>
      <c r="K343" t="s" s="0">
        <v>7924</v>
      </c>
      <c r="L343" t="s" s="0">
        <v>81</v>
      </c>
      <c r="M343" t="s" s="0">
        <v>81</v>
      </c>
      <c r="N343" t="s" s="0">
        <v>81</v>
      </c>
      <c r="O343" t="s" s="0">
        <v>7925</v>
      </c>
      <c r="P343" t="s" s="0">
        <v>7926</v>
      </c>
      <c r="Q343" t="s" s="0">
        <v>87</v>
      </c>
      <c r="R343" t="s" s="0">
        <v>81</v>
      </c>
      <c r="S343" t="s" s="0">
        <v>81</v>
      </c>
      <c r="T343" t="s" s="0">
        <v>81</v>
      </c>
      <c r="U343" t="s" s="0">
        <v>81</v>
      </c>
      <c r="V343" t="s" s="0">
        <v>7927</v>
      </c>
      <c r="W343" t="s" s="0">
        <v>910</v>
      </c>
      <c r="X343" t="s" s="0">
        <v>81</v>
      </c>
      <c r="Y343" t="s" s="0">
        <v>81</v>
      </c>
      <c r="Z343" t="s" s="0">
        <v>90</v>
      </c>
      <c r="AA343" t="s" s="0">
        <v>91</v>
      </c>
      <c r="AB343" t="s" s="0">
        <v>81</v>
      </c>
      <c r="AC343" t="s" s="0">
        <v>81</v>
      </c>
      <c r="AD343" t="s" s="0">
        <v>81</v>
      </c>
      <c r="AE343" t="s" s="0">
        <v>81</v>
      </c>
      <c r="AF343" t="s" s="0">
        <v>81</v>
      </c>
      <c r="AG343" t="s" s="0">
        <v>81</v>
      </c>
      <c r="AH343" t="s" s="0">
        <v>7928</v>
      </c>
      <c r="AI343" t="s" s="0">
        <v>7929</v>
      </c>
      <c r="AJ343" t="s" s="0">
        <v>81</v>
      </c>
      <c r="AK343" t="s" s="0">
        <v>81</v>
      </c>
      <c r="AL343" t="s" s="0">
        <v>434</v>
      </c>
      <c r="AM343" t="s" s="0">
        <v>485</v>
      </c>
      <c r="AN343" t="s" s="0">
        <v>210</v>
      </c>
      <c r="AO343" t="s" s="0">
        <v>77</v>
      </c>
      <c r="AP343" t="s" s="0">
        <v>234</v>
      </c>
      <c r="AQ343" t="s" s="0">
        <v>915</v>
      </c>
      <c r="AR343" t="s" s="0">
        <v>916</v>
      </c>
      <c r="AS343" t="s" s="0">
        <v>917</v>
      </c>
      <c r="AT343" t="s" s="0">
        <v>918</v>
      </c>
      <c r="AU343" t="s" s="0">
        <v>81</v>
      </c>
      <c r="AV343" t="s" s="0">
        <v>81</v>
      </c>
      <c r="AW343" t="s" s="0">
        <v>919</v>
      </c>
      <c r="AX343" t="s" s="0">
        <v>920</v>
      </c>
      <c r="AY343" t="s" s="0">
        <v>7930</v>
      </c>
      <c r="AZ343" t="s" s="0">
        <v>260</v>
      </c>
      <c r="BA343" t="s" s="0">
        <v>486</v>
      </c>
      <c r="BB343" t="s" s="0">
        <v>97</v>
      </c>
      <c r="BC343" t="s" s="0">
        <v>81</v>
      </c>
      <c r="BD343" t="s" s="0">
        <v>81</v>
      </c>
      <c r="BE343" t="s" s="0">
        <v>81</v>
      </c>
      <c r="BF343" t="s" s="0">
        <v>81</v>
      </c>
      <c r="BG343" t="s" s="0">
        <v>81</v>
      </c>
      <c r="BH343" t="s" s="0">
        <v>81</v>
      </c>
      <c r="BI343" t="s" s="0">
        <v>7931</v>
      </c>
      <c r="BJ343" t="s" s="0">
        <v>7932</v>
      </c>
      <c r="BK343" t="s" s="680">
        <f>HYPERLINK("http://dx.doi.org/10.1038/s41598-023-32899-5","http://dx.doi.org/10.1038/s41598-023-32899-5")</f>
        <v>7933</v>
      </c>
      <c r="BL343" t="s" s="0">
        <v>81</v>
      </c>
      <c r="BM343" t="s" s="0">
        <v>81</v>
      </c>
      <c r="BN343" t="s" s="0">
        <v>381</v>
      </c>
      <c r="BO343" t="s" s="0">
        <v>926</v>
      </c>
      <c r="BP343" t="s" s="0">
        <v>927</v>
      </c>
      <c r="BQ343" t="s" s="0">
        <v>7934</v>
      </c>
      <c r="BR343" t="s" s="0">
        <v>7935</v>
      </c>
      <c r="BS343" t="s" s="0">
        <v>7936</v>
      </c>
      <c r="BT343" t="s" s="681">
        <f>HYPERLINK("https://www.webofscience.com/wos/woscc/full-record/WOS:001010944600019","View Record in Web of Science")</f>
        <v>114</v>
      </c>
      <c r="BU343" t="s" s="0">
        <v>301</v>
      </c>
      <c r="BV343" t="s" s="0">
        <v>81</v>
      </c>
      <c r="BW343" t="s" s="0">
        <v>81</v>
      </c>
      <c r="BX343" t="s" s="0">
        <v>116</v>
      </c>
    </row>
    <row r="344">
      <c r="A344" t="s" s="0">
        <v>77</v>
      </c>
      <c r="B344" t="s" s="0">
        <v>77</v>
      </c>
      <c r="C344" t="s" s="0">
        <v>97</v>
      </c>
      <c r="D344" t="s" s="0">
        <v>77</v>
      </c>
      <c r="E344" t="s" s="0">
        <v>7937</v>
      </c>
      <c r="F344" t="s" s="0">
        <v>7938</v>
      </c>
      <c r="G344" t="s" s="0">
        <v>7939</v>
      </c>
      <c r="H344" t="s" s="0">
        <v>81</v>
      </c>
      <c r="I344" t="s" s="0">
        <v>82</v>
      </c>
      <c r="J344" t="s" s="0">
        <v>7940</v>
      </c>
      <c r="K344" t="s" s="0">
        <v>7941</v>
      </c>
      <c r="L344" t="s" s="0">
        <v>81</v>
      </c>
      <c r="M344" t="s" s="0">
        <v>81</v>
      </c>
      <c r="N344" t="s" s="0">
        <v>81</v>
      </c>
      <c r="O344" t="s" s="0">
        <v>7942</v>
      </c>
      <c r="P344" t="s" s="0">
        <v>7943</v>
      </c>
      <c r="Q344" t="s" s="0">
        <v>87</v>
      </c>
      <c r="R344" t="s" s="0">
        <v>81</v>
      </c>
      <c r="S344" t="s" s="0">
        <v>81</v>
      </c>
      <c r="T344" t="s" s="0">
        <v>81</v>
      </c>
      <c r="U344" t="s" s="0">
        <v>81</v>
      </c>
      <c r="V344" t="s" s="0">
        <v>7944</v>
      </c>
      <c r="W344" t="s" s="0">
        <v>89</v>
      </c>
      <c r="X344" t="s" s="0">
        <v>81</v>
      </c>
      <c r="Y344" t="s" s="0">
        <v>81</v>
      </c>
      <c r="Z344" t="s" s="0">
        <v>90</v>
      </c>
      <c r="AA344" t="s" s="0">
        <v>91</v>
      </c>
      <c r="AB344" t="s" s="0">
        <v>81</v>
      </c>
      <c r="AC344" t="s" s="0">
        <v>81</v>
      </c>
      <c r="AD344" t="s" s="0">
        <v>81</v>
      </c>
      <c r="AE344" t="s" s="0">
        <v>81</v>
      </c>
      <c r="AF344" t="s" s="0">
        <v>81</v>
      </c>
      <c r="AG344" t="s" s="0">
        <v>7945</v>
      </c>
      <c r="AH344" t="s" s="0">
        <v>81</v>
      </c>
      <c r="AI344" t="s" s="0">
        <v>7946</v>
      </c>
      <c r="AJ344" t="s" s="0">
        <v>3879</v>
      </c>
      <c r="AK344" t="s" s="0">
        <v>81</v>
      </c>
      <c r="AL344" t="s" s="0">
        <v>344</v>
      </c>
      <c r="AM344" t="s" s="0">
        <v>97</v>
      </c>
      <c r="AN344" t="s" s="0">
        <v>156</v>
      </c>
      <c r="AO344" t="s" s="0">
        <v>196</v>
      </c>
      <c r="AP344" t="s" s="0">
        <v>261</v>
      </c>
      <c r="AQ344" t="s" s="0">
        <v>98</v>
      </c>
      <c r="AR344" t="s" s="0">
        <v>99</v>
      </c>
      <c r="AS344" t="s" s="0">
        <v>100</v>
      </c>
      <c r="AT344" t="s" s="0">
        <v>101</v>
      </c>
      <c r="AU344" t="s" s="0">
        <v>81</v>
      </c>
      <c r="AV344" t="s" s="0">
        <v>81</v>
      </c>
      <c r="AW344" t="s" s="0">
        <v>89</v>
      </c>
      <c r="AX344" t="s" s="0">
        <v>102</v>
      </c>
      <c r="AY344" t="s" s="0">
        <v>290</v>
      </c>
      <c r="AZ344" t="s" s="0">
        <v>290</v>
      </c>
      <c r="BA344" t="s" s="0">
        <v>486</v>
      </c>
      <c r="BB344" t="s" s="0">
        <v>81</v>
      </c>
      <c r="BC344" t="s" s="0">
        <v>81</v>
      </c>
      <c r="BD344" t="s" s="0">
        <v>81</v>
      </c>
      <c r="BE344" t="s" s="0">
        <v>81</v>
      </c>
      <c r="BF344" t="s" s="0">
        <v>81</v>
      </c>
      <c r="BG344" t="s" s="0">
        <v>7947</v>
      </c>
      <c r="BH344" t="s" s="0">
        <v>7948</v>
      </c>
      <c r="BI344" t="s" s="0">
        <v>81</v>
      </c>
      <c r="BJ344" t="s" s="0">
        <v>7949</v>
      </c>
      <c r="BK344" t="s" s="682">
        <f>HYPERLINK("http://dx.doi.org/10.1109/ACCESS.2025.3582191","http://dx.doi.org/10.1109/ACCESS.2025.3582191")</f>
        <v>7950</v>
      </c>
      <c r="BL344" t="s" s="0">
        <v>81</v>
      </c>
      <c r="BM344" t="s" s="0">
        <v>81</v>
      </c>
      <c r="BN344" t="s" s="0">
        <v>485</v>
      </c>
      <c r="BO344" t="s" s="0">
        <v>110</v>
      </c>
      <c r="BP344" t="s" s="0">
        <v>111</v>
      </c>
      <c r="BQ344" t="s" s="0">
        <v>7951</v>
      </c>
      <c r="BR344" t="s" s="0">
        <v>81</v>
      </c>
      <c r="BS344" t="s" s="0">
        <v>7952</v>
      </c>
      <c r="BT344" t="s" s="683">
        <f>HYPERLINK("https://www.webofscience.com/wos/woscc/full-record/WOS:001521568200042","View Record in Web of Science")</f>
        <v>114</v>
      </c>
      <c r="BU344" t="s" s="0">
        <v>301</v>
      </c>
      <c r="BV344" t="s" s="0">
        <v>81</v>
      </c>
      <c r="BW344" t="s" s="0">
        <v>81</v>
      </c>
      <c r="BX344" t="s" s="0">
        <v>116</v>
      </c>
    </row>
    <row r="345">
      <c r="A345" t="s" s="0">
        <v>77</v>
      </c>
      <c r="B345" t="s" s="0">
        <v>77</v>
      </c>
      <c r="C345" t="s" s="0">
        <v>97</v>
      </c>
      <c r="D345" t="s" s="0">
        <v>77</v>
      </c>
      <c r="E345" t="s" s="0">
        <v>7953</v>
      </c>
      <c r="F345" t="s" s="0">
        <v>7954</v>
      </c>
      <c r="G345" t="s" s="0">
        <v>7955</v>
      </c>
      <c r="H345" t="s" s="0">
        <v>81</v>
      </c>
      <c r="I345" t="s" s="0">
        <v>238</v>
      </c>
      <c r="J345" t="s" s="0">
        <v>7956</v>
      </c>
      <c r="K345" t="s" s="0">
        <v>7957</v>
      </c>
      <c r="L345" t="s" s="0">
        <v>81</v>
      </c>
      <c r="M345" t="s" s="0">
        <v>81</v>
      </c>
      <c r="N345" t="s" s="0">
        <v>81</v>
      </c>
      <c r="O345" t="s" s="0">
        <v>7958</v>
      </c>
      <c r="P345" t="s" s="0">
        <v>7959</v>
      </c>
      <c r="Q345" t="s" s="0">
        <v>87</v>
      </c>
      <c r="R345" t="s" s="0">
        <v>81</v>
      </c>
      <c r="S345" t="s" s="0">
        <v>81</v>
      </c>
      <c r="T345" t="s" s="0">
        <v>81</v>
      </c>
      <c r="U345" t="s" s="0">
        <v>81</v>
      </c>
      <c r="V345" t="s" s="0">
        <v>7960</v>
      </c>
      <c r="W345" t="s" s="0">
        <v>7961</v>
      </c>
      <c r="X345" t="s" s="0">
        <v>81</v>
      </c>
      <c r="Y345" t="s" s="0">
        <v>81</v>
      </c>
      <c r="Z345" t="s" s="0">
        <v>90</v>
      </c>
      <c r="AA345" t="s" s="0">
        <v>7962</v>
      </c>
      <c r="AB345" t="s" s="0">
        <v>81</v>
      </c>
      <c r="AC345" t="s" s="0">
        <v>81</v>
      </c>
      <c r="AD345" t="s" s="0">
        <v>81</v>
      </c>
      <c r="AE345" t="s" s="0">
        <v>81</v>
      </c>
      <c r="AF345" t="s" s="0">
        <v>81</v>
      </c>
      <c r="AG345" t="s" s="0">
        <v>7963</v>
      </c>
      <c r="AH345" t="s" s="0">
        <v>81</v>
      </c>
      <c r="AI345" t="s" s="0">
        <v>7964</v>
      </c>
      <c r="AJ345" t="s" s="0">
        <v>7965</v>
      </c>
      <c r="AK345" t="s" s="0">
        <v>81</v>
      </c>
      <c r="AL345" t="s" s="0">
        <v>291</v>
      </c>
      <c r="AM345" t="s" s="0">
        <v>133</v>
      </c>
      <c r="AN345" t="s" s="0">
        <v>133</v>
      </c>
      <c r="AO345" t="s" s="0">
        <v>77</v>
      </c>
      <c r="AP345" t="s" s="0">
        <v>133</v>
      </c>
      <c r="AQ345" t="s" s="0">
        <v>136</v>
      </c>
      <c r="AR345" t="s" s="0">
        <v>137</v>
      </c>
      <c r="AS345" t="s" s="0">
        <v>138</v>
      </c>
      <c r="AT345" t="s" s="0">
        <v>7966</v>
      </c>
      <c r="AU345" t="s" s="0">
        <v>81</v>
      </c>
      <c r="AV345" t="s" s="0">
        <v>81</v>
      </c>
      <c r="AW345" t="s" s="0">
        <v>7967</v>
      </c>
      <c r="AX345" t="s" s="0">
        <v>7968</v>
      </c>
      <c r="AY345" t="s" s="0">
        <v>4523</v>
      </c>
      <c r="AZ345" t="s" s="0">
        <v>220</v>
      </c>
      <c r="BA345" t="s" s="0">
        <v>3518</v>
      </c>
      <c r="BB345" t="s" s="0">
        <v>81</v>
      </c>
      <c r="BC345" t="s" s="0">
        <v>81</v>
      </c>
      <c r="BD345" t="s" s="0">
        <v>81</v>
      </c>
      <c r="BE345" t="s" s="0">
        <v>81</v>
      </c>
      <c r="BF345" t="s" s="0">
        <v>81</v>
      </c>
      <c r="BG345" t="s" s="0">
        <v>81</v>
      </c>
      <c r="BH345" t="s" s="0">
        <v>81</v>
      </c>
      <c r="BI345" t="s" s="0">
        <v>7969</v>
      </c>
      <c r="BJ345" t="s" s="0">
        <v>7970</v>
      </c>
      <c r="BK345" t="s" s="684">
        <f>HYPERLINK("http://dx.doi.org/10.1016/j.dib.2022.108382","http://dx.doi.org/10.1016/j.dib.2022.108382")</f>
        <v>7971</v>
      </c>
      <c r="BL345" t="s" s="0">
        <v>81</v>
      </c>
      <c r="BM345" t="s" s="0">
        <v>227</v>
      </c>
      <c r="BN345" t="s" s="0">
        <v>316</v>
      </c>
      <c r="BO345" t="s" s="0">
        <v>926</v>
      </c>
      <c r="BP345" t="s" s="0">
        <v>927</v>
      </c>
      <c r="BQ345" t="s" s="0">
        <v>7972</v>
      </c>
      <c r="BR345" t="s" s="0">
        <v>7973</v>
      </c>
      <c r="BS345" t="s" s="0">
        <v>7974</v>
      </c>
      <c r="BT345" t="s" s="685">
        <f>HYPERLINK("https://www.webofscience.com/wos/woscc/full-record/WOS:000832310400017","View Record in Web of Science")</f>
        <v>114</v>
      </c>
      <c r="BU345" t="s" s="0">
        <v>301</v>
      </c>
      <c r="BV345" t="s" s="0">
        <v>81</v>
      </c>
      <c r="BW345" t="s" s="0">
        <v>81</v>
      </c>
      <c r="BX345" t="s" s="0">
        <v>116</v>
      </c>
    </row>
    <row r="346">
      <c r="A346" t="s" s="0">
        <v>77</v>
      </c>
      <c r="B346" t="s" s="0">
        <v>77</v>
      </c>
      <c r="C346" t="s" s="0">
        <v>97</v>
      </c>
      <c r="D346" t="s" s="0">
        <v>77</v>
      </c>
      <c r="E346" t="s" s="0">
        <v>7975</v>
      </c>
      <c r="F346" t="s" s="0">
        <v>7976</v>
      </c>
      <c r="G346" t="s" s="0">
        <v>7977</v>
      </c>
      <c r="H346" t="s" s="0">
        <v>81</v>
      </c>
      <c r="I346" t="s" s="0">
        <v>238</v>
      </c>
      <c r="J346" t="s" s="0">
        <v>7978</v>
      </c>
      <c r="K346" t="s" s="0">
        <v>7979</v>
      </c>
      <c r="L346" t="s" s="0">
        <v>7980</v>
      </c>
      <c r="M346" t="s" s="0">
        <v>7981</v>
      </c>
      <c r="N346" t="s" s="0">
        <v>7982</v>
      </c>
      <c r="O346" t="s" s="0">
        <v>7983</v>
      </c>
      <c r="P346" t="s" s="0">
        <v>7984</v>
      </c>
      <c r="Q346" t="s" s="0">
        <v>87</v>
      </c>
      <c r="R346" t="s" s="0">
        <v>81</v>
      </c>
      <c r="S346" t="s" s="0">
        <v>81</v>
      </c>
      <c r="T346" t="s" s="0">
        <v>81</v>
      </c>
      <c r="U346" t="s" s="0">
        <v>81</v>
      </c>
      <c r="V346" t="s" s="0">
        <v>7985</v>
      </c>
      <c r="W346" t="s" s="0">
        <v>7986</v>
      </c>
      <c r="X346" t="s" s="0">
        <v>81</v>
      </c>
      <c r="Y346" t="s" s="0">
        <v>81</v>
      </c>
      <c r="Z346" t="s" s="0">
        <v>90</v>
      </c>
      <c r="AA346" t="s" s="0">
        <v>91</v>
      </c>
      <c r="AB346" t="s" s="0">
        <v>81</v>
      </c>
      <c r="AC346" t="s" s="0">
        <v>81</v>
      </c>
      <c r="AD346" t="s" s="0">
        <v>81</v>
      </c>
      <c r="AE346" t="s" s="0">
        <v>81</v>
      </c>
      <c r="AF346" t="s" s="0">
        <v>81</v>
      </c>
      <c r="AG346" t="s" s="0">
        <v>7987</v>
      </c>
      <c r="AH346" t="s" s="0">
        <v>7988</v>
      </c>
      <c r="AI346" t="s" s="0">
        <v>7989</v>
      </c>
      <c r="AJ346" t="s" s="0">
        <v>7990</v>
      </c>
      <c r="AK346" t="s" s="0">
        <v>81</v>
      </c>
      <c r="AL346" t="s" s="0">
        <v>2447</v>
      </c>
      <c r="AM346" t="s" s="0">
        <v>97</v>
      </c>
      <c r="AN346" t="s" s="0">
        <v>196</v>
      </c>
      <c r="AO346" t="s" s="0">
        <v>77</v>
      </c>
      <c r="AP346" t="s" s="0">
        <v>196</v>
      </c>
      <c r="AQ346" t="s" s="0">
        <v>3061</v>
      </c>
      <c r="AR346" t="s" s="0">
        <v>3062</v>
      </c>
      <c r="AS346" t="s" s="0">
        <v>3063</v>
      </c>
      <c r="AT346" t="s" s="0">
        <v>7991</v>
      </c>
      <c r="AU346" t="s" s="0">
        <v>81</v>
      </c>
      <c r="AV346" t="s" s="0">
        <v>81</v>
      </c>
      <c r="AW346" t="s" s="0">
        <v>7992</v>
      </c>
      <c r="AX346" t="s" s="0">
        <v>7993</v>
      </c>
      <c r="AY346" t="s" s="0">
        <v>290</v>
      </c>
      <c r="AZ346" t="s" s="0">
        <v>290</v>
      </c>
      <c r="BA346" t="s" s="0">
        <v>134</v>
      </c>
      <c r="BB346" t="s" s="0">
        <v>81</v>
      </c>
      <c r="BC346" t="s" s="0">
        <v>81</v>
      </c>
      <c r="BD346" t="s" s="0">
        <v>81</v>
      </c>
      <c r="BE346" t="s" s="0">
        <v>81</v>
      </c>
      <c r="BF346" t="s" s="0">
        <v>81</v>
      </c>
      <c r="BG346" t="s" s="0">
        <v>81</v>
      </c>
      <c r="BH346" t="s" s="0">
        <v>81</v>
      </c>
      <c r="BI346" t="s" s="0">
        <v>7994</v>
      </c>
      <c r="BJ346" t="s" s="0">
        <v>7995</v>
      </c>
      <c r="BK346" t="s" s="686">
        <f>HYPERLINK("http://dx.doi.org/10.2196/65923","http://dx.doi.org/10.2196/65923")</f>
        <v>7996</v>
      </c>
      <c r="BL346" t="s" s="0">
        <v>81</v>
      </c>
      <c r="BM346" t="s" s="0">
        <v>81</v>
      </c>
      <c r="BN346" t="s" s="0">
        <v>925</v>
      </c>
      <c r="BO346" t="s" s="0">
        <v>792</v>
      </c>
      <c r="BP346" t="s" s="0">
        <v>792</v>
      </c>
      <c r="BQ346" t="s" s="0">
        <v>7997</v>
      </c>
      <c r="BR346" t="s" s="0">
        <v>7998</v>
      </c>
      <c r="BS346" t="s" s="0">
        <v>7999</v>
      </c>
      <c r="BT346" t="s" s="687">
        <f>HYPERLINK("https://www.webofscience.com/wos/woscc/full-record/WOS:001427096700001","View Record in Web of Science")</f>
        <v>114</v>
      </c>
      <c r="BU346" t="s" s="0">
        <v>301</v>
      </c>
      <c r="BV346" t="s" s="0">
        <v>81</v>
      </c>
      <c r="BW346" t="s" s="0">
        <v>81</v>
      </c>
      <c r="BX346" t="s" s="0">
        <v>116</v>
      </c>
    </row>
    <row r="347">
      <c r="A347" t="s" s="0">
        <v>77</v>
      </c>
      <c r="B347" t="s" s="0">
        <v>77</v>
      </c>
      <c r="C347" t="s" s="0">
        <v>97</v>
      </c>
      <c r="D347" t="s" s="0">
        <v>77</v>
      </c>
      <c r="E347" t="s" s="0">
        <v>8000</v>
      </c>
      <c r="F347" t="s" s="0">
        <v>8001</v>
      </c>
      <c r="G347" t="s" s="0">
        <v>8002</v>
      </c>
      <c r="H347" t="s" s="0">
        <v>81</v>
      </c>
      <c r="I347" t="s" s="0">
        <v>82</v>
      </c>
      <c r="J347" t="s" s="0">
        <v>8003</v>
      </c>
      <c r="K347" t="s" s="0">
        <v>8004</v>
      </c>
      <c r="L347" t="s" s="0">
        <v>8005</v>
      </c>
      <c r="M347" t="s" s="0">
        <v>8006</v>
      </c>
      <c r="N347" t="s" s="0">
        <v>8007</v>
      </c>
      <c r="O347" t="s" s="0">
        <v>8008</v>
      </c>
      <c r="P347" t="s" s="0">
        <v>8009</v>
      </c>
      <c r="Q347" t="s" s="0">
        <v>87</v>
      </c>
      <c r="R347" t="s" s="0">
        <v>81</v>
      </c>
      <c r="S347" t="s" s="0">
        <v>81</v>
      </c>
      <c r="T347" t="s" s="0">
        <v>81</v>
      </c>
      <c r="U347" t="s" s="0">
        <v>81</v>
      </c>
      <c r="V347" t="s" s="0">
        <v>8010</v>
      </c>
      <c r="W347" t="s" s="0">
        <v>8011</v>
      </c>
      <c r="X347" t="s" s="0">
        <v>81</v>
      </c>
      <c r="Y347" t="s" s="0">
        <v>81</v>
      </c>
      <c r="Z347" t="s" s="0">
        <v>90</v>
      </c>
      <c r="AA347" t="s" s="0">
        <v>91</v>
      </c>
      <c r="AB347" t="s" s="0">
        <v>81</v>
      </c>
      <c r="AC347" t="s" s="0">
        <v>81</v>
      </c>
      <c r="AD347" t="s" s="0">
        <v>81</v>
      </c>
      <c r="AE347" t="s" s="0">
        <v>81</v>
      </c>
      <c r="AF347" t="s" s="0">
        <v>81</v>
      </c>
      <c r="AG347" t="s" s="0">
        <v>8012</v>
      </c>
      <c r="AH347" t="s" s="0">
        <v>8013</v>
      </c>
      <c r="AI347" t="s" s="0">
        <v>8014</v>
      </c>
      <c r="AJ347" t="s" s="0">
        <v>8015</v>
      </c>
      <c r="AK347" t="s" s="0">
        <v>81</v>
      </c>
      <c r="AL347" t="s" s="0">
        <v>4754</v>
      </c>
      <c r="AM347" t="s" s="0">
        <v>196</v>
      </c>
      <c r="AN347" t="s" s="0">
        <v>196</v>
      </c>
      <c r="AO347" t="s" s="0">
        <v>196</v>
      </c>
      <c r="AP347" t="s" s="0">
        <v>1883</v>
      </c>
      <c r="AQ347" t="s" s="0">
        <v>136</v>
      </c>
      <c r="AR347" t="s" s="0">
        <v>137</v>
      </c>
      <c r="AS347" t="s" s="0">
        <v>138</v>
      </c>
      <c r="AT347" t="s" s="0">
        <v>8016</v>
      </c>
      <c r="AU347" t="s" s="0">
        <v>8017</v>
      </c>
      <c r="AV347" t="s" s="0">
        <v>81</v>
      </c>
      <c r="AW347" t="s" s="0">
        <v>8018</v>
      </c>
      <c r="AX347" t="s" s="0">
        <v>8019</v>
      </c>
      <c r="AY347" t="s" s="0">
        <v>8020</v>
      </c>
      <c r="AZ347" t="s" s="0">
        <v>185</v>
      </c>
      <c r="BA347" t="s" s="0">
        <v>8021</v>
      </c>
      <c r="BB347" t="s" s="0">
        <v>81</v>
      </c>
      <c r="BC347" t="s" s="0">
        <v>81</v>
      </c>
      <c r="BD347" t="s" s="0">
        <v>81</v>
      </c>
      <c r="BE347" t="s" s="0">
        <v>81</v>
      </c>
      <c r="BF347" t="s" s="0">
        <v>81</v>
      </c>
      <c r="BG347" t="s" s="0">
        <v>81</v>
      </c>
      <c r="BH347" t="s" s="0">
        <v>81</v>
      </c>
      <c r="BI347" t="s" s="0">
        <v>8022</v>
      </c>
      <c r="BJ347" t="s" s="0">
        <v>8023</v>
      </c>
      <c r="BK347" t="s" s="688">
        <f>HYPERLINK("http://dx.doi.org/10.1016/j.scs.2024.105889","http://dx.doi.org/10.1016/j.scs.2024.105889")</f>
        <v>8024</v>
      </c>
      <c r="BL347" t="s" s="0">
        <v>81</v>
      </c>
      <c r="BM347" t="s" s="0">
        <v>1816</v>
      </c>
      <c r="BN347" t="s" s="0">
        <v>485</v>
      </c>
      <c r="BO347" t="s" s="0">
        <v>8025</v>
      </c>
      <c r="BP347" t="s" s="0">
        <v>8026</v>
      </c>
      <c r="BQ347" t="s" s="0">
        <v>8027</v>
      </c>
      <c r="BR347" t="s" s="0">
        <v>81</v>
      </c>
      <c r="BS347" t="s" s="0">
        <v>8028</v>
      </c>
      <c r="BT347" t="s" s="689">
        <f>HYPERLINK("https://www.webofscience.com/wos/woscc/full-record/WOS:001353658000001","View Record in Web of Science")</f>
        <v>114</v>
      </c>
      <c r="BU347" t="s" s="0">
        <v>81</v>
      </c>
      <c r="BV347" t="s" s="0">
        <v>81</v>
      </c>
      <c r="BW347" t="s" s="0">
        <v>81</v>
      </c>
      <c r="BX347" t="s" s="0">
        <v>116</v>
      </c>
    </row>
    <row r="348">
      <c r="A348" t="s" s="0">
        <v>77</v>
      </c>
      <c r="B348" t="s" s="0">
        <v>77</v>
      </c>
      <c r="C348" t="s" s="0">
        <v>97</v>
      </c>
      <c r="D348" t="s" s="0">
        <v>77</v>
      </c>
      <c r="E348" t="s" s="0">
        <v>8029</v>
      </c>
      <c r="F348" t="s" s="0">
        <v>8030</v>
      </c>
      <c r="G348" t="s" s="0">
        <v>8031</v>
      </c>
      <c r="H348" t="s" s="0">
        <v>81</v>
      </c>
      <c r="I348" t="s" s="0">
        <v>238</v>
      </c>
      <c r="J348" t="s" s="0">
        <v>8032</v>
      </c>
      <c r="K348" t="s" s="0">
        <v>8033</v>
      </c>
      <c r="L348" t="s" s="0">
        <v>81</v>
      </c>
      <c r="M348" t="s" s="0">
        <v>81</v>
      </c>
      <c r="N348" t="s" s="0">
        <v>81</v>
      </c>
      <c r="O348" t="s" s="0">
        <v>8034</v>
      </c>
      <c r="P348" t="s" s="0">
        <v>8035</v>
      </c>
      <c r="Q348" t="s" s="0">
        <v>87</v>
      </c>
      <c r="R348" t="s" s="0">
        <v>81</v>
      </c>
      <c r="S348" t="s" s="0">
        <v>81</v>
      </c>
      <c r="T348" t="s" s="0">
        <v>81</v>
      </c>
      <c r="U348" t="s" s="0">
        <v>81</v>
      </c>
      <c r="V348" t="s" s="0">
        <v>8036</v>
      </c>
      <c r="W348" t="s" s="0">
        <v>5713</v>
      </c>
      <c r="X348" t="s" s="0">
        <v>81</v>
      </c>
      <c r="Y348" t="s" s="0">
        <v>81</v>
      </c>
      <c r="Z348" t="s" s="0">
        <v>90</v>
      </c>
      <c r="AA348" t="s" s="0">
        <v>91</v>
      </c>
      <c r="AB348" t="s" s="0">
        <v>81</v>
      </c>
      <c r="AC348" t="s" s="0">
        <v>81</v>
      </c>
      <c r="AD348" t="s" s="0">
        <v>81</v>
      </c>
      <c r="AE348" t="s" s="0">
        <v>81</v>
      </c>
      <c r="AF348" t="s" s="0">
        <v>81</v>
      </c>
      <c r="AG348" t="s" s="0">
        <v>8037</v>
      </c>
      <c r="AH348" t="s" s="0">
        <v>4100</v>
      </c>
      <c r="AI348" t="s" s="0">
        <v>81</v>
      </c>
      <c r="AJ348" t="s" s="0">
        <v>8038</v>
      </c>
      <c r="AK348" t="s" s="0">
        <v>81</v>
      </c>
      <c r="AL348" t="s" s="0">
        <v>176</v>
      </c>
      <c r="AM348" t="s" s="0">
        <v>486</v>
      </c>
      <c r="AN348" t="s" s="0">
        <v>367</v>
      </c>
      <c r="AO348" t="s" s="0">
        <v>156</v>
      </c>
      <c r="AP348" t="s" s="0">
        <v>295</v>
      </c>
      <c r="AQ348" t="s" s="0">
        <v>284</v>
      </c>
      <c r="AR348" t="s" s="0">
        <v>285</v>
      </c>
      <c r="AS348" t="s" s="0">
        <v>286</v>
      </c>
      <c r="AT348" t="s" s="0">
        <v>81</v>
      </c>
      <c r="AU348" t="s" s="0">
        <v>5717</v>
      </c>
      <c r="AV348" t="s" s="0">
        <v>81</v>
      </c>
      <c r="AW348" t="s" s="0">
        <v>5713</v>
      </c>
      <c r="AX348" t="s" s="0">
        <v>5718</v>
      </c>
      <c r="AY348" t="s" s="0">
        <v>219</v>
      </c>
      <c r="AZ348" t="s" s="0">
        <v>220</v>
      </c>
      <c r="BA348" t="s" s="0">
        <v>486</v>
      </c>
      <c r="BB348" t="s" s="0">
        <v>191</v>
      </c>
      <c r="BC348" t="s" s="0">
        <v>81</v>
      </c>
      <c r="BD348" t="s" s="0">
        <v>81</v>
      </c>
      <c r="BE348" t="s" s="0">
        <v>81</v>
      </c>
      <c r="BF348" t="s" s="0">
        <v>81</v>
      </c>
      <c r="BG348" t="s" s="0">
        <v>81</v>
      </c>
      <c r="BH348" t="s" s="0">
        <v>81</v>
      </c>
      <c r="BI348" t="s" s="0">
        <v>2034</v>
      </c>
      <c r="BJ348" t="s" s="0">
        <v>8039</v>
      </c>
      <c r="BK348" t="s" s="690">
        <f>HYPERLINK("http://dx.doi.org/10.3390/info13110536","http://dx.doi.org/10.3390/info13110536")</f>
        <v>8040</v>
      </c>
      <c r="BL348" t="s" s="0">
        <v>81</v>
      </c>
      <c r="BM348" t="s" s="0">
        <v>81</v>
      </c>
      <c r="BN348" t="s" s="0">
        <v>134</v>
      </c>
      <c r="BO348" t="s" s="0">
        <v>5722</v>
      </c>
      <c r="BP348" t="s" s="0">
        <v>152</v>
      </c>
      <c r="BQ348" t="s" s="0">
        <v>8041</v>
      </c>
      <c r="BR348" t="s" s="0">
        <v>81</v>
      </c>
      <c r="BS348" t="s" s="0">
        <v>8042</v>
      </c>
      <c r="BT348" t="s" s="691">
        <f>HYPERLINK("https://www.webofscience.com/wos/woscc/full-record/WOS:000895081200001","View Record in Web of Science")</f>
        <v>114</v>
      </c>
      <c r="BU348" t="s" s="0">
        <v>301</v>
      </c>
      <c r="BV348" t="s" s="0">
        <v>81</v>
      </c>
      <c r="BW348" t="s" s="0">
        <v>81</v>
      </c>
      <c r="BX348" t="s" s="0">
        <v>116</v>
      </c>
    </row>
    <row r="349">
      <c r="A349" t="s" s="0">
        <v>97</v>
      </c>
      <c r="B349" t="s" s="0">
        <v>77</v>
      </c>
      <c r="C349" t="s" s="0">
        <v>77</v>
      </c>
      <c r="D349" t="s" s="0">
        <v>77</v>
      </c>
      <c r="E349" t="s" s="0">
        <v>8043</v>
      </c>
      <c r="F349" t="s" s="0">
        <v>8044</v>
      </c>
      <c r="G349" t="s" s="0">
        <v>6025</v>
      </c>
      <c r="H349" t="s" s="0">
        <v>81</v>
      </c>
      <c r="I349" t="s" s="0">
        <v>82</v>
      </c>
      <c r="J349" t="s" s="0">
        <v>8045</v>
      </c>
      <c r="K349" t="s" s="0">
        <v>6027</v>
      </c>
      <c r="L349" t="s" s="0">
        <v>6028</v>
      </c>
      <c r="M349" t="s" s="0">
        <v>6029</v>
      </c>
      <c r="N349" t="s" s="0">
        <v>6030</v>
      </c>
      <c r="O349" t="s" s="0">
        <v>6031</v>
      </c>
      <c r="P349" t="s" s="0">
        <v>6032</v>
      </c>
      <c r="Q349" t="s" s="0">
        <v>87</v>
      </c>
      <c r="R349" t="s" s="0">
        <v>81</v>
      </c>
      <c r="S349" t="s" s="0">
        <v>81</v>
      </c>
      <c r="T349" t="s" s="0">
        <v>81</v>
      </c>
      <c r="U349" t="s" s="0">
        <v>81</v>
      </c>
      <c r="V349" t="s" s="0">
        <v>8046</v>
      </c>
      <c r="W349" t="s" s="0">
        <v>6034</v>
      </c>
      <c r="X349" t="s" s="0">
        <v>81</v>
      </c>
      <c r="Y349" t="s" s="0">
        <v>81</v>
      </c>
      <c r="Z349" t="s" s="0">
        <v>90</v>
      </c>
      <c r="AA349" t="s" s="0">
        <v>91</v>
      </c>
      <c r="AB349" t="s" s="0">
        <v>81</v>
      </c>
      <c r="AC349" t="s" s="0">
        <v>81</v>
      </c>
      <c r="AD349" t="s" s="0">
        <v>81</v>
      </c>
      <c r="AE349" t="s" s="0">
        <v>81</v>
      </c>
      <c r="AF349" t="s" s="0">
        <v>81</v>
      </c>
      <c r="AG349" t="s" s="0">
        <v>8047</v>
      </c>
      <c r="AH349" t="s" s="0">
        <v>6584</v>
      </c>
      <c r="AI349" t="s" s="0">
        <v>8048</v>
      </c>
      <c r="AJ349" t="s" s="0">
        <v>8049</v>
      </c>
      <c r="AK349" t="s" s="0">
        <v>81</v>
      </c>
      <c r="AL349" t="s" s="0">
        <v>1785</v>
      </c>
      <c r="AM349" t="s" s="0">
        <v>234</v>
      </c>
      <c r="AN349" t="s" s="0">
        <v>381</v>
      </c>
      <c r="AO349" t="s" s="0">
        <v>196</v>
      </c>
      <c r="AP349" t="s" s="0">
        <v>211</v>
      </c>
      <c r="AQ349" t="s" s="0">
        <v>284</v>
      </c>
      <c r="AR349" t="s" s="0">
        <v>285</v>
      </c>
      <c r="AS349" t="s" s="0">
        <v>286</v>
      </c>
      <c r="AT349" t="s" s="0">
        <v>6039</v>
      </c>
      <c r="AU349" t="s" s="0">
        <v>6040</v>
      </c>
      <c r="AV349" t="s" s="0">
        <v>81</v>
      </c>
      <c r="AW349" t="s" s="0">
        <v>6034</v>
      </c>
      <c r="AX349" t="s" s="0">
        <v>6041</v>
      </c>
      <c r="AY349" t="s" s="0">
        <v>6360</v>
      </c>
      <c r="AZ349" t="s" s="0">
        <v>290</v>
      </c>
      <c r="BA349" t="s" s="0">
        <v>819</v>
      </c>
      <c r="BB349" t="s" s="0">
        <v>175</v>
      </c>
      <c r="BC349" t="s" s="0">
        <v>81</v>
      </c>
      <c r="BD349" t="s" s="0">
        <v>81</v>
      </c>
      <c r="BE349" t="s" s="0">
        <v>81</v>
      </c>
      <c r="BF349" t="s" s="0">
        <v>81</v>
      </c>
      <c r="BG349" t="s" s="0">
        <v>81</v>
      </c>
      <c r="BH349" t="s" s="0">
        <v>81</v>
      </c>
      <c r="BI349" t="s" s="0">
        <v>8050</v>
      </c>
      <c r="BJ349" t="s" s="0">
        <v>8051</v>
      </c>
      <c r="BK349" t="s" s="692">
        <f>HYPERLINK("http://dx.doi.org/10.3390/medicina61040581","http://dx.doi.org/10.3390/medicina61040581")</f>
        <v>8052</v>
      </c>
      <c r="BL349" t="s" s="0">
        <v>81</v>
      </c>
      <c r="BM349" t="s" s="0">
        <v>81</v>
      </c>
      <c r="BN349" t="s" s="0">
        <v>367</v>
      </c>
      <c r="BO349" t="s" s="0">
        <v>296</v>
      </c>
      <c r="BP349" t="s" s="0">
        <v>297</v>
      </c>
      <c r="BQ349" t="s" s="0">
        <v>8053</v>
      </c>
      <c r="BR349" t="s" s="0">
        <v>8054</v>
      </c>
      <c r="BS349" t="s" s="0">
        <v>8055</v>
      </c>
      <c r="BT349" t="s" s="693">
        <f>HYPERLINK("https://www.webofscience.com/wos/woscc/full-record/WOS:001475112800001","View Record in Web of Science")</f>
        <v>114</v>
      </c>
      <c r="BU349" t="s" s="0">
        <v>301</v>
      </c>
      <c r="BV349" t="s" s="0">
        <v>81</v>
      </c>
      <c r="BW349" t="s" s="0">
        <v>81</v>
      </c>
      <c r="BX349" t="s" s="0">
        <v>116</v>
      </c>
    </row>
    <row r="350">
      <c r="A350" t="s" s="0">
        <v>77</v>
      </c>
      <c r="B350" t="s" s="0">
        <v>77</v>
      </c>
      <c r="C350" t="s" s="0">
        <v>77</v>
      </c>
      <c r="D350" t="s" s="0">
        <v>77</v>
      </c>
      <c r="E350" t="s" s="0">
        <v>8056</v>
      </c>
      <c r="F350" t="s" s="0">
        <v>8057</v>
      </c>
      <c r="G350" t="s" s="0">
        <v>8058</v>
      </c>
      <c r="H350" t="s" s="0">
        <v>81</v>
      </c>
      <c r="I350" t="s" s="0">
        <v>82</v>
      </c>
      <c r="J350" t="s" s="0">
        <v>8059</v>
      </c>
      <c r="K350" t="s" s="0">
        <v>8060</v>
      </c>
      <c r="L350" t="s" s="0">
        <v>8061</v>
      </c>
      <c r="M350" t="s" s="0">
        <v>8062</v>
      </c>
      <c r="N350" t="s" s="0">
        <v>8063</v>
      </c>
      <c r="O350" t="s" s="0">
        <v>8064</v>
      </c>
      <c r="P350" t="s" s="0">
        <v>8065</v>
      </c>
      <c r="Q350" t="s" s="0">
        <v>87</v>
      </c>
      <c r="R350" t="s" s="0">
        <v>81</v>
      </c>
      <c r="S350" t="s" s="0">
        <v>8066</v>
      </c>
      <c r="T350" t="s" s="0">
        <v>81</v>
      </c>
      <c r="U350" t="s" s="0">
        <v>81</v>
      </c>
      <c r="V350" t="s" s="0">
        <v>8067</v>
      </c>
      <c r="W350" t="s" s="0">
        <v>4424</v>
      </c>
      <c r="X350" t="s" s="0">
        <v>81</v>
      </c>
      <c r="Y350" t="s" s="0">
        <v>81</v>
      </c>
      <c r="Z350" t="s" s="0">
        <v>90</v>
      </c>
      <c r="AA350" t="s" s="0">
        <v>91</v>
      </c>
      <c r="AB350" t="s" s="0">
        <v>81</v>
      </c>
      <c r="AC350" t="s" s="0">
        <v>81</v>
      </c>
      <c r="AD350" t="s" s="0">
        <v>81</v>
      </c>
      <c r="AE350" t="s" s="0">
        <v>81</v>
      </c>
      <c r="AF350" t="s" s="0">
        <v>81</v>
      </c>
      <c r="AG350" t="s" s="0">
        <v>81</v>
      </c>
      <c r="AH350" t="s" s="0">
        <v>81</v>
      </c>
      <c r="AI350" t="s" s="0">
        <v>8068</v>
      </c>
      <c r="AJ350" t="s" s="0">
        <v>81</v>
      </c>
      <c r="AK350" t="s" s="0">
        <v>81</v>
      </c>
      <c r="AL350" t="s" s="0">
        <v>1374</v>
      </c>
      <c r="AM350" t="s" s="0">
        <v>77</v>
      </c>
      <c r="AN350" t="s" s="0">
        <v>77</v>
      </c>
      <c r="AO350" t="s" s="0">
        <v>77</v>
      </c>
      <c r="AP350" t="s" s="0">
        <v>77</v>
      </c>
      <c r="AQ350" t="s" s="0">
        <v>915</v>
      </c>
      <c r="AR350" t="s" s="0">
        <v>916</v>
      </c>
      <c r="AS350" t="s" s="0">
        <v>917</v>
      </c>
      <c r="AT350" t="s" s="0">
        <v>4426</v>
      </c>
      <c r="AU350" t="s" s="0">
        <v>81</v>
      </c>
      <c r="AV350" t="s" s="0">
        <v>81</v>
      </c>
      <c r="AW350" t="s" s="0">
        <v>4427</v>
      </c>
      <c r="AX350" t="s" s="0">
        <v>4428</v>
      </c>
      <c r="AY350" t="s" s="0">
        <v>8069</v>
      </c>
      <c r="AZ350" t="s" s="0">
        <v>103</v>
      </c>
      <c r="BA350" t="s" s="0">
        <v>261</v>
      </c>
      <c r="BB350" t="s" s="0">
        <v>97</v>
      </c>
      <c r="BC350" t="s" s="0">
        <v>81</v>
      </c>
      <c r="BD350" t="s" s="0">
        <v>81</v>
      </c>
      <c r="BE350" t="s" s="0">
        <v>81</v>
      </c>
      <c r="BF350" t="s" s="0">
        <v>81</v>
      </c>
      <c r="BG350" t="s" s="0">
        <v>81</v>
      </c>
      <c r="BH350" t="s" s="0">
        <v>81</v>
      </c>
      <c r="BI350" t="s" s="0">
        <v>8070</v>
      </c>
      <c r="BJ350" t="s" s="0">
        <v>8071</v>
      </c>
      <c r="BK350" t="s" s="694">
        <f>HYPERLINK("http://dx.doi.org/10.1038/s41746-026-02714-2","http://dx.doi.org/10.1038/s41746-026-02714-2")</f>
        <v>8072</v>
      </c>
      <c r="BL350" t="s" s="0">
        <v>81</v>
      </c>
      <c r="BM350" t="s" s="0">
        <v>81</v>
      </c>
      <c r="BN350" t="s" s="0">
        <v>211</v>
      </c>
      <c r="BO350" t="s" s="0">
        <v>792</v>
      </c>
      <c r="BP350" t="s" s="0">
        <v>792</v>
      </c>
      <c r="BQ350" t="s" s="0">
        <v>8073</v>
      </c>
      <c r="BR350" t="s" s="0">
        <v>8074</v>
      </c>
      <c r="BS350" t="s" s="0">
        <v>8075</v>
      </c>
      <c r="BT350" t="s" s="695">
        <f>HYPERLINK("https://www.webofscience.com/wos/woscc/full-record/WOS:001823916200002","View Record in Web of Science")</f>
        <v>114</v>
      </c>
      <c r="BU350" t="s" s="0">
        <v>6488</v>
      </c>
      <c r="BV350" t="s" s="0">
        <v>81</v>
      </c>
      <c r="BW350" t="s" s="0">
        <v>81</v>
      </c>
      <c r="BX350" t="s" s="0">
        <v>116</v>
      </c>
    </row>
    <row r="351">
      <c r="A351" t="s" s="0">
        <v>77</v>
      </c>
      <c r="B351" t="s" s="0">
        <v>77</v>
      </c>
      <c r="C351" t="s" s="0">
        <v>97</v>
      </c>
      <c r="D351" t="s" s="0">
        <v>77</v>
      </c>
      <c r="E351" t="s" s="0">
        <v>8076</v>
      </c>
      <c r="F351" t="s" s="0">
        <v>8077</v>
      </c>
      <c r="G351" t="s" s="0">
        <v>8078</v>
      </c>
      <c r="H351" t="s" s="0">
        <v>81</v>
      </c>
      <c r="I351" t="s" s="0">
        <v>82</v>
      </c>
      <c r="J351" t="s" s="0">
        <v>8079</v>
      </c>
      <c r="K351" t="s" s="0">
        <v>8080</v>
      </c>
      <c r="L351" t="s" s="0">
        <v>81</v>
      </c>
      <c r="M351" t="s" s="0">
        <v>81</v>
      </c>
      <c r="N351" t="s" s="0">
        <v>81</v>
      </c>
      <c r="O351" t="s" s="0">
        <v>8081</v>
      </c>
      <c r="P351" t="s" s="0">
        <v>8082</v>
      </c>
      <c r="Q351" t="s" s="0">
        <v>87</v>
      </c>
      <c r="R351" t="s" s="0">
        <v>81</v>
      </c>
      <c r="S351" t="s" s="0">
        <v>81</v>
      </c>
      <c r="T351" t="s" s="0">
        <v>81</v>
      </c>
      <c r="U351" t="s" s="0">
        <v>81</v>
      </c>
      <c r="V351" t="s" s="0">
        <v>8083</v>
      </c>
      <c r="W351" t="s" s="0">
        <v>8084</v>
      </c>
      <c r="X351" t="s" s="0">
        <v>81</v>
      </c>
      <c r="Y351" t="s" s="0">
        <v>81</v>
      </c>
      <c r="Z351" t="s" s="0">
        <v>90</v>
      </c>
      <c r="AA351" t="s" s="0">
        <v>91</v>
      </c>
      <c r="AB351" t="s" s="0">
        <v>81</v>
      </c>
      <c r="AC351" t="s" s="0">
        <v>81</v>
      </c>
      <c r="AD351" t="s" s="0">
        <v>81</v>
      </c>
      <c r="AE351" t="s" s="0">
        <v>81</v>
      </c>
      <c r="AF351" t="s" s="0">
        <v>81</v>
      </c>
      <c r="AG351" t="s" s="0">
        <v>8085</v>
      </c>
      <c r="AH351" t="s" s="0">
        <v>81</v>
      </c>
      <c r="AI351" t="s" s="0">
        <v>81</v>
      </c>
      <c r="AJ351" t="s" s="0">
        <v>8086</v>
      </c>
      <c r="AK351" t="s" s="0">
        <v>81</v>
      </c>
      <c r="AL351" t="s" s="0">
        <v>3518</v>
      </c>
      <c r="AM351" t="s" s="0">
        <v>156</v>
      </c>
      <c r="AN351" t="s" s="0">
        <v>156</v>
      </c>
      <c r="AO351" t="s" s="0">
        <v>97</v>
      </c>
      <c r="AP351" t="s" s="0">
        <v>196</v>
      </c>
      <c r="AQ351" t="s" s="0">
        <v>1608</v>
      </c>
      <c r="AR351" t="s" s="0">
        <v>1609</v>
      </c>
      <c r="AS351" t="s" s="0">
        <v>1610</v>
      </c>
      <c r="AT351" t="s" s="0">
        <v>8087</v>
      </c>
      <c r="AU351" t="s" s="0">
        <v>8088</v>
      </c>
      <c r="AV351" t="s" s="0">
        <v>81</v>
      </c>
      <c r="AW351" t="s" s="0">
        <v>8089</v>
      </c>
      <c r="AX351" t="s" s="0">
        <v>8090</v>
      </c>
      <c r="AY351" t="s" s="0">
        <v>552</v>
      </c>
      <c r="AZ351" t="s" s="0">
        <v>290</v>
      </c>
      <c r="BA351" t="s" s="0">
        <v>8091</v>
      </c>
      <c r="BB351" t="s" s="0">
        <v>81</v>
      </c>
      <c r="BC351" t="s" s="0">
        <v>81</v>
      </c>
      <c r="BD351" t="s" s="0">
        <v>81</v>
      </c>
      <c r="BE351" t="s" s="0">
        <v>81</v>
      </c>
      <c r="BF351" t="s" s="0">
        <v>81</v>
      </c>
      <c r="BG351" t="s" s="0">
        <v>81</v>
      </c>
      <c r="BH351" t="s" s="0">
        <v>81</v>
      </c>
      <c r="BI351" t="s" s="0">
        <v>8092</v>
      </c>
      <c r="BJ351" t="s" s="0">
        <v>8093</v>
      </c>
      <c r="BK351" t="s" s="696">
        <f>HYPERLINK("http://dx.doi.org/10.1016/j.pscychresns.2025.111969","http://dx.doi.org/10.1016/j.pscychresns.2025.111969")</f>
        <v>8094</v>
      </c>
      <c r="BL351" t="s" s="0">
        <v>81</v>
      </c>
      <c r="BM351" t="s" s="0">
        <v>1025</v>
      </c>
      <c r="BN351" t="s" s="0">
        <v>191</v>
      </c>
      <c r="BO351" t="s" s="0">
        <v>8095</v>
      </c>
      <c r="BP351" t="s" s="0">
        <v>8096</v>
      </c>
      <c r="BQ351" t="s" s="0">
        <v>8097</v>
      </c>
      <c r="BR351" t="s" s="0">
        <v>8098</v>
      </c>
      <c r="BS351" t="s" s="0">
        <v>8099</v>
      </c>
      <c r="BT351" t="s" s="697">
        <f>HYPERLINK("https://www.webofscience.com/wos/woscc/full-record/WOS:001449916300001","View Record in Web of Science")</f>
        <v>114</v>
      </c>
      <c r="BU351" t="s" s="0">
        <v>81</v>
      </c>
      <c r="BV351" t="s" s="0">
        <v>81</v>
      </c>
      <c r="BW351" t="s" s="0">
        <v>81</v>
      </c>
      <c r="BX351" t="s" s="0">
        <v>116</v>
      </c>
    </row>
    <row r="352">
      <c r="A352" t="s" s="0">
        <v>77</v>
      </c>
      <c r="B352" t="s" s="0">
        <v>77</v>
      </c>
      <c r="C352" t="s" s="0">
        <v>77</v>
      </c>
      <c r="D352" t="s" s="0">
        <v>77</v>
      </c>
      <c r="E352" t="s" s="0">
        <v>8100</v>
      </c>
      <c r="F352" t="s" s="0">
        <v>8101</v>
      </c>
      <c r="G352" t="s" s="0">
        <v>8102</v>
      </c>
      <c r="H352" t="s" s="0">
        <v>81</v>
      </c>
      <c r="I352" t="s" s="0">
        <v>82</v>
      </c>
      <c r="J352" t="s" s="0">
        <v>8103</v>
      </c>
      <c r="K352" t="s" s="0">
        <v>8104</v>
      </c>
      <c r="L352" t="s" s="0">
        <v>8105</v>
      </c>
      <c r="M352" t="s" s="0">
        <v>8106</v>
      </c>
      <c r="N352" t="s" s="0">
        <v>8107</v>
      </c>
      <c r="O352" t="s" s="0">
        <v>8108</v>
      </c>
      <c r="P352" t="s" s="0">
        <v>8109</v>
      </c>
      <c r="Q352" t="s" s="0">
        <v>87</v>
      </c>
      <c r="R352" t="s" s="0">
        <v>81</v>
      </c>
      <c r="S352" t="s" s="0">
        <v>81</v>
      </c>
      <c r="T352" t="s" s="0">
        <v>81</v>
      </c>
      <c r="U352" t="s" s="0">
        <v>81</v>
      </c>
      <c r="V352" t="s" s="0">
        <v>8110</v>
      </c>
      <c r="W352" t="s" s="0">
        <v>89</v>
      </c>
      <c r="X352" t="s" s="0">
        <v>81</v>
      </c>
      <c r="Y352" t="s" s="0">
        <v>81</v>
      </c>
      <c r="Z352" t="s" s="0">
        <v>90</v>
      </c>
      <c r="AA352" t="s" s="0">
        <v>91</v>
      </c>
      <c r="AB352" t="s" s="0">
        <v>81</v>
      </c>
      <c r="AC352" t="s" s="0">
        <v>81</v>
      </c>
      <c r="AD352" t="s" s="0">
        <v>81</v>
      </c>
      <c r="AE352" t="s" s="0">
        <v>81</v>
      </c>
      <c r="AF352" t="s" s="0">
        <v>81</v>
      </c>
      <c r="AG352" t="s" s="0">
        <v>8111</v>
      </c>
      <c r="AH352" t="s" s="0">
        <v>8112</v>
      </c>
      <c r="AI352" t="s" s="0">
        <v>8113</v>
      </c>
      <c r="AJ352" t="s" s="0">
        <v>8114</v>
      </c>
      <c r="AK352" t="s" s="0">
        <v>81</v>
      </c>
      <c r="AL352" t="s" s="0">
        <v>756</v>
      </c>
      <c r="AM352" t="s" s="0">
        <v>156</v>
      </c>
      <c r="AN352" t="s" s="0">
        <v>156</v>
      </c>
      <c r="AO352" t="s" s="0">
        <v>156</v>
      </c>
      <c r="AP352" t="s" s="0">
        <v>485</v>
      </c>
      <c r="AQ352" t="s" s="0">
        <v>98</v>
      </c>
      <c r="AR352" t="s" s="0">
        <v>99</v>
      </c>
      <c r="AS352" t="s" s="0">
        <v>100</v>
      </c>
      <c r="AT352" t="s" s="0">
        <v>101</v>
      </c>
      <c r="AU352" t="s" s="0">
        <v>81</v>
      </c>
      <c r="AV352" t="s" s="0">
        <v>81</v>
      </c>
      <c r="AW352" t="s" s="0">
        <v>89</v>
      </c>
      <c r="AX352" t="s" s="0">
        <v>102</v>
      </c>
      <c r="AY352" t="s" s="0">
        <v>185</v>
      </c>
      <c r="AZ352" t="s" s="0">
        <v>185</v>
      </c>
      <c r="BA352" t="s" s="0">
        <v>134</v>
      </c>
      <c r="BB352" t="s" s="0">
        <v>81</v>
      </c>
      <c r="BC352" t="s" s="0">
        <v>81</v>
      </c>
      <c r="BD352" t="s" s="0">
        <v>81</v>
      </c>
      <c r="BE352" t="s" s="0">
        <v>81</v>
      </c>
      <c r="BF352" t="s" s="0">
        <v>81</v>
      </c>
      <c r="BG352" t="s" s="0">
        <v>8115</v>
      </c>
      <c r="BH352" t="s" s="0">
        <v>8116</v>
      </c>
      <c r="BI352" t="s" s="0">
        <v>81</v>
      </c>
      <c r="BJ352" t="s" s="0">
        <v>8117</v>
      </c>
      <c r="BK352" t="s" s="698">
        <f>HYPERLINK("http://dx.doi.org/10.1109/ACCESS.2024.3449704","http://dx.doi.org/10.1109/ACCESS.2024.3449704")</f>
        <v>8118</v>
      </c>
      <c r="BL352" t="s" s="0">
        <v>81</v>
      </c>
      <c r="BM352" t="s" s="0">
        <v>81</v>
      </c>
      <c r="BN352" t="s" s="0">
        <v>210</v>
      </c>
      <c r="BO352" t="s" s="0">
        <v>110</v>
      </c>
      <c r="BP352" t="s" s="0">
        <v>111</v>
      </c>
      <c r="BQ352" t="s" s="0">
        <v>8119</v>
      </c>
      <c r="BR352" t="s" s="0">
        <v>81</v>
      </c>
      <c r="BS352" t="s" s="0">
        <v>8120</v>
      </c>
      <c r="BT352" t="s" s="699">
        <f>HYPERLINK("https://www.webofscience.com/wos/woscc/full-record/WOS:001306631300001","View Record in Web of Science")</f>
        <v>114</v>
      </c>
      <c r="BU352" t="s" s="0">
        <v>301</v>
      </c>
      <c r="BV352" t="s" s="0">
        <v>81</v>
      </c>
      <c r="BW352" t="s" s="0">
        <v>81</v>
      </c>
      <c r="BX352" t="s" s="0">
        <v>116</v>
      </c>
    </row>
    <row r="353">
      <c r="A353" t="s" s="0">
        <v>77</v>
      </c>
      <c r="B353" t="s" s="0">
        <v>77</v>
      </c>
      <c r="C353" t="s" s="0">
        <v>77</v>
      </c>
      <c r="D353" t="s" s="0">
        <v>77</v>
      </c>
      <c r="E353" t="s" s="0">
        <v>8121</v>
      </c>
      <c r="F353" t="s" s="0">
        <v>8122</v>
      </c>
      <c r="G353" t="s" s="0">
        <v>8123</v>
      </c>
      <c r="H353" t="s" s="0">
        <v>81</v>
      </c>
      <c r="I353" t="s" s="0">
        <v>82</v>
      </c>
      <c r="J353" t="s" s="0">
        <v>8124</v>
      </c>
      <c r="K353" t="s" s="0">
        <v>1848</v>
      </c>
      <c r="L353" t="s" s="0">
        <v>8125</v>
      </c>
      <c r="M353" t="s" s="0">
        <v>8126</v>
      </c>
      <c r="N353" t="s" s="0">
        <v>8127</v>
      </c>
      <c r="O353" t="s" s="0">
        <v>8128</v>
      </c>
      <c r="P353" t="s" s="0">
        <v>8129</v>
      </c>
      <c r="Q353" t="s" s="0">
        <v>87</v>
      </c>
      <c r="R353" t="s" s="0">
        <v>81</v>
      </c>
      <c r="S353" t="s" s="0">
        <v>81</v>
      </c>
      <c r="T353" t="s" s="0">
        <v>81</v>
      </c>
      <c r="U353" t="s" s="0">
        <v>81</v>
      </c>
      <c r="V353" t="s" s="0">
        <v>8130</v>
      </c>
      <c r="W353" t="s" s="0">
        <v>2205</v>
      </c>
      <c r="X353" t="s" s="0">
        <v>81</v>
      </c>
      <c r="Y353" t="s" s="0">
        <v>81</v>
      </c>
      <c r="Z353" t="s" s="0">
        <v>90</v>
      </c>
      <c r="AA353" t="s" s="0">
        <v>91</v>
      </c>
      <c r="AB353" t="s" s="0">
        <v>81</v>
      </c>
      <c r="AC353" t="s" s="0">
        <v>81</v>
      </c>
      <c r="AD353" t="s" s="0">
        <v>81</v>
      </c>
      <c r="AE353" t="s" s="0">
        <v>81</v>
      </c>
      <c r="AF353" t="s" s="0">
        <v>81</v>
      </c>
      <c r="AG353" t="s" s="0">
        <v>8131</v>
      </c>
      <c r="AH353" t="s" s="0">
        <v>81</v>
      </c>
      <c r="AI353" t="s" s="0">
        <v>8132</v>
      </c>
      <c r="AJ353" t="s" s="0">
        <v>81</v>
      </c>
      <c r="AK353" t="s" s="0">
        <v>81</v>
      </c>
      <c r="AL353" t="s" s="0">
        <v>1442</v>
      </c>
      <c r="AM353" t="s" s="0">
        <v>234</v>
      </c>
      <c r="AN353" t="s" s="0">
        <v>234</v>
      </c>
      <c r="AO353" t="s" s="0">
        <v>77</v>
      </c>
      <c r="AP353" t="s" s="0">
        <v>234</v>
      </c>
      <c r="AQ353" t="s" s="0">
        <v>2208</v>
      </c>
      <c r="AR353" t="s" s="0">
        <v>2209</v>
      </c>
      <c r="AS353" t="s" s="0">
        <v>2210</v>
      </c>
      <c r="AT353" t="s" s="0">
        <v>2211</v>
      </c>
      <c r="AU353" t="s" s="0">
        <v>2212</v>
      </c>
      <c r="AV353" t="s" s="0">
        <v>81</v>
      </c>
      <c r="AW353" t="s" s="0">
        <v>2213</v>
      </c>
      <c r="AX353" t="s" s="0">
        <v>2214</v>
      </c>
      <c r="AY353" t="s" s="0">
        <v>8133</v>
      </c>
      <c r="AZ353" t="s" s="0">
        <v>290</v>
      </c>
      <c r="BA353" t="s" s="0">
        <v>925</v>
      </c>
      <c r="BB353" t="s" s="0">
        <v>97</v>
      </c>
      <c r="BC353" t="s" s="0">
        <v>81</v>
      </c>
      <c r="BD353" t="s" s="0">
        <v>81</v>
      </c>
      <c r="BE353" t="s" s="0">
        <v>81</v>
      </c>
      <c r="BF353" t="s" s="0">
        <v>81</v>
      </c>
      <c r="BG353" t="s" s="0">
        <v>81</v>
      </c>
      <c r="BH353" t="s" s="0">
        <v>81</v>
      </c>
      <c r="BI353" t="s" s="0">
        <v>253</v>
      </c>
      <c r="BJ353" t="s" s="0">
        <v>8134</v>
      </c>
      <c r="BK353" t="s" s="700">
        <f>HYPERLINK("http://dx.doi.org/10.1007/s12530-025-09664-2","http://dx.doi.org/10.1007/s12530-025-09664-2")</f>
        <v>8135</v>
      </c>
      <c r="BL353" t="s" s="0">
        <v>81</v>
      </c>
      <c r="BM353" t="s" s="0">
        <v>81</v>
      </c>
      <c r="BN353" t="s" s="0">
        <v>109</v>
      </c>
      <c r="BO353" t="s" s="0">
        <v>409</v>
      </c>
      <c r="BP353" t="s" s="0">
        <v>152</v>
      </c>
      <c r="BQ353" t="s" s="0">
        <v>8136</v>
      </c>
      <c r="BR353" t="s" s="0">
        <v>81</v>
      </c>
      <c r="BS353" t="s" s="0">
        <v>8137</v>
      </c>
      <c r="BT353" t="s" s="701">
        <f>HYPERLINK("https://www.webofscience.com/wos/woscc/full-record/WOS:001415075100003","View Record in Web of Science")</f>
        <v>114</v>
      </c>
      <c r="BU353" t="s" s="0">
        <v>81</v>
      </c>
      <c r="BV353" t="s" s="0">
        <v>81</v>
      </c>
      <c r="BW353" t="s" s="0">
        <v>81</v>
      </c>
      <c r="BX353" t="s" s="0">
        <v>116</v>
      </c>
    </row>
    <row r="354">
      <c r="A354" t="s" s="0">
        <v>77</v>
      </c>
      <c r="B354" t="s" s="0">
        <v>77</v>
      </c>
      <c r="C354" t="s" s="0">
        <v>77</v>
      </c>
      <c r="D354" t="s" s="0">
        <v>77</v>
      </c>
      <c r="E354" t="s" s="0">
        <v>8138</v>
      </c>
      <c r="F354" t="s" s="0">
        <v>8139</v>
      </c>
      <c r="G354" t="s" s="0">
        <v>8140</v>
      </c>
      <c r="H354" t="s" s="0">
        <v>81</v>
      </c>
      <c r="I354" t="s" s="0">
        <v>238</v>
      </c>
      <c r="J354" t="s" s="0">
        <v>8141</v>
      </c>
      <c r="K354" t="s" s="0">
        <v>8142</v>
      </c>
      <c r="L354" t="s" s="0">
        <v>81</v>
      </c>
      <c r="M354" t="s" s="0">
        <v>81</v>
      </c>
      <c r="N354" t="s" s="0">
        <v>81</v>
      </c>
      <c r="O354" t="s" s="0">
        <v>8143</v>
      </c>
      <c r="P354" t="s" s="0">
        <v>81</v>
      </c>
      <c r="Q354" t="s" s="0">
        <v>87</v>
      </c>
      <c r="R354" t="s" s="0">
        <v>81</v>
      </c>
      <c r="S354" t="s" s="0">
        <v>81</v>
      </c>
      <c r="T354" t="s" s="0">
        <v>81</v>
      </c>
      <c r="U354" t="s" s="0">
        <v>81</v>
      </c>
      <c r="V354" t="s" s="0">
        <v>8144</v>
      </c>
      <c r="W354" t="s" s="0">
        <v>8145</v>
      </c>
      <c r="X354" t="s" s="0">
        <v>81</v>
      </c>
      <c r="Y354" t="s" s="0">
        <v>81</v>
      </c>
      <c r="Z354" t="s" s="0">
        <v>90</v>
      </c>
      <c r="AA354" t="s" s="0">
        <v>1581</v>
      </c>
      <c r="AB354" t="s" s="0">
        <v>81</v>
      </c>
      <c r="AC354" t="s" s="0">
        <v>81</v>
      </c>
      <c r="AD354" t="s" s="0">
        <v>81</v>
      </c>
      <c r="AE354" t="s" s="0">
        <v>81</v>
      </c>
      <c r="AF354" t="s" s="0">
        <v>81</v>
      </c>
      <c r="AG354" t="s" s="0">
        <v>8146</v>
      </c>
      <c r="AH354" t="s" s="0">
        <v>81</v>
      </c>
      <c r="AI354" t="s" s="0">
        <v>81</v>
      </c>
      <c r="AJ354" t="s" s="0">
        <v>81</v>
      </c>
      <c r="AK354" t="s" s="0">
        <v>81</v>
      </c>
      <c r="AL354" t="s" s="0">
        <v>925</v>
      </c>
      <c r="AM354" t="s" s="0">
        <v>77</v>
      </c>
      <c r="AN354" t="s" s="0">
        <v>77</v>
      </c>
      <c r="AO354" t="s" s="0">
        <v>77</v>
      </c>
      <c r="AP354" t="s" s="0">
        <v>77</v>
      </c>
      <c r="AQ354" t="s" s="0">
        <v>6120</v>
      </c>
      <c r="AR354" t="s" s="0">
        <v>2571</v>
      </c>
      <c r="AS354" t="s" s="0">
        <v>6121</v>
      </c>
      <c r="AT354" t="s" s="0">
        <v>8147</v>
      </c>
      <c r="AU354" t="s" s="0">
        <v>8148</v>
      </c>
      <c r="AV354" t="s" s="0">
        <v>81</v>
      </c>
      <c r="AW354" t="s" s="0">
        <v>8149</v>
      </c>
      <c r="AX354" t="s" s="0">
        <v>8150</v>
      </c>
      <c r="AY354" t="s" s="0">
        <v>81</v>
      </c>
      <c r="AZ354" t="s" s="0">
        <v>103</v>
      </c>
      <c r="BA354" t="s" s="0">
        <v>81</v>
      </c>
      <c r="BB354" t="s" s="0">
        <v>81</v>
      </c>
      <c r="BC354" t="s" s="0">
        <v>81</v>
      </c>
      <c r="BD354" t="s" s="0">
        <v>81</v>
      </c>
      <c r="BE354" t="s" s="0">
        <v>81</v>
      </c>
      <c r="BF354" t="s" s="0">
        <v>81</v>
      </c>
      <c r="BG354" t="s" s="0">
        <v>81</v>
      </c>
      <c r="BH354" t="s" s="0">
        <v>81</v>
      </c>
      <c r="BI354" t="s" s="0">
        <v>81</v>
      </c>
      <c r="BJ354" t="s" s="0">
        <v>8151</v>
      </c>
      <c r="BK354" t="s" s="702">
        <f>HYPERLINK("http://dx.doi.org/10.1142/S0219649226500486","http://dx.doi.org/10.1142/S0219649226500486")</f>
        <v>8152</v>
      </c>
      <c r="BL354" t="s" s="0">
        <v>81</v>
      </c>
      <c r="BM354" t="s" s="0">
        <v>3366</v>
      </c>
      <c r="BN354" t="s" s="0">
        <v>925</v>
      </c>
      <c r="BO354" t="s" s="0">
        <v>8153</v>
      </c>
      <c r="BP354" t="s" s="0">
        <v>8153</v>
      </c>
      <c r="BQ354" t="s" s="0">
        <v>8154</v>
      </c>
      <c r="BR354" t="s" s="0">
        <v>81</v>
      </c>
      <c r="BS354" t="s" s="0">
        <v>8155</v>
      </c>
      <c r="BT354" t="s" s="703">
        <f>HYPERLINK("https://www.webofscience.com/wos/woscc/full-record/WOS:001825104900001","View Record in Web of Science")</f>
        <v>114</v>
      </c>
      <c r="BU354" t="s" s="0">
        <v>81</v>
      </c>
      <c r="BV354" t="s" s="0">
        <v>81</v>
      </c>
      <c r="BW354" t="s" s="0">
        <v>81</v>
      </c>
      <c r="BX354" t="s" s="0">
        <v>116</v>
      </c>
    </row>
    <row r="355">
      <c r="A355" t="s" s="0">
        <v>77</v>
      </c>
      <c r="B355" t="s" s="0">
        <v>77</v>
      </c>
      <c r="C355" t="s" s="0">
        <v>77</v>
      </c>
      <c r="D355" t="s" s="0">
        <v>77</v>
      </c>
      <c r="E355" t="s" s="0">
        <v>8156</v>
      </c>
      <c r="F355" t="s" s="0">
        <v>8157</v>
      </c>
      <c r="G355" t="s" s="0">
        <v>8158</v>
      </c>
      <c r="H355" t="s" s="0">
        <v>81</v>
      </c>
      <c r="I355" t="s" s="0">
        <v>238</v>
      </c>
      <c r="J355" t="s" s="0">
        <v>8159</v>
      </c>
      <c r="K355" t="s" s="0">
        <v>8160</v>
      </c>
      <c r="L355" t="s" s="0">
        <v>8161</v>
      </c>
      <c r="M355" t="s" s="0">
        <v>8162</v>
      </c>
      <c r="N355" t="s" s="0">
        <v>8163</v>
      </c>
      <c r="O355" t="s" s="0">
        <v>8164</v>
      </c>
      <c r="P355" t="s" s="0">
        <v>8165</v>
      </c>
      <c r="Q355" t="s" s="0">
        <v>87</v>
      </c>
      <c r="R355" t="s" s="0">
        <v>81</v>
      </c>
      <c r="S355" t="s" s="0">
        <v>81</v>
      </c>
      <c r="T355" t="s" s="0">
        <v>81</v>
      </c>
      <c r="U355" t="s" s="0">
        <v>81</v>
      </c>
      <c r="V355" t="s" s="0">
        <v>8166</v>
      </c>
      <c r="W355" t="s" s="0">
        <v>7986</v>
      </c>
      <c r="X355" t="s" s="0">
        <v>81</v>
      </c>
      <c r="Y355" t="s" s="0">
        <v>81</v>
      </c>
      <c r="Z355" t="s" s="0">
        <v>90</v>
      </c>
      <c r="AA355" t="s" s="0">
        <v>91</v>
      </c>
      <c r="AB355" t="s" s="0">
        <v>81</v>
      </c>
      <c r="AC355" t="s" s="0">
        <v>81</v>
      </c>
      <c r="AD355" t="s" s="0">
        <v>81</v>
      </c>
      <c r="AE355" t="s" s="0">
        <v>81</v>
      </c>
      <c r="AF355" t="s" s="0">
        <v>81</v>
      </c>
      <c r="AG355" t="s" s="0">
        <v>8167</v>
      </c>
      <c r="AH355" t="s" s="0">
        <v>81</v>
      </c>
      <c r="AI355" t="s" s="0">
        <v>8168</v>
      </c>
      <c r="AJ355" t="s" s="0">
        <v>81</v>
      </c>
      <c r="AK355" t="s" s="0">
        <v>81</v>
      </c>
      <c r="AL355" t="s" s="0">
        <v>1047</v>
      </c>
      <c r="AM355" t="s" s="0">
        <v>97</v>
      </c>
      <c r="AN355" t="s" s="0">
        <v>97</v>
      </c>
      <c r="AO355" t="s" s="0">
        <v>133</v>
      </c>
      <c r="AP355" t="s" s="0">
        <v>133</v>
      </c>
      <c r="AQ355" t="s" s="0">
        <v>3061</v>
      </c>
      <c r="AR355" t="s" s="0">
        <v>3062</v>
      </c>
      <c r="AS355" t="s" s="0">
        <v>3063</v>
      </c>
      <c r="AT355" t="s" s="0">
        <v>7991</v>
      </c>
      <c r="AU355" t="s" s="0">
        <v>81</v>
      </c>
      <c r="AV355" t="s" s="0">
        <v>81</v>
      </c>
      <c r="AW355" t="s" s="0">
        <v>7992</v>
      </c>
      <c r="AX355" t="s" s="0">
        <v>7993</v>
      </c>
      <c r="AY355" t="s" s="0">
        <v>103</v>
      </c>
      <c r="AZ355" t="s" s="0">
        <v>103</v>
      </c>
      <c r="BA355" t="s" s="0">
        <v>486</v>
      </c>
      <c r="BB355" t="s" s="0">
        <v>81</v>
      </c>
      <c r="BC355" t="s" s="0">
        <v>81</v>
      </c>
      <c r="BD355" t="s" s="0">
        <v>81</v>
      </c>
      <c r="BE355" t="s" s="0">
        <v>81</v>
      </c>
      <c r="BF355" t="s" s="0">
        <v>81</v>
      </c>
      <c r="BG355" t="s" s="0">
        <v>81</v>
      </c>
      <c r="BH355" t="s" s="0">
        <v>81</v>
      </c>
      <c r="BI355" t="s" s="0">
        <v>8169</v>
      </c>
      <c r="BJ355" t="s" s="0">
        <v>8170</v>
      </c>
      <c r="BK355" t="s" s="704">
        <f>HYPERLINK("http://dx.doi.org/10.2196/81460","http://dx.doi.org/10.2196/81460")</f>
        <v>8171</v>
      </c>
      <c r="BL355" t="s" s="0">
        <v>81</v>
      </c>
      <c r="BM355" t="s" s="0">
        <v>81</v>
      </c>
      <c r="BN355" t="s" s="0">
        <v>925</v>
      </c>
      <c r="BO355" t="s" s="0">
        <v>792</v>
      </c>
      <c r="BP355" t="s" s="0">
        <v>792</v>
      </c>
      <c r="BQ355" t="s" s="0">
        <v>8172</v>
      </c>
      <c r="BR355" t="s" s="0">
        <v>8173</v>
      </c>
      <c r="BS355" t="s" s="0">
        <v>8174</v>
      </c>
      <c r="BT355" t="s" s="705">
        <f>HYPERLINK("https://www.webofscience.com/wos/woscc/full-record/WOS:001759470800001","View Record in Web of Science")</f>
        <v>114</v>
      </c>
      <c r="BU355" t="s" s="0">
        <v>301</v>
      </c>
      <c r="BV355" t="s" s="0">
        <v>81</v>
      </c>
      <c r="BW355" t="s" s="0">
        <v>81</v>
      </c>
      <c r="BX355" t="s" s="0">
        <v>116</v>
      </c>
    </row>
    <row r="356">
      <c r="A356" t="s" s="0">
        <v>77</v>
      </c>
      <c r="B356" t="s" s="0">
        <v>77</v>
      </c>
      <c r="C356" t="s" s="0">
        <v>133</v>
      </c>
      <c r="D356" t="s" s="0">
        <v>77</v>
      </c>
      <c r="E356" t="s" s="0">
        <v>8175</v>
      </c>
      <c r="F356" t="s" s="0">
        <v>8176</v>
      </c>
      <c r="G356" t="s" s="0">
        <v>8177</v>
      </c>
      <c r="H356" t="s" s="0">
        <v>81</v>
      </c>
      <c r="I356" t="s" s="0">
        <v>82</v>
      </c>
      <c r="J356" t="s" s="0">
        <v>8178</v>
      </c>
      <c r="K356" t="s" s="0">
        <v>8179</v>
      </c>
      <c r="L356" t="s" s="0">
        <v>8180</v>
      </c>
      <c r="M356" t="s" s="0">
        <v>8181</v>
      </c>
      <c r="N356" t="s" s="0">
        <v>8182</v>
      </c>
      <c r="O356" t="s" s="0">
        <v>8183</v>
      </c>
      <c r="P356" t="s" s="0">
        <v>8184</v>
      </c>
      <c r="Q356" t="s" s="0">
        <v>87</v>
      </c>
      <c r="R356" t="s" s="0">
        <v>81</v>
      </c>
      <c r="S356" t="s" s="0">
        <v>81</v>
      </c>
      <c r="T356" t="s" s="0">
        <v>81</v>
      </c>
      <c r="U356" t="s" s="0">
        <v>81</v>
      </c>
      <c r="V356" t="s" s="0">
        <v>8185</v>
      </c>
      <c r="W356" t="s" s="0">
        <v>2070</v>
      </c>
      <c r="X356" t="s" s="0">
        <v>81</v>
      </c>
      <c r="Y356" t="s" s="0">
        <v>81</v>
      </c>
      <c r="Z356" t="s" s="0">
        <v>90</v>
      </c>
      <c r="AA356" t="s" s="0">
        <v>91</v>
      </c>
      <c r="AB356" t="s" s="0">
        <v>81</v>
      </c>
      <c r="AC356" t="s" s="0">
        <v>81</v>
      </c>
      <c r="AD356" t="s" s="0">
        <v>81</v>
      </c>
      <c r="AE356" t="s" s="0">
        <v>81</v>
      </c>
      <c r="AF356" t="s" s="0">
        <v>81</v>
      </c>
      <c r="AG356" t="s" s="0">
        <v>8186</v>
      </c>
      <c r="AH356" t="s" s="0">
        <v>8187</v>
      </c>
      <c r="AI356" t="s" s="0">
        <v>8188</v>
      </c>
      <c r="AJ356" t="s" s="0">
        <v>8189</v>
      </c>
      <c r="AK356" t="s" s="0">
        <v>81</v>
      </c>
      <c r="AL356" t="s" s="0">
        <v>819</v>
      </c>
      <c r="AM356" t="s" s="0">
        <v>222</v>
      </c>
      <c r="AN356" t="s" s="0">
        <v>485</v>
      </c>
      <c r="AO356" t="s" s="0">
        <v>175</v>
      </c>
      <c r="AP356" t="s" s="0">
        <v>819</v>
      </c>
      <c r="AQ356" t="s" s="0">
        <v>177</v>
      </c>
      <c r="AR356" t="s" s="0">
        <v>178</v>
      </c>
      <c r="AS356" t="s" s="0">
        <v>179</v>
      </c>
      <c r="AT356" t="s" s="0">
        <v>2073</v>
      </c>
      <c r="AU356" t="s" s="0">
        <v>2074</v>
      </c>
      <c r="AV356" t="s" s="0">
        <v>81</v>
      </c>
      <c r="AW356" t="s" s="0">
        <v>2075</v>
      </c>
      <c r="AX356" t="s" s="0">
        <v>2076</v>
      </c>
      <c r="AY356" t="s" s="0">
        <v>3838</v>
      </c>
      <c r="AZ356" t="s" s="0">
        <v>260</v>
      </c>
      <c r="BA356" t="s" s="0">
        <v>96</v>
      </c>
      <c r="BB356" t="s" s="0">
        <v>81</v>
      </c>
      <c r="BC356" t="s" s="0">
        <v>81</v>
      </c>
      <c r="BD356" t="s" s="0">
        <v>156</v>
      </c>
      <c r="BE356" t="s" s="0">
        <v>81</v>
      </c>
      <c r="BF356" t="s" s="0">
        <v>81</v>
      </c>
      <c r="BG356" t="s" s="0">
        <v>81</v>
      </c>
      <c r="BH356" t="s" s="0">
        <v>81</v>
      </c>
      <c r="BI356" t="s" s="0">
        <v>8190</v>
      </c>
      <c r="BJ356" t="s" s="0">
        <v>8191</v>
      </c>
      <c r="BK356" t="s" s="706">
        <f>HYPERLINK("http://dx.doi.org/10.1016/j.bspc.2022.104144","http://dx.doi.org/10.1016/j.bspc.2022.104144")</f>
        <v>8192</v>
      </c>
      <c r="BL356" t="s" s="0">
        <v>81</v>
      </c>
      <c r="BM356" t="s" s="0">
        <v>5575</v>
      </c>
      <c r="BN356" t="s" s="0">
        <v>261</v>
      </c>
      <c r="BO356" t="s" s="0">
        <v>2082</v>
      </c>
      <c r="BP356" t="s" s="0">
        <v>1003</v>
      </c>
      <c r="BQ356" t="s" s="0">
        <v>8193</v>
      </c>
      <c r="BR356" t="s" s="0">
        <v>81</v>
      </c>
      <c r="BS356" t="s" s="0">
        <v>8194</v>
      </c>
      <c r="BT356" t="s" s="707">
        <f>HYPERLINK("https://www.webofscience.com/wos/woscc/full-record/WOS:000868136200005","View Record in Web of Science")</f>
        <v>114</v>
      </c>
      <c r="BU356" t="s" s="0">
        <v>81</v>
      </c>
      <c r="BV356" t="s" s="0">
        <v>81</v>
      </c>
      <c r="BW356" t="s" s="0">
        <v>81</v>
      </c>
      <c r="BX356" t="s" s="0">
        <v>116</v>
      </c>
    </row>
    <row r="357">
      <c r="A357" t="s" s="0">
        <v>77</v>
      </c>
      <c r="B357" t="s" s="0">
        <v>77</v>
      </c>
      <c r="C357" t="s" s="0">
        <v>77</v>
      </c>
      <c r="D357" t="s" s="0">
        <v>97</v>
      </c>
      <c r="E357" t="s" s="0">
        <v>8195</v>
      </c>
      <c r="F357" t="s" s="0">
        <v>8196</v>
      </c>
      <c r="G357" t="s" s="0">
        <v>8197</v>
      </c>
      <c r="H357" t="s" s="0">
        <v>81</v>
      </c>
      <c r="I357" t="s" s="0">
        <v>238</v>
      </c>
      <c r="J357" t="s" s="0">
        <v>8198</v>
      </c>
      <c r="K357" t="s" s="0">
        <v>8199</v>
      </c>
      <c r="L357" t="s" s="0">
        <v>81</v>
      </c>
      <c r="M357" t="s" s="0">
        <v>81</v>
      </c>
      <c r="N357" t="s" s="0">
        <v>81</v>
      </c>
      <c r="O357" t="s" s="0">
        <v>8200</v>
      </c>
      <c r="P357" t="s" s="0">
        <v>8201</v>
      </c>
      <c r="Q357" t="s" s="0">
        <v>87</v>
      </c>
      <c r="R357" t="s" s="0">
        <v>81</v>
      </c>
      <c r="S357" t="s" s="0">
        <v>81</v>
      </c>
      <c r="T357" t="s" s="0">
        <v>81</v>
      </c>
      <c r="U357" t="s" s="0">
        <v>81</v>
      </c>
      <c r="V357" t="s" s="0">
        <v>8202</v>
      </c>
      <c r="W357" t="s" s="0">
        <v>8203</v>
      </c>
      <c r="X357" t="s" s="0">
        <v>81</v>
      </c>
      <c r="Y357" t="s" s="0">
        <v>81</v>
      </c>
      <c r="Z357" t="s" s="0">
        <v>90</v>
      </c>
      <c r="AA357" t="s" s="0">
        <v>91</v>
      </c>
      <c r="AB357" t="s" s="0">
        <v>81</v>
      </c>
      <c r="AC357" t="s" s="0">
        <v>81</v>
      </c>
      <c r="AD357" t="s" s="0">
        <v>81</v>
      </c>
      <c r="AE357" t="s" s="0">
        <v>81</v>
      </c>
      <c r="AF357" t="s" s="0">
        <v>81</v>
      </c>
      <c r="AG357" t="s" s="0">
        <v>8204</v>
      </c>
      <c r="AH357" t="s" s="0">
        <v>8205</v>
      </c>
      <c r="AI357" t="s" s="0">
        <v>8206</v>
      </c>
      <c r="AJ357" t="s" s="0">
        <v>8207</v>
      </c>
      <c r="AK357" t="s" s="0">
        <v>81</v>
      </c>
      <c r="AL357" t="s" s="0">
        <v>8208</v>
      </c>
      <c r="AM357" t="s" s="0">
        <v>316</v>
      </c>
      <c r="AN357" t="s" s="0">
        <v>316</v>
      </c>
      <c r="AO357" t="s" s="0">
        <v>156</v>
      </c>
      <c r="AP357" t="s" s="0">
        <v>671</v>
      </c>
      <c r="AQ357" t="s" s="0">
        <v>5049</v>
      </c>
      <c r="AR357" t="s" s="0">
        <v>5050</v>
      </c>
      <c r="AS357" t="s" s="0">
        <v>5051</v>
      </c>
      <c r="AT357" t="s" s="0">
        <v>8209</v>
      </c>
      <c r="AU357" t="s" s="0">
        <v>8210</v>
      </c>
      <c r="AV357" t="s" s="0">
        <v>81</v>
      </c>
      <c r="AW357" t="s" s="0">
        <v>8211</v>
      </c>
      <c r="AX357" t="s" s="0">
        <v>8212</v>
      </c>
      <c r="AY357" t="s" s="0">
        <v>8213</v>
      </c>
      <c r="AZ357" t="s" s="0">
        <v>290</v>
      </c>
      <c r="BA357" t="s" s="0">
        <v>134</v>
      </c>
      <c r="BB357" t="s" s="0">
        <v>156</v>
      </c>
      <c r="BC357" t="s" s="0">
        <v>81</v>
      </c>
      <c r="BD357" t="s" s="0">
        <v>81</v>
      </c>
      <c r="BE357" t="s" s="0">
        <v>81</v>
      </c>
      <c r="BF357" t="s" s="0">
        <v>81</v>
      </c>
      <c r="BG357" t="s" s="0">
        <v>8214</v>
      </c>
      <c r="BH357" t="s" s="0">
        <v>3559</v>
      </c>
      <c r="BI357" t="s" s="0">
        <v>81</v>
      </c>
      <c r="BJ357" t="s" s="0">
        <v>8215</v>
      </c>
      <c r="BK357" t="s" s="708">
        <f>HYPERLINK("http://dx.doi.org/10.1680/jinam.23.00033","http://dx.doi.org/10.1680/jinam.23.00033")</f>
        <v>8216</v>
      </c>
      <c r="BL357" t="s" s="0">
        <v>81</v>
      </c>
      <c r="BM357" t="s" s="0">
        <v>6550</v>
      </c>
      <c r="BN357" t="s" s="0">
        <v>925</v>
      </c>
      <c r="BO357" t="s" s="0">
        <v>8217</v>
      </c>
      <c r="BP357" t="s" s="0">
        <v>326</v>
      </c>
      <c r="BQ357" t="s" s="0">
        <v>8218</v>
      </c>
      <c r="BR357" t="s" s="0">
        <v>81</v>
      </c>
      <c r="BS357" t="s" s="0">
        <v>8219</v>
      </c>
      <c r="BT357" t="s" s="709">
        <f>HYPERLINK("https://www.webofscience.com/wos/woscc/full-record/WOS:001320352000001","View Record in Web of Science")</f>
        <v>114</v>
      </c>
      <c r="BU357" t="s" s="0">
        <v>81</v>
      </c>
      <c r="BV357" t="s" s="0">
        <v>81</v>
      </c>
      <c r="BW357" t="s" s="0">
        <v>81</v>
      </c>
      <c r="BX357" t="s" s="0">
        <v>116</v>
      </c>
    </row>
    <row r="358">
      <c r="A358" t="s" s="0">
        <v>77</v>
      </c>
      <c r="B358" t="s" s="0">
        <v>77</v>
      </c>
      <c r="C358" t="s" s="0">
        <v>97</v>
      </c>
      <c r="D358" t="s" s="0">
        <v>77</v>
      </c>
      <c r="E358" t="s" s="0">
        <v>8220</v>
      </c>
      <c r="F358" t="s" s="0">
        <v>8221</v>
      </c>
      <c r="G358" t="s" s="0">
        <v>8222</v>
      </c>
      <c r="H358" t="s" s="0">
        <v>81</v>
      </c>
      <c r="I358" t="s" s="0">
        <v>82</v>
      </c>
      <c r="J358" t="s" s="0">
        <v>8223</v>
      </c>
      <c r="K358" t="s" s="0">
        <v>8224</v>
      </c>
      <c r="L358" t="s" s="0">
        <v>81</v>
      </c>
      <c r="M358" t="s" s="0">
        <v>81</v>
      </c>
      <c r="N358" t="s" s="0">
        <v>81</v>
      </c>
      <c r="O358" t="s" s="0">
        <v>8225</v>
      </c>
      <c r="P358" t="s" s="0">
        <v>8226</v>
      </c>
      <c r="Q358" t="s" s="0">
        <v>87</v>
      </c>
      <c r="R358" t="s" s="0">
        <v>81</v>
      </c>
      <c r="S358" t="s" s="0">
        <v>81</v>
      </c>
      <c r="T358" t="s" s="0">
        <v>81</v>
      </c>
      <c r="U358" t="s" s="0">
        <v>81</v>
      </c>
      <c r="V358" t="s" s="0">
        <v>8227</v>
      </c>
      <c r="W358" t="s" s="0">
        <v>910</v>
      </c>
      <c r="X358" t="s" s="0">
        <v>81</v>
      </c>
      <c r="Y358" t="s" s="0">
        <v>81</v>
      </c>
      <c r="Z358" t="s" s="0">
        <v>90</v>
      </c>
      <c r="AA358" t="s" s="0">
        <v>91</v>
      </c>
      <c r="AB358" t="s" s="0">
        <v>81</v>
      </c>
      <c r="AC358" t="s" s="0">
        <v>81</v>
      </c>
      <c r="AD358" t="s" s="0">
        <v>81</v>
      </c>
      <c r="AE358" t="s" s="0">
        <v>81</v>
      </c>
      <c r="AF358" t="s" s="0">
        <v>81</v>
      </c>
      <c r="AG358" t="s" s="0">
        <v>8228</v>
      </c>
      <c r="AH358" t="s" s="0">
        <v>8229</v>
      </c>
      <c r="AI358" t="s" s="0">
        <v>8230</v>
      </c>
      <c r="AJ358" t="s" s="0">
        <v>8231</v>
      </c>
      <c r="AK358" t="s" s="0">
        <v>81</v>
      </c>
      <c r="AL358" t="s" s="0">
        <v>819</v>
      </c>
      <c r="AM358" t="s" s="0">
        <v>196</v>
      </c>
      <c r="AN358" t="s" s="0">
        <v>175</v>
      </c>
      <c r="AO358" t="s" s="0">
        <v>97</v>
      </c>
      <c r="AP358" t="s" s="0">
        <v>97</v>
      </c>
      <c r="AQ358" t="s" s="0">
        <v>915</v>
      </c>
      <c r="AR358" t="s" s="0">
        <v>916</v>
      </c>
      <c r="AS358" t="s" s="0">
        <v>917</v>
      </c>
      <c r="AT358" t="s" s="0">
        <v>918</v>
      </c>
      <c r="AU358" t="s" s="0">
        <v>81</v>
      </c>
      <c r="AV358" t="s" s="0">
        <v>81</v>
      </c>
      <c r="AW358" t="s" s="0">
        <v>919</v>
      </c>
      <c r="AX358" t="s" s="0">
        <v>920</v>
      </c>
      <c r="AY358" t="s" s="0">
        <v>8232</v>
      </c>
      <c r="AZ358" t="s" s="0">
        <v>290</v>
      </c>
      <c r="BA358" t="s" s="0">
        <v>925</v>
      </c>
      <c r="BB358" t="s" s="0">
        <v>97</v>
      </c>
      <c r="BC358" t="s" s="0">
        <v>81</v>
      </c>
      <c r="BD358" t="s" s="0">
        <v>81</v>
      </c>
      <c r="BE358" t="s" s="0">
        <v>81</v>
      </c>
      <c r="BF358" t="s" s="0">
        <v>81</v>
      </c>
      <c r="BG358" t="s" s="0">
        <v>81</v>
      </c>
      <c r="BH358" t="s" s="0">
        <v>81</v>
      </c>
      <c r="BI358" t="s" s="0">
        <v>8233</v>
      </c>
      <c r="BJ358" t="s" s="0">
        <v>8234</v>
      </c>
      <c r="BK358" t="s" s="710">
        <f>HYPERLINK("http://dx.doi.org/10.1038/s41598-025-31234-4","http://dx.doi.org/10.1038/s41598-025-31234-4")</f>
        <v>8235</v>
      </c>
      <c r="BL358" t="s" s="0">
        <v>81</v>
      </c>
      <c r="BM358" t="s" s="0">
        <v>81</v>
      </c>
      <c r="BN358" t="s" s="0">
        <v>890</v>
      </c>
      <c r="BO358" t="s" s="0">
        <v>926</v>
      </c>
      <c r="BP358" t="s" s="0">
        <v>927</v>
      </c>
      <c r="BQ358" t="s" s="0">
        <v>8236</v>
      </c>
      <c r="BR358" t="s" s="0">
        <v>8237</v>
      </c>
      <c r="BS358" t="s" s="0">
        <v>8238</v>
      </c>
      <c r="BT358" t="s" s="711">
        <f>HYPERLINK("https://www.webofscience.com/wos/woscc/full-record/WOS:001662921600002","View Record in Web of Science")</f>
        <v>114</v>
      </c>
      <c r="BU358" t="s" s="0">
        <v>301</v>
      </c>
      <c r="BV358" t="s" s="0">
        <v>81</v>
      </c>
      <c r="BW358" t="s" s="0">
        <v>81</v>
      </c>
      <c r="BX358" t="s" s="0">
        <v>116</v>
      </c>
    </row>
    <row r="359">
      <c r="A359" t="s" s="0">
        <v>77</v>
      </c>
      <c r="B359" t="s" s="0">
        <v>77</v>
      </c>
      <c r="C359" t="s" s="0">
        <v>77</v>
      </c>
      <c r="D359" t="s" s="0">
        <v>77</v>
      </c>
      <c r="E359" t="s" s="0">
        <v>8239</v>
      </c>
      <c r="F359" t="s" s="0">
        <v>8240</v>
      </c>
      <c r="G359" t="s" s="0">
        <v>8241</v>
      </c>
      <c r="H359" t="s" s="0">
        <v>81</v>
      </c>
      <c r="I359" t="s" s="0">
        <v>238</v>
      </c>
      <c r="J359" t="s" s="0">
        <v>8242</v>
      </c>
      <c r="K359" t="s" s="0">
        <v>8243</v>
      </c>
      <c r="L359" t="s" s="0">
        <v>81</v>
      </c>
      <c r="M359" t="s" s="0">
        <v>81</v>
      </c>
      <c r="N359" t="s" s="0">
        <v>81</v>
      </c>
      <c r="O359" t="s" s="0">
        <v>8244</v>
      </c>
      <c r="P359" t="s" s="0">
        <v>8245</v>
      </c>
      <c r="Q359" t="s" s="0">
        <v>87</v>
      </c>
      <c r="R359" t="s" s="0">
        <v>81</v>
      </c>
      <c r="S359" t="s" s="0">
        <v>81</v>
      </c>
      <c r="T359" t="s" s="0">
        <v>81</v>
      </c>
      <c r="U359" t="s" s="0">
        <v>81</v>
      </c>
      <c r="V359" t="s" s="0">
        <v>8246</v>
      </c>
      <c r="W359" t="s" s="0">
        <v>8247</v>
      </c>
      <c r="X359" t="s" s="0">
        <v>81</v>
      </c>
      <c r="Y359" t="s" s="0">
        <v>81</v>
      </c>
      <c r="Z359" t="s" s="0">
        <v>90</v>
      </c>
      <c r="AA359" t="s" s="0">
        <v>91</v>
      </c>
      <c r="AB359" t="s" s="0">
        <v>81</v>
      </c>
      <c r="AC359" t="s" s="0">
        <v>81</v>
      </c>
      <c r="AD359" t="s" s="0">
        <v>81</v>
      </c>
      <c r="AE359" t="s" s="0">
        <v>81</v>
      </c>
      <c r="AF359" t="s" s="0">
        <v>81</v>
      </c>
      <c r="AG359" t="s" s="0">
        <v>8248</v>
      </c>
      <c r="AH359" t="s" s="0">
        <v>8249</v>
      </c>
      <c r="AI359" t="s" s="0">
        <v>8250</v>
      </c>
      <c r="AJ359" t="s" s="0">
        <v>8251</v>
      </c>
      <c r="AK359" t="s" s="0">
        <v>81</v>
      </c>
      <c r="AL359" t="s" s="0">
        <v>324</v>
      </c>
      <c r="AM359" t="s" s="0">
        <v>77</v>
      </c>
      <c r="AN359" t="s" s="0">
        <v>77</v>
      </c>
      <c r="AO359" t="s" s="0">
        <v>156</v>
      </c>
      <c r="AP359" t="s" s="0">
        <v>156</v>
      </c>
      <c r="AQ359" t="s" s="0">
        <v>2208</v>
      </c>
      <c r="AR359" t="s" s="0">
        <v>2209</v>
      </c>
      <c r="AS359" t="s" s="0">
        <v>2210</v>
      </c>
      <c r="AT359" t="s" s="0">
        <v>8252</v>
      </c>
      <c r="AU359" t="s" s="0">
        <v>8253</v>
      </c>
      <c r="AV359" t="s" s="0">
        <v>81</v>
      </c>
      <c r="AW359" t="s" s="0">
        <v>8254</v>
      </c>
      <c r="AX359" t="s" s="0">
        <v>8255</v>
      </c>
      <c r="AY359" t="s" s="0">
        <v>675</v>
      </c>
      <c r="AZ359" t="s" s="0">
        <v>103</v>
      </c>
      <c r="BA359" t="s" s="0">
        <v>925</v>
      </c>
      <c r="BB359" t="s" s="0">
        <v>196</v>
      </c>
      <c r="BC359" t="s" s="0">
        <v>81</v>
      </c>
      <c r="BD359" t="s" s="0">
        <v>81</v>
      </c>
      <c r="BE359" t="s" s="0">
        <v>81</v>
      </c>
      <c r="BF359" t="s" s="0">
        <v>81</v>
      </c>
      <c r="BG359" t="s" s="0">
        <v>8256</v>
      </c>
      <c r="BH359" t="s" s="0">
        <v>8257</v>
      </c>
      <c r="BI359" t="s" s="0">
        <v>81</v>
      </c>
      <c r="BJ359" t="s" s="0">
        <v>8258</v>
      </c>
      <c r="BK359" t="s" s="712">
        <f>HYPERLINK("http://dx.doi.org/10.1007/s12553-026-01064-z","http://dx.doi.org/10.1007/s12553-026-01064-z")</f>
        <v>8259</v>
      </c>
      <c r="BL359" t="s" s="0">
        <v>81</v>
      </c>
      <c r="BM359" t="s" s="0">
        <v>143</v>
      </c>
      <c r="BN359" t="s" s="0">
        <v>134</v>
      </c>
      <c r="BO359" t="s" s="0">
        <v>1963</v>
      </c>
      <c r="BP359" t="s" s="0">
        <v>1963</v>
      </c>
      <c r="BQ359" t="s" s="0">
        <v>8260</v>
      </c>
      <c r="BR359" t="s" s="0">
        <v>81</v>
      </c>
      <c r="BS359" t="s" s="0">
        <v>8261</v>
      </c>
      <c r="BT359" t="s" s="713">
        <f>HYPERLINK("https://www.webofscience.com/wos/woscc/full-record/WOS:001715773600001","View Record in Web of Science")</f>
        <v>114</v>
      </c>
      <c r="BU359" t="s" s="0">
        <v>81</v>
      </c>
      <c r="BV359" t="s" s="0">
        <v>81</v>
      </c>
      <c r="BW359" t="s" s="0">
        <v>81</v>
      </c>
      <c r="BX359" t="s" s="0">
        <v>116</v>
      </c>
    </row>
    <row r="360">
      <c r="A360" t="s" s="0">
        <v>77</v>
      </c>
      <c r="B360" t="s" s="0">
        <v>77</v>
      </c>
      <c r="C360" t="s" s="0">
        <v>156</v>
      </c>
      <c r="D360" t="s" s="0">
        <v>77</v>
      </c>
      <c r="E360" t="s" s="0">
        <v>8262</v>
      </c>
      <c r="F360" t="s" s="0">
        <v>8263</v>
      </c>
      <c r="G360" t="s" s="0">
        <v>8264</v>
      </c>
      <c r="H360" t="s" s="0">
        <v>81</v>
      </c>
      <c r="I360" t="s" s="0">
        <v>82</v>
      </c>
      <c r="J360" t="s" s="0">
        <v>8265</v>
      </c>
      <c r="K360" t="s" s="0">
        <v>8266</v>
      </c>
      <c r="L360" t="s" s="0">
        <v>8267</v>
      </c>
      <c r="M360" t="s" s="0">
        <v>1529</v>
      </c>
      <c r="N360" t="s" s="0">
        <v>8268</v>
      </c>
      <c r="O360" t="s" s="0">
        <v>8269</v>
      </c>
      <c r="P360" t="s" s="0">
        <v>8270</v>
      </c>
      <c r="Q360" t="s" s="0">
        <v>87</v>
      </c>
      <c r="R360" t="s" s="0">
        <v>81</v>
      </c>
      <c r="S360" t="s" s="0">
        <v>81</v>
      </c>
      <c r="T360" t="s" s="0">
        <v>81</v>
      </c>
      <c r="U360" t="s" s="0">
        <v>81</v>
      </c>
      <c r="V360" t="s" s="0">
        <v>8271</v>
      </c>
      <c r="W360" t="s" s="0">
        <v>89</v>
      </c>
      <c r="X360" t="s" s="0">
        <v>81</v>
      </c>
      <c r="Y360" t="s" s="0">
        <v>81</v>
      </c>
      <c r="Z360" t="s" s="0">
        <v>90</v>
      </c>
      <c r="AA360" t="s" s="0">
        <v>91</v>
      </c>
      <c r="AB360" t="s" s="0">
        <v>81</v>
      </c>
      <c r="AC360" t="s" s="0">
        <v>81</v>
      </c>
      <c r="AD360" t="s" s="0">
        <v>81</v>
      </c>
      <c r="AE360" t="s" s="0">
        <v>81</v>
      </c>
      <c r="AF360" t="s" s="0">
        <v>81</v>
      </c>
      <c r="AG360" t="s" s="0">
        <v>8272</v>
      </c>
      <c r="AH360" t="s" s="0">
        <v>81</v>
      </c>
      <c r="AI360" t="s" s="0">
        <v>8273</v>
      </c>
      <c r="AJ360" t="s" s="0">
        <v>8274</v>
      </c>
      <c r="AK360" t="s" s="0">
        <v>81</v>
      </c>
      <c r="AL360" t="s" s="0">
        <v>1607</v>
      </c>
      <c r="AM360" t="s" s="0">
        <v>109</v>
      </c>
      <c r="AN360" t="s" s="0">
        <v>344</v>
      </c>
      <c r="AO360" t="s" s="0">
        <v>196</v>
      </c>
      <c r="AP360" t="s" s="0">
        <v>508</v>
      </c>
      <c r="AQ360" t="s" s="0">
        <v>98</v>
      </c>
      <c r="AR360" t="s" s="0">
        <v>99</v>
      </c>
      <c r="AS360" t="s" s="0">
        <v>100</v>
      </c>
      <c r="AT360" t="s" s="0">
        <v>101</v>
      </c>
      <c r="AU360" t="s" s="0">
        <v>81</v>
      </c>
      <c r="AV360" t="s" s="0">
        <v>81</v>
      </c>
      <c r="AW360" t="s" s="0">
        <v>89</v>
      </c>
      <c r="AX360" t="s" s="0">
        <v>102</v>
      </c>
      <c r="AY360" t="s" s="0">
        <v>260</v>
      </c>
      <c r="AZ360" t="s" s="0">
        <v>260</v>
      </c>
      <c r="BA360" t="s" s="0">
        <v>191</v>
      </c>
      <c r="BB360" t="s" s="0">
        <v>81</v>
      </c>
      <c r="BC360" t="s" s="0">
        <v>81</v>
      </c>
      <c r="BD360" t="s" s="0">
        <v>81</v>
      </c>
      <c r="BE360" t="s" s="0">
        <v>81</v>
      </c>
      <c r="BF360" t="s" s="0">
        <v>81</v>
      </c>
      <c r="BG360" t="s" s="0">
        <v>8275</v>
      </c>
      <c r="BH360" t="s" s="0">
        <v>8276</v>
      </c>
      <c r="BI360" t="s" s="0">
        <v>81</v>
      </c>
      <c r="BJ360" t="s" s="0">
        <v>8277</v>
      </c>
      <c r="BK360" t="s" s="714">
        <f>HYPERLINK("http://dx.doi.org/10.1109/ACCESS.2023.3274851","http://dx.doi.org/10.1109/ACCESS.2023.3274851")</f>
        <v>8278</v>
      </c>
      <c r="BL360" t="s" s="0">
        <v>81</v>
      </c>
      <c r="BM360" t="s" s="0">
        <v>81</v>
      </c>
      <c r="BN360" t="s" s="0">
        <v>211</v>
      </c>
      <c r="BO360" t="s" s="0">
        <v>110</v>
      </c>
      <c r="BP360" t="s" s="0">
        <v>111</v>
      </c>
      <c r="BQ360" t="s" s="0">
        <v>8279</v>
      </c>
      <c r="BR360" t="s" s="0">
        <v>81</v>
      </c>
      <c r="BS360" t="s" s="0">
        <v>8280</v>
      </c>
      <c r="BT360" t="s" s="715">
        <f>HYPERLINK("https://www.webofscience.com/wos/woscc/full-record/WOS:001010107400001","View Record in Web of Science")</f>
        <v>114</v>
      </c>
      <c r="BU360" t="s" s="0">
        <v>301</v>
      </c>
      <c r="BV360" t="s" s="0">
        <v>81</v>
      </c>
      <c r="BW360" t="s" s="0">
        <v>81</v>
      </c>
      <c r="BX360" t="s" s="0">
        <v>116</v>
      </c>
    </row>
    <row r="361">
      <c r="A361" t="s" s="0">
        <v>77</v>
      </c>
      <c r="B361" t="s" s="0">
        <v>77</v>
      </c>
      <c r="C361" t="s" s="0">
        <v>77</v>
      </c>
      <c r="D361" t="s" s="0">
        <v>77</v>
      </c>
      <c r="E361" t="s" s="0">
        <v>8281</v>
      </c>
      <c r="F361" t="s" s="0">
        <v>8282</v>
      </c>
      <c r="G361" t="s" s="0">
        <v>8283</v>
      </c>
      <c r="H361" t="s" s="0">
        <v>81</v>
      </c>
      <c r="I361" t="s" s="0">
        <v>82</v>
      </c>
      <c r="J361" t="s" s="0">
        <v>8284</v>
      </c>
      <c r="K361" t="s" s="0">
        <v>8285</v>
      </c>
      <c r="L361" t="s" s="0">
        <v>81</v>
      </c>
      <c r="M361" t="s" s="0">
        <v>81</v>
      </c>
      <c r="N361" t="s" s="0">
        <v>81</v>
      </c>
      <c r="O361" t="s" s="0">
        <v>8286</v>
      </c>
      <c r="P361" t="s" s="0">
        <v>81</v>
      </c>
      <c r="Q361" t="s" s="0">
        <v>87</v>
      </c>
      <c r="R361" t="s" s="0">
        <v>81</v>
      </c>
      <c r="S361" t="s" s="0">
        <v>81</v>
      </c>
      <c r="T361" t="s" s="0">
        <v>81</v>
      </c>
      <c r="U361" t="s" s="0">
        <v>81</v>
      </c>
      <c r="V361" t="s" s="0">
        <v>8287</v>
      </c>
      <c r="W361" t="s" s="0">
        <v>8288</v>
      </c>
      <c r="X361" t="s" s="0">
        <v>81</v>
      </c>
      <c r="Y361" t="s" s="0">
        <v>81</v>
      </c>
      <c r="Z361" t="s" s="0">
        <v>90</v>
      </c>
      <c r="AA361" t="s" s="0">
        <v>91</v>
      </c>
      <c r="AB361" t="s" s="0">
        <v>81</v>
      </c>
      <c r="AC361" t="s" s="0">
        <v>81</v>
      </c>
      <c r="AD361" t="s" s="0">
        <v>81</v>
      </c>
      <c r="AE361" t="s" s="0">
        <v>81</v>
      </c>
      <c r="AF361" t="s" s="0">
        <v>81</v>
      </c>
      <c r="AG361" t="s" s="0">
        <v>8289</v>
      </c>
      <c r="AH361" t="s" s="0">
        <v>81</v>
      </c>
      <c r="AI361" t="s" s="0">
        <v>81</v>
      </c>
      <c r="AJ361" t="s" s="0">
        <v>81</v>
      </c>
      <c r="AK361" t="s" s="0">
        <v>81</v>
      </c>
      <c r="AL361" t="s" s="0">
        <v>252</v>
      </c>
      <c r="AM361" t="s" s="0">
        <v>77</v>
      </c>
      <c r="AN361" t="s" s="0">
        <v>77</v>
      </c>
      <c r="AO361" t="s" s="0">
        <v>97</v>
      </c>
      <c r="AP361" t="s" s="0">
        <v>97</v>
      </c>
      <c r="AQ361" t="s" s="0">
        <v>8290</v>
      </c>
      <c r="AR361" t="s" s="0">
        <v>8291</v>
      </c>
      <c r="AS361" t="s" s="0">
        <v>8292</v>
      </c>
      <c r="AT361" t="s" s="0">
        <v>8293</v>
      </c>
      <c r="AU361" t="s" s="0">
        <v>81</v>
      </c>
      <c r="AV361" t="s" s="0">
        <v>81</v>
      </c>
      <c r="AW361" t="s" s="0">
        <v>8294</v>
      </c>
      <c r="AX361" t="s" s="0">
        <v>8295</v>
      </c>
      <c r="AY361" t="s" s="0">
        <v>8296</v>
      </c>
      <c r="AZ361" t="s" s="0">
        <v>103</v>
      </c>
      <c r="BA361" t="s" s="0">
        <v>295</v>
      </c>
      <c r="BB361" t="s" s="0">
        <v>196</v>
      </c>
      <c r="BC361" t="s" s="0">
        <v>81</v>
      </c>
      <c r="BD361" t="s" s="0">
        <v>81</v>
      </c>
      <c r="BE361" t="s" s="0">
        <v>81</v>
      </c>
      <c r="BF361" t="s" s="0">
        <v>81</v>
      </c>
      <c r="BG361" t="s" s="0">
        <v>8297</v>
      </c>
      <c r="BH361" t="s" s="0">
        <v>8298</v>
      </c>
      <c r="BI361" t="s" s="0">
        <v>81</v>
      </c>
      <c r="BJ361" t="s" s="0">
        <v>8299</v>
      </c>
      <c r="BK361" t="s" s="716">
        <f>HYPERLINK("http://dx.doi.org/10.3837/tiis.2026.03.006","http://dx.doi.org/10.3837/tiis.2026.03.006")</f>
        <v>8300</v>
      </c>
      <c r="BL361" t="s" s="0">
        <v>81</v>
      </c>
      <c r="BM361" t="s" s="0">
        <v>81</v>
      </c>
      <c r="BN361" t="s" s="0">
        <v>135</v>
      </c>
      <c r="BO361" t="s" s="0">
        <v>5915</v>
      </c>
      <c r="BP361" t="s" s="0">
        <v>3593</v>
      </c>
      <c r="BQ361" t="s" s="0">
        <v>8301</v>
      </c>
      <c r="BR361" t="s" s="0">
        <v>81</v>
      </c>
      <c r="BS361" t="s" s="0">
        <v>8302</v>
      </c>
      <c r="BT361" t="s" s="717">
        <f>HYPERLINK("https://www.webofscience.com/wos/woscc/full-record/WOS:001733493400006","View Record in Web of Science")</f>
        <v>114</v>
      </c>
      <c r="BU361" t="s" s="0">
        <v>115</v>
      </c>
      <c r="BV361" t="s" s="0">
        <v>81</v>
      </c>
      <c r="BW361" t="s" s="0">
        <v>81</v>
      </c>
      <c r="BX361" t="s" s="0">
        <v>116</v>
      </c>
    </row>
    <row r="362">
      <c r="A362" t="s" s="0">
        <v>77</v>
      </c>
      <c r="B362" t="s" s="0">
        <v>77</v>
      </c>
      <c r="C362" t="s" s="0">
        <v>196</v>
      </c>
      <c r="D362" t="s" s="0">
        <v>77</v>
      </c>
      <c r="E362" t="s" s="0">
        <v>8303</v>
      </c>
      <c r="F362" t="s" s="0">
        <v>8304</v>
      </c>
      <c r="G362" t="s" s="0">
        <v>8305</v>
      </c>
      <c r="H362" t="s" s="0">
        <v>81</v>
      </c>
      <c r="I362" t="s" s="0">
        <v>82</v>
      </c>
      <c r="J362" t="s" s="0">
        <v>8306</v>
      </c>
      <c r="K362" t="s" s="0">
        <v>8307</v>
      </c>
      <c r="L362" t="s" s="0">
        <v>81</v>
      </c>
      <c r="M362" t="s" s="0">
        <v>81</v>
      </c>
      <c r="N362" t="s" s="0">
        <v>81</v>
      </c>
      <c r="O362" t="s" s="0">
        <v>8308</v>
      </c>
      <c r="P362" t="s" s="0">
        <v>8309</v>
      </c>
      <c r="Q362" t="s" s="0">
        <v>87</v>
      </c>
      <c r="R362" t="s" s="0">
        <v>81</v>
      </c>
      <c r="S362" t="s" s="0">
        <v>81</v>
      </c>
      <c r="T362" t="s" s="0">
        <v>81</v>
      </c>
      <c r="U362" t="s" s="0">
        <v>81</v>
      </c>
      <c r="V362" t="s" s="0">
        <v>8310</v>
      </c>
      <c r="W362" t="s" s="0">
        <v>8311</v>
      </c>
      <c r="X362" t="s" s="0">
        <v>81</v>
      </c>
      <c r="Y362" t="s" s="0">
        <v>81</v>
      </c>
      <c r="Z362" t="s" s="0">
        <v>90</v>
      </c>
      <c r="AA362" t="s" s="0">
        <v>91</v>
      </c>
      <c r="AB362" t="s" s="0">
        <v>81</v>
      </c>
      <c r="AC362" t="s" s="0">
        <v>81</v>
      </c>
      <c r="AD362" t="s" s="0">
        <v>81</v>
      </c>
      <c r="AE362" t="s" s="0">
        <v>81</v>
      </c>
      <c r="AF362" t="s" s="0">
        <v>81</v>
      </c>
      <c r="AG362" t="s" s="0">
        <v>8312</v>
      </c>
      <c r="AH362" t="s" s="0">
        <v>8313</v>
      </c>
      <c r="AI362" t="s" s="0">
        <v>81</v>
      </c>
      <c r="AJ362" t="s" s="0">
        <v>8314</v>
      </c>
      <c r="AK362" t="s" s="0">
        <v>81</v>
      </c>
      <c r="AL362" t="s" s="0">
        <v>696</v>
      </c>
      <c r="AM362" t="s" s="0">
        <v>295</v>
      </c>
      <c r="AN362" t="s" s="0">
        <v>135</v>
      </c>
      <c r="AO362" t="s" s="0">
        <v>97</v>
      </c>
      <c r="AP362" t="s" s="0">
        <v>222</v>
      </c>
      <c r="AQ362" t="s" s="0">
        <v>636</v>
      </c>
      <c r="AR362" t="s" s="0">
        <v>637</v>
      </c>
      <c r="AS362" t="s" s="0">
        <v>638</v>
      </c>
      <c r="AT362" t="s" s="0">
        <v>8315</v>
      </c>
      <c r="AU362" t="s" s="0">
        <v>8316</v>
      </c>
      <c r="AV362" t="s" s="0">
        <v>81</v>
      </c>
      <c r="AW362" t="s" s="0">
        <v>8317</v>
      </c>
      <c r="AX362" t="s" s="0">
        <v>8318</v>
      </c>
      <c r="AY362" t="s" s="0">
        <v>8319</v>
      </c>
      <c r="AZ362" t="s" s="0">
        <v>260</v>
      </c>
      <c r="BA362" t="s" s="0">
        <v>1049</v>
      </c>
      <c r="BB362" t="s" s="0">
        <v>316</v>
      </c>
      <c r="BC362" t="s" s="0">
        <v>81</v>
      </c>
      <c r="BD362" t="s" s="0">
        <v>81</v>
      </c>
      <c r="BE362" t="s" s="0">
        <v>81</v>
      </c>
      <c r="BF362" t="s" s="0">
        <v>81</v>
      </c>
      <c r="BG362" t="s" s="0">
        <v>8320</v>
      </c>
      <c r="BH362" t="s" s="0">
        <v>8321</v>
      </c>
      <c r="BI362" t="s" s="0">
        <v>81</v>
      </c>
      <c r="BJ362" t="s" s="0">
        <v>8322</v>
      </c>
      <c r="BK362" t="s" s="718">
        <f>HYPERLINK("http://dx.doi.org/10.1080/00365521.2022.2163185","http://dx.doi.org/10.1080/00365521.2022.2163185")</f>
        <v>8323</v>
      </c>
      <c r="BL362" t="s" s="0">
        <v>81</v>
      </c>
      <c r="BM362" t="s" s="0">
        <v>3838</v>
      </c>
      <c r="BN362" t="s" s="0">
        <v>261</v>
      </c>
      <c r="BO362" t="s" s="0">
        <v>1519</v>
      </c>
      <c r="BP362" t="s" s="0">
        <v>1519</v>
      </c>
      <c r="BQ362" t="s" s="0">
        <v>8324</v>
      </c>
      <c r="BR362" t="s" s="0">
        <v>8325</v>
      </c>
      <c r="BS362" t="s" s="0">
        <v>8326</v>
      </c>
      <c r="BT362" t="s" s="719">
        <f>HYPERLINK("https://www.webofscience.com/wos/woscc/full-record/WOS:000909825800001","View Record in Web of Science")</f>
        <v>114</v>
      </c>
      <c r="BU362" t="s" s="0">
        <v>81</v>
      </c>
      <c r="BV362" t="s" s="0">
        <v>81</v>
      </c>
      <c r="BW362" t="s" s="0">
        <v>81</v>
      </c>
      <c r="BX362" t="s" s="0">
        <v>116</v>
      </c>
    </row>
    <row r="363">
      <c r="A363" t="s" s="0">
        <v>77</v>
      </c>
      <c r="B363" t="s" s="0">
        <v>77</v>
      </c>
      <c r="C363" t="s" s="0">
        <v>77</v>
      </c>
      <c r="D363" t="s" s="0">
        <v>77</v>
      </c>
      <c r="E363" t="s" s="0">
        <v>8327</v>
      </c>
      <c r="F363" t="s" s="0">
        <v>8328</v>
      </c>
      <c r="G363" t="s" s="0">
        <v>8329</v>
      </c>
      <c r="H363" t="s" s="0">
        <v>81</v>
      </c>
      <c r="I363" t="s" s="0">
        <v>82</v>
      </c>
      <c r="J363" t="s" s="0">
        <v>8330</v>
      </c>
      <c r="K363" t="s" s="0">
        <v>8331</v>
      </c>
      <c r="L363" t="s" s="0">
        <v>8332</v>
      </c>
      <c r="M363" t="s" s="0">
        <v>8333</v>
      </c>
      <c r="N363" t="s" s="0">
        <v>8334</v>
      </c>
      <c r="O363" t="s" s="0">
        <v>8335</v>
      </c>
      <c r="P363" t="s" s="0">
        <v>8336</v>
      </c>
      <c r="Q363" t="s" s="0">
        <v>87</v>
      </c>
      <c r="R363" t="s" s="0">
        <v>81</v>
      </c>
      <c r="S363" t="s" s="0">
        <v>81</v>
      </c>
      <c r="T363" t="s" s="0">
        <v>81</v>
      </c>
      <c r="U363" t="s" s="0">
        <v>81</v>
      </c>
      <c r="V363" t="s" s="0">
        <v>8337</v>
      </c>
      <c r="W363" t="s" s="0">
        <v>2070</v>
      </c>
      <c r="X363" t="s" s="0">
        <v>81</v>
      </c>
      <c r="Y363" t="s" s="0">
        <v>81</v>
      </c>
      <c r="Z363" t="s" s="0">
        <v>90</v>
      </c>
      <c r="AA363" t="s" s="0">
        <v>91</v>
      </c>
      <c r="AB363" t="s" s="0">
        <v>81</v>
      </c>
      <c r="AC363" t="s" s="0">
        <v>81</v>
      </c>
      <c r="AD363" t="s" s="0">
        <v>81</v>
      </c>
      <c r="AE363" t="s" s="0">
        <v>81</v>
      </c>
      <c r="AF363" t="s" s="0">
        <v>81</v>
      </c>
      <c r="AG363" t="s" s="0">
        <v>8338</v>
      </c>
      <c r="AH363" t="s" s="0">
        <v>8339</v>
      </c>
      <c r="AI363" t="s" s="0">
        <v>81</v>
      </c>
      <c r="AJ363" t="s" s="0">
        <v>81</v>
      </c>
      <c r="AK363" t="s" s="0">
        <v>81</v>
      </c>
      <c r="AL363" t="s" s="0">
        <v>1511</v>
      </c>
      <c r="AM363" t="s" s="0">
        <v>77</v>
      </c>
      <c r="AN363" t="s" s="0">
        <v>77</v>
      </c>
      <c r="AO363" t="s" s="0">
        <v>97</v>
      </c>
      <c r="AP363" t="s" s="0">
        <v>97</v>
      </c>
      <c r="AQ363" t="s" s="0">
        <v>177</v>
      </c>
      <c r="AR363" t="s" s="0">
        <v>178</v>
      </c>
      <c r="AS363" t="s" s="0">
        <v>179</v>
      </c>
      <c r="AT363" t="s" s="0">
        <v>2073</v>
      </c>
      <c r="AU363" t="s" s="0">
        <v>2074</v>
      </c>
      <c r="AV363" t="s" s="0">
        <v>81</v>
      </c>
      <c r="AW363" t="s" s="0">
        <v>2075</v>
      </c>
      <c r="AX363" t="s" s="0">
        <v>2076</v>
      </c>
      <c r="AY363" t="s" s="0">
        <v>2276</v>
      </c>
      <c r="AZ363" t="s" s="0">
        <v>103</v>
      </c>
      <c r="BA363" t="s" s="0">
        <v>5496</v>
      </c>
      <c r="BB363" t="s" s="0">
        <v>81</v>
      </c>
      <c r="BC363" t="s" s="0">
        <v>81</v>
      </c>
      <c r="BD363" t="s" s="0">
        <v>145</v>
      </c>
      <c r="BE363" t="s" s="0">
        <v>81</v>
      </c>
      <c r="BF363" t="s" s="0">
        <v>81</v>
      </c>
      <c r="BG363" t="s" s="0">
        <v>81</v>
      </c>
      <c r="BH363" t="s" s="0">
        <v>81</v>
      </c>
      <c r="BI363" t="s" s="0">
        <v>8340</v>
      </c>
      <c r="BJ363" t="s" s="0">
        <v>8341</v>
      </c>
      <c r="BK363" t="s" s="720">
        <f>HYPERLINK("http://dx.doi.org/10.1016/j.bspc.2026.110989","http://dx.doi.org/10.1016/j.bspc.2026.110989")</f>
        <v>8342</v>
      </c>
      <c r="BL363" t="s" s="0">
        <v>81</v>
      </c>
      <c r="BM363" t="s" s="0">
        <v>3366</v>
      </c>
      <c r="BN363" t="s" s="0">
        <v>104</v>
      </c>
      <c r="BO363" t="s" s="0">
        <v>2082</v>
      </c>
      <c r="BP363" t="s" s="0">
        <v>1003</v>
      </c>
      <c r="BQ363" t="s" s="0">
        <v>8343</v>
      </c>
      <c r="BR363" t="s" s="0">
        <v>81</v>
      </c>
      <c r="BS363" t="s" s="0">
        <v>8344</v>
      </c>
      <c r="BT363" t="s" s="721">
        <f>HYPERLINK("https://www.webofscience.com/wos/woscc/full-record/WOS:001823622300001","View Record in Web of Science")</f>
        <v>114</v>
      </c>
      <c r="BU363" t="s" s="0">
        <v>1055</v>
      </c>
      <c r="BV363" t="s" s="0">
        <v>81</v>
      </c>
      <c r="BW363" t="s" s="0">
        <v>81</v>
      </c>
      <c r="BX363" t="s" s="0">
        <v>116</v>
      </c>
    </row>
    <row r="364">
      <c r="A364" t="s" s="0">
        <v>77</v>
      </c>
      <c r="B364" t="s" s="0">
        <v>77</v>
      </c>
      <c r="C364" t="s" s="0">
        <v>97</v>
      </c>
      <c r="D364" t="s" s="0">
        <v>77</v>
      </c>
      <c r="E364" t="s" s="0">
        <v>8345</v>
      </c>
      <c r="F364" t="s" s="0">
        <v>8346</v>
      </c>
      <c r="G364" t="s" s="0">
        <v>8347</v>
      </c>
      <c r="H364" t="s" s="0">
        <v>81</v>
      </c>
      <c r="I364" t="s" s="0">
        <v>82</v>
      </c>
      <c r="J364" t="s" s="0">
        <v>8348</v>
      </c>
      <c r="K364" t="s" s="0">
        <v>8349</v>
      </c>
      <c r="L364" t="s" s="0">
        <v>8350</v>
      </c>
      <c r="M364" t="s" s="0">
        <v>8351</v>
      </c>
      <c r="N364" t="s" s="0">
        <v>8352</v>
      </c>
      <c r="O364" t="s" s="0">
        <v>8353</v>
      </c>
      <c r="P364" t="s" s="0">
        <v>8354</v>
      </c>
      <c r="Q364" t="s" s="0">
        <v>87</v>
      </c>
      <c r="R364" t="s" s="0">
        <v>81</v>
      </c>
      <c r="S364" t="s" s="0">
        <v>81</v>
      </c>
      <c r="T364" t="s" s="0">
        <v>81</v>
      </c>
      <c r="U364" t="s" s="0">
        <v>81</v>
      </c>
      <c r="V364" t="s" s="0">
        <v>8355</v>
      </c>
      <c r="W364" t="s" s="0">
        <v>8356</v>
      </c>
      <c r="X364" t="s" s="0">
        <v>81</v>
      </c>
      <c r="Y364" t="s" s="0">
        <v>81</v>
      </c>
      <c r="Z364" t="s" s="0">
        <v>90</v>
      </c>
      <c r="AA364" t="s" s="0">
        <v>91</v>
      </c>
      <c r="AB364" t="s" s="0">
        <v>81</v>
      </c>
      <c r="AC364" t="s" s="0">
        <v>81</v>
      </c>
      <c r="AD364" t="s" s="0">
        <v>81</v>
      </c>
      <c r="AE364" t="s" s="0">
        <v>81</v>
      </c>
      <c r="AF364" t="s" s="0">
        <v>81</v>
      </c>
      <c r="AG364" t="s" s="0">
        <v>8357</v>
      </c>
      <c r="AH364" t="s" s="0">
        <v>81</v>
      </c>
      <c r="AI364" t="s" s="0">
        <v>81</v>
      </c>
      <c r="AJ364" t="s" s="0">
        <v>8358</v>
      </c>
      <c r="AK364" t="s" s="0">
        <v>81</v>
      </c>
      <c r="AL364" t="s" s="0">
        <v>109</v>
      </c>
      <c r="AM364" t="s" s="0">
        <v>381</v>
      </c>
      <c r="AN364" t="s" s="0">
        <v>191</v>
      </c>
      <c r="AO364" t="s" s="0">
        <v>97</v>
      </c>
      <c r="AP364" t="s" s="0">
        <v>211</v>
      </c>
      <c r="AQ364" t="s" s="0">
        <v>284</v>
      </c>
      <c r="AR364" t="s" s="0">
        <v>285</v>
      </c>
      <c r="AS364" t="s" s="0">
        <v>286</v>
      </c>
      <c r="AT364" t="s" s="0">
        <v>81</v>
      </c>
      <c r="AU364" t="s" s="0">
        <v>8359</v>
      </c>
      <c r="AV364" t="s" s="0">
        <v>81</v>
      </c>
      <c r="AW364" t="s" s="0">
        <v>8360</v>
      </c>
      <c r="AX364" t="s" s="0">
        <v>8361</v>
      </c>
      <c r="AY364" t="s" s="0">
        <v>4409</v>
      </c>
      <c r="AZ364" t="s" s="0">
        <v>185</v>
      </c>
      <c r="BA364" t="s" s="0">
        <v>434</v>
      </c>
      <c r="BB364" t="s" s="0">
        <v>316</v>
      </c>
      <c r="BC364" t="s" s="0">
        <v>81</v>
      </c>
      <c r="BD364" t="s" s="0">
        <v>81</v>
      </c>
      <c r="BE364" t="s" s="0">
        <v>81</v>
      </c>
      <c r="BF364" t="s" s="0">
        <v>81</v>
      </c>
      <c r="BG364" t="s" s="0">
        <v>81</v>
      </c>
      <c r="BH364" t="s" s="0">
        <v>81</v>
      </c>
      <c r="BI364" t="s" s="0">
        <v>8362</v>
      </c>
      <c r="BJ364" t="s" s="0">
        <v>8363</v>
      </c>
      <c r="BK364" t="s" s="722">
        <f>HYPERLINK("http://dx.doi.org/10.3390/s24061940","http://dx.doi.org/10.3390/s24061940")</f>
        <v>8364</v>
      </c>
      <c r="BL364" t="s" s="0">
        <v>81</v>
      </c>
      <c r="BM364" t="s" s="0">
        <v>81</v>
      </c>
      <c r="BN364" t="s" s="0">
        <v>291</v>
      </c>
      <c r="BO364" t="s" s="0">
        <v>8365</v>
      </c>
      <c r="BP364" t="s" s="0">
        <v>8366</v>
      </c>
      <c r="BQ364" t="s" s="0">
        <v>8367</v>
      </c>
      <c r="BR364" t="s" s="0">
        <v>8368</v>
      </c>
      <c r="BS364" t="s" s="0">
        <v>8369</v>
      </c>
      <c r="BT364" t="s" s="723">
        <f>HYPERLINK("https://www.webofscience.com/wos/woscc/full-record/WOS:001192717000001","View Record in Web of Science")</f>
        <v>114</v>
      </c>
      <c r="BU364" t="s" s="0">
        <v>301</v>
      </c>
      <c r="BV364" t="s" s="0">
        <v>81</v>
      </c>
      <c r="BW364" t="s" s="0">
        <v>81</v>
      </c>
      <c r="BX364" t="s" s="0">
        <v>116</v>
      </c>
    </row>
    <row r="365">
      <c r="A365" t="s" s="0">
        <v>77</v>
      </c>
      <c r="B365" t="s" s="0">
        <v>77</v>
      </c>
      <c r="C365" t="s" s="0">
        <v>196</v>
      </c>
      <c r="D365" t="s" s="0">
        <v>77</v>
      </c>
      <c r="E365" t="s" s="0">
        <v>8370</v>
      </c>
      <c r="F365" t="s" s="0">
        <v>8371</v>
      </c>
      <c r="G365" t="s" s="0">
        <v>8372</v>
      </c>
      <c r="H365" t="s" s="0">
        <v>81</v>
      </c>
      <c r="I365" t="s" s="0">
        <v>528</v>
      </c>
      <c r="J365" t="s" s="0">
        <v>8373</v>
      </c>
      <c r="K365" t="s" s="0">
        <v>8374</v>
      </c>
      <c r="L365" t="s" s="0">
        <v>8375</v>
      </c>
      <c r="M365" t="s" s="0">
        <v>8376</v>
      </c>
      <c r="N365" t="s" s="0">
        <v>81</v>
      </c>
      <c r="O365" t="s" s="0">
        <v>8377</v>
      </c>
      <c r="P365" t="s" s="0">
        <v>8378</v>
      </c>
      <c r="Q365" t="s" s="0">
        <v>87</v>
      </c>
      <c r="R365" t="s" s="0">
        <v>81</v>
      </c>
      <c r="S365" t="s" s="0">
        <v>81</v>
      </c>
      <c r="T365" t="s" s="0">
        <v>81</v>
      </c>
      <c r="U365" t="s" s="0">
        <v>81</v>
      </c>
      <c r="V365" t="s" s="0">
        <v>8379</v>
      </c>
      <c r="W365" t="s" s="0">
        <v>8380</v>
      </c>
      <c r="X365" t="s" s="0">
        <v>81</v>
      </c>
      <c r="Y365" t="s" s="0">
        <v>81</v>
      </c>
      <c r="Z365" t="s" s="0">
        <v>90</v>
      </c>
      <c r="AA365" t="s" s="0">
        <v>91</v>
      </c>
      <c r="AB365" t="s" s="0">
        <v>81</v>
      </c>
      <c r="AC365" t="s" s="0">
        <v>81</v>
      </c>
      <c r="AD365" t="s" s="0">
        <v>81</v>
      </c>
      <c r="AE365" t="s" s="0">
        <v>81</v>
      </c>
      <c r="AF365" t="s" s="0">
        <v>81</v>
      </c>
      <c r="AG365" t="s" s="0">
        <v>8381</v>
      </c>
      <c r="AH365" t="s" s="0">
        <v>8382</v>
      </c>
      <c r="AI365" t="s" s="0">
        <v>8383</v>
      </c>
      <c r="AJ365" t="s" s="0">
        <v>8384</v>
      </c>
      <c r="AK365" t="s" s="0">
        <v>81</v>
      </c>
      <c r="AL365" t="s" s="0">
        <v>344</v>
      </c>
      <c r="AM365" t="s" s="0">
        <v>874</v>
      </c>
      <c r="AN365" t="s" s="0">
        <v>671</v>
      </c>
      <c r="AO365" t="s" s="0">
        <v>156</v>
      </c>
      <c r="AP365" t="s" s="0">
        <v>316</v>
      </c>
      <c r="AQ365" t="s" s="0">
        <v>1654</v>
      </c>
      <c r="AR365" t="s" s="0">
        <v>1345</v>
      </c>
      <c r="AS365" t="s" s="0">
        <v>1655</v>
      </c>
      <c r="AT365" t="s" s="0">
        <v>8385</v>
      </c>
      <c r="AU365" t="s" s="0">
        <v>8386</v>
      </c>
      <c r="AV365" t="s" s="0">
        <v>81</v>
      </c>
      <c r="AW365" t="s" s="0">
        <v>8387</v>
      </c>
      <c r="AX365" t="s" s="0">
        <v>8388</v>
      </c>
      <c r="AY365" t="s" s="0">
        <v>615</v>
      </c>
      <c r="AZ365" t="s" s="0">
        <v>290</v>
      </c>
      <c r="BA365" t="s" s="0">
        <v>1912</v>
      </c>
      <c r="BB365" t="s" s="0">
        <v>133</v>
      </c>
      <c r="BC365" t="s" s="0">
        <v>81</v>
      </c>
      <c r="BD365" t="s" s="0">
        <v>81</v>
      </c>
      <c r="BE365" t="s" s="0">
        <v>81</v>
      </c>
      <c r="BF365" t="s" s="0">
        <v>81</v>
      </c>
      <c r="BG365" t="s" s="0">
        <v>81</v>
      </c>
      <c r="BH365" t="s" s="0">
        <v>81</v>
      </c>
      <c r="BI365" t="s" s="0">
        <v>81</v>
      </c>
      <c r="BJ365" t="s" s="0">
        <v>8389</v>
      </c>
      <c r="BK365" t="s" s="724">
        <f>HYPERLINK("http://dx.doi.org/10.1093/jamia/ocaf039","http://dx.doi.org/10.1093/jamia/ocaf039")</f>
        <v>8390</v>
      </c>
      <c r="BL365" t="s" s="0">
        <v>81</v>
      </c>
      <c r="BM365" t="s" s="0">
        <v>1025</v>
      </c>
      <c r="BN365" t="s" s="0">
        <v>191</v>
      </c>
      <c r="BO365" t="s" s="0">
        <v>8391</v>
      </c>
      <c r="BP365" t="s" s="0">
        <v>8392</v>
      </c>
      <c r="BQ365" t="s" s="0">
        <v>8393</v>
      </c>
      <c r="BR365" t="s" s="0">
        <v>8394</v>
      </c>
      <c r="BS365" t="s" s="0">
        <v>8395</v>
      </c>
      <c r="BT365" t="s" s="725">
        <f>HYPERLINK("https://www.webofscience.com/wos/woscc/full-record/WOS:001443595500001","View Record in Web of Science")</f>
        <v>114</v>
      </c>
      <c r="BU365" t="s" s="0">
        <v>155</v>
      </c>
      <c r="BV365" t="s" s="0">
        <v>81</v>
      </c>
      <c r="BW365" t="s" s="0">
        <v>81</v>
      </c>
      <c r="BX365" t="s" s="0">
        <v>116</v>
      </c>
    </row>
    <row r="366">
      <c r="A366" t="s" s="0">
        <v>77</v>
      </c>
      <c r="B366" t="s" s="0">
        <v>77</v>
      </c>
      <c r="C366" t="s" s="0">
        <v>77</v>
      </c>
      <c r="D366" t="s" s="0">
        <v>77</v>
      </c>
      <c r="E366" t="s" s="0">
        <v>8396</v>
      </c>
      <c r="F366" t="s" s="0">
        <v>8397</v>
      </c>
      <c r="G366" t="s" s="0">
        <v>8398</v>
      </c>
      <c r="H366" t="s" s="0">
        <v>81</v>
      </c>
      <c r="I366" t="s" s="0">
        <v>238</v>
      </c>
      <c r="J366" t="s" s="0">
        <v>8399</v>
      </c>
      <c r="K366" t="s" s="0">
        <v>8400</v>
      </c>
      <c r="L366" t="s" s="0">
        <v>8401</v>
      </c>
      <c r="M366" t="s" s="0">
        <v>8401</v>
      </c>
      <c r="N366" t="s" s="0">
        <v>335</v>
      </c>
      <c r="O366" t="s" s="0">
        <v>8402</v>
      </c>
      <c r="P366" t="s" s="0">
        <v>8403</v>
      </c>
      <c r="Q366" t="s" s="0">
        <v>87</v>
      </c>
      <c r="R366" t="s" s="0">
        <v>81</v>
      </c>
      <c r="S366" t="s" s="0">
        <v>81</v>
      </c>
      <c r="T366" t="s" s="0">
        <v>81</v>
      </c>
      <c r="U366" t="s" s="0">
        <v>81</v>
      </c>
      <c r="V366" t="s" s="0">
        <v>8404</v>
      </c>
      <c r="W366" t="s" s="0">
        <v>8405</v>
      </c>
      <c r="X366" t="s" s="0">
        <v>81</v>
      </c>
      <c r="Y366" t="s" s="0">
        <v>81</v>
      </c>
      <c r="Z366" t="s" s="0">
        <v>90</v>
      </c>
      <c r="AA366" t="s" s="0">
        <v>91</v>
      </c>
      <c r="AB366" t="s" s="0">
        <v>81</v>
      </c>
      <c r="AC366" t="s" s="0">
        <v>81</v>
      </c>
      <c r="AD366" t="s" s="0">
        <v>81</v>
      </c>
      <c r="AE366" t="s" s="0">
        <v>81</v>
      </c>
      <c r="AF366" t="s" s="0">
        <v>81</v>
      </c>
      <c r="AG366" t="s" s="0">
        <v>8406</v>
      </c>
      <c r="AH366" t="s" s="0">
        <v>8407</v>
      </c>
      <c r="AI366" t="s" s="0">
        <v>8408</v>
      </c>
      <c r="AJ366" t="s" s="0">
        <v>81</v>
      </c>
      <c r="AK366" t="s" s="0">
        <v>81</v>
      </c>
      <c r="AL366" t="s" s="0">
        <v>7254</v>
      </c>
      <c r="AM366" t="s" s="0">
        <v>196</v>
      </c>
      <c r="AN366" t="s" s="0">
        <v>175</v>
      </c>
      <c r="AO366" t="s" s="0">
        <v>156</v>
      </c>
      <c r="AP366" t="s" s="0">
        <v>486</v>
      </c>
      <c r="AQ366" t="s" s="0">
        <v>212</v>
      </c>
      <c r="AR366" t="s" s="0">
        <v>429</v>
      </c>
      <c r="AS366" t="s" s="0">
        <v>784</v>
      </c>
      <c r="AT366" t="s" s="0">
        <v>8409</v>
      </c>
      <c r="AU366" t="s" s="0">
        <v>8410</v>
      </c>
      <c r="AV366" t="s" s="0">
        <v>81</v>
      </c>
      <c r="AW366" t="s" s="0">
        <v>8411</v>
      </c>
      <c r="AX366" t="s" s="0">
        <v>8412</v>
      </c>
      <c r="AY366" t="s" s="0">
        <v>6555</v>
      </c>
      <c r="AZ366" t="s" s="0">
        <v>185</v>
      </c>
      <c r="BA366" t="s" s="0">
        <v>925</v>
      </c>
      <c r="BB366" t="s" s="0">
        <v>196</v>
      </c>
      <c r="BC366" t="s" s="0">
        <v>4172</v>
      </c>
      <c r="BD366" t="s" s="0">
        <v>81</v>
      </c>
      <c r="BE366" t="s" s="0">
        <v>81</v>
      </c>
      <c r="BF366" t="s" s="0">
        <v>81</v>
      </c>
      <c r="BG366" t="s" s="0">
        <v>1352</v>
      </c>
      <c r="BH366" t="s" s="0">
        <v>8413</v>
      </c>
      <c r="BI366" t="s" s="0">
        <v>81</v>
      </c>
      <c r="BJ366" t="s" s="0">
        <v>8414</v>
      </c>
      <c r="BK366" t="s" s="726">
        <f>HYPERLINK("http://dx.doi.org/10.1007/s41649-024-00292-7","http://dx.doi.org/10.1007/s41649-024-00292-7")</f>
        <v>8415</v>
      </c>
      <c r="BL366" t="s" s="0">
        <v>81</v>
      </c>
      <c r="BM366" t="s" s="0">
        <v>184</v>
      </c>
      <c r="BN366" t="s" s="0">
        <v>252</v>
      </c>
      <c r="BO366" t="s" s="0">
        <v>8416</v>
      </c>
      <c r="BP366" t="s" s="0">
        <v>8417</v>
      </c>
      <c r="BQ366" t="s" s="0">
        <v>8418</v>
      </c>
      <c r="BR366" t="s" s="0">
        <v>8419</v>
      </c>
      <c r="BS366" t="s" s="0">
        <v>8420</v>
      </c>
      <c r="BT366" t="s" s="727">
        <f>HYPERLINK("https://www.webofscience.com/wos/woscc/full-record/WOS:001243869500001","View Record in Web of Science")</f>
        <v>114</v>
      </c>
      <c r="BU366" t="s" s="0">
        <v>233</v>
      </c>
      <c r="BV366" t="s" s="0">
        <v>81</v>
      </c>
      <c r="BW366" t="s" s="0">
        <v>81</v>
      </c>
      <c r="BX366" t="s" s="0">
        <v>116</v>
      </c>
    </row>
    <row r="367">
      <c r="A367" t="s" s="0">
        <v>77</v>
      </c>
      <c r="B367" t="s" s="0">
        <v>77</v>
      </c>
      <c r="C367" t="s" s="0">
        <v>77</v>
      </c>
      <c r="D367" t="s" s="0">
        <v>77</v>
      </c>
      <c r="E367" t="s" s="0">
        <v>8421</v>
      </c>
      <c r="F367" t="s" s="0">
        <v>8422</v>
      </c>
      <c r="G367" t="s" s="0">
        <v>8423</v>
      </c>
      <c r="H367" t="s" s="0">
        <v>81</v>
      </c>
      <c r="I367" t="s" s="0">
        <v>82</v>
      </c>
      <c r="J367" t="s" s="0">
        <v>8424</v>
      </c>
      <c r="K367" t="s" s="0">
        <v>8425</v>
      </c>
      <c r="L367" t="s" s="0">
        <v>81</v>
      </c>
      <c r="M367" t="s" s="0">
        <v>81</v>
      </c>
      <c r="N367" t="s" s="0">
        <v>81</v>
      </c>
      <c r="O367" t="s" s="0">
        <v>8426</v>
      </c>
      <c r="P367" t="s" s="0">
        <v>8427</v>
      </c>
      <c r="Q367" t="s" s="0">
        <v>87</v>
      </c>
      <c r="R367" t="s" s="0">
        <v>81</v>
      </c>
      <c r="S367" t="s" s="0">
        <v>81</v>
      </c>
      <c r="T367" t="s" s="0">
        <v>81</v>
      </c>
      <c r="U367" t="s" s="0">
        <v>81</v>
      </c>
      <c r="V367" t="s" s="0">
        <v>8428</v>
      </c>
      <c r="W367" t="s" s="0">
        <v>8429</v>
      </c>
      <c r="X367" t="s" s="0">
        <v>81</v>
      </c>
      <c r="Y367" t="s" s="0">
        <v>81</v>
      </c>
      <c r="Z367" t="s" s="0">
        <v>90</v>
      </c>
      <c r="AA367" t="s" s="0">
        <v>91</v>
      </c>
      <c r="AB367" t="s" s="0">
        <v>81</v>
      </c>
      <c r="AC367" t="s" s="0">
        <v>81</v>
      </c>
      <c r="AD367" t="s" s="0">
        <v>81</v>
      </c>
      <c r="AE367" t="s" s="0">
        <v>81</v>
      </c>
      <c r="AF367" t="s" s="0">
        <v>81</v>
      </c>
      <c r="AG367" t="s" s="0">
        <v>8430</v>
      </c>
      <c r="AH367" t="s" s="0">
        <v>8431</v>
      </c>
      <c r="AI367" t="s" s="0">
        <v>8432</v>
      </c>
      <c r="AJ367" t="s" s="0">
        <v>81</v>
      </c>
      <c r="AK367" t="s" s="0">
        <v>81</v>
      </c>
      <c r="AL367" t="s" s="0">
        <v>1442</v>
      </c>
      <c r="AM367" t="s" s="0">
        <v>97</v>
      </c>
      <c r="AN367" t="s" s="0">
        <v>97</v>
      </c>
      <c r="AO367" t="s" s="0">
        <v>77</v>
      </c>
      <c r="AP367" t="s" s="0">
        <v>381</v>
      </c>
      <c r="AQ367" t="s" s="0">
        <v>8433</v>
      </c>
      <c r="AR367" t="s" s="0">
        <v>8434</v>
      </c>
      <c r="AS367" t="s" s="0">
        <v>8435</v>
      </c>
      <c r="AT367" t="s" s="0">
        <v>8436</v>
      </c>
      <c r="AU367" t="s" s="0">
        <v>8437</v>
      </c>
      <c r="AV367" t="s" s="0">
        <v>81</v>
      </c>
      <c r="AW367" t="s" s="0">
        <v>8438</v>
      </c>
      <c r="AX367" t="s" s="0">
        <v>8439</v>
      </c>
      <c r="AY367" t="s" s="0">
        <v>948</v>
      </c>
      <c r="AZ367" t="s" s="0">
        <v>103</v>
      </c>
      <c r="BA367" t="s" s="0">
        <v>697</v>
      </c>
      <c r="BB367" t="s" s="0">
        <v>156</v>
      </c>
      <c r="BC367" t="s" s="0">
        <v>81</v>
      </c>
      <c r="BD367" t="s" s="0">
        <v>81</v>
      </c>
      <c r="BE367" t="s" s="0">
        <v>81</v>
      </c>
      <c r="BF367" t="s" s="0">
        <v>81</v>
      </c>
      <c r="BG367" t="s" s="0">
        <v>8440</v>
      </c>
      <c r="BH367" t="s" s="0">
        <v>8441</v>
      </c>
      <c r="BI367" t="s" s="0">
        <v>81</v>
      </c>
      <c r="BJ367" t="s" s="0">
        <v>8442</v>
      </c>
      <c r="BK367" t="s" s="728">
        <f>HYPERLINK("http://dx.doi.org/10.1007/s40995-025-01851-9","http://dx.doi.org/10.1007/s40995-025-01851-9")</f>
        <v>8443</v>
      </c>
      <c r="BL367" t="s" s="0">
        <v>81</v>
      </c>
      <c r="BM367" t="s" s="0">
        <v>733</v>
      </c>
      <c r="BN367" t="s" s="0">
        <v>367</v>
      </c>
      <c r="BO367" t="s" s="0">
        <v>926</v>
      </c>
      <c r="BP367" t="s" s="0">
        <v>927</v>
      </c>
      <c r="BQ367" t="s" s="0">
        <v>8444</v>
      </c>
      <c r="BR367" t="s" s="0">
        <v>81</v>
      </c>
      <c r="BS367" t="s" s="0">
        <v>8445</v>
      </c>
      <c r="BT367" t="s" s="729">
        <f>HYPERLINK("https://www.webofscience.com/wos/woscc/full-record/WOS:001532905100001","View Record in Web of Science")</f>
        <v>114</v>
      </c>
      <c r="BU367" t="s" s="0">
        <v>81</v>
      </c>
      <c r="BV367" t="s" s="0">
        <v>81</v>
      </c>
      <c r="BW367" t="s" s="0">
        <v>81</v>
      </c>
      <c r="BX367" t="s" s="0">
        <v>116</v>
      </c>
    </row>
    <row r="368">
      <c r="A368" t="s" s="0">
        <v>77</v>
      </c>
      <c r="B368" t="s" s="0">
        <v>77</v>
      </c>
      <c r="C368" t="s" s="0">
        <v>77</v>
      </c>
      <c r="D368" t="s" s="0">
        <v>77</v>
      </c>
      <c r="E368" t="s" s="0">
        <v>8446</v>
      </c>
      <c r="F368" t="s" s="0">
        <v>8447</v>
      </c>
      <c r="G368" t="s" s="0">
        <v>8448</v>
      </c>
      <c r="H368" t="s" s="0">
        <v>81</v>
      </c>
      <c r="I368" t="s" s="0">
        <v>82</v>
      </c>
      <c r="J368" t="s" s="0">
        <v>8449</v>
      </c>
      <c r="K368" t="s" s="0">
        <v>8450</v>
      </c>
      <c r="L368" t="s" s="0">
        <v>81</v>
      </c>
      <c r="M368" t="s" s="0">
        <v>81</v>
      </c>
      <c r="N368" t="s" s="0">
        <v>81</v>
      </c>
      <c r="O368" t="s" s="0">
        <v>8451</v>
      </c>
      <c r="P368" t="s" s="0">
        <v>8452</v>
      </c>
      <c r="Q368" t="s" s="0">
        <v>87</v>
      </c>
      <c r="R368" t="s" s="0">
        <v>81</v>
      </c>
      <c r="S368" t="s" s="0">
        <v>81</v>
      </c>
      <c r="T368" t="s" s="0">
        <v>81</v>
      </c>
      <c r="U368" t="s" s="0">
        <v>81</v>
      </c>
      <c r="V368" t="s" s="0">
        <v>8453</v>
      </c>
      <c r="W368" t="s" s="0">
        <v>279</v>
      </c>
      <c r="X368" t="s" s="0">
        <v>81</v>
      </c>
      <c r="Y368" t="s" s="0">
        <v>81</v>
      </c>
      <c r="Z368" t="s" s="0">
        <v>90</v>
      </c>
      <c r="AA368" t="s" s="0">
        <v>91</v>
      </c>
      <c r="AB368" t="s" s="0">
        <v>81</v>
      </c>
      <c r="AC368" t="s" s="0">
        <v>81</v>
      </c>
      <c r="AD368" t="s" s="0">
        <v>81</v>
      </c>
      <c r="AE368" t="s" s="0">
        <v>81</v>
      </c>
      <c r="AF368" t="s" s="0">
        <v>81</v>
      </c>
      <c r="AG368" t="s" s="0">
        <v>8454</v>
      </c>
      <c r="AH368" t="s" s="0">
        <v>8455</v>
      </c>
      <c r="AI368" t="s" s="0">
        <v>8456</v>
      </c>
      <c r="AJ368" t="s" s="0">
        <v>81</v>
      </c>
      <c r="AK368" t="s" s="0">
        <v>81</v>
      </c>
      <c r="AL368" t="s" s="0">
        <v>1837</v>
      </c>
      <c r="AM368" t="s" s="0">
        <v>77</v>
      </c>
      <c r="AN368" t="s" s="0">
        <v>77</v>
      </c>
      <c r="AO368" t="s" s="0">
        <v>156</v>
      </c>
      <c r="AP368" t="s" s="0">
        <v>196</v>
      </c>
      <c r="AQ368" t="s" s="0">
        <v>284</v>
      </c>
      <c r="AR368" t="s" s="0">
        <v>285</v>
      </c>
      <c r="AS368" t="s" s="0">
        <v>286</v>
      </c>
      <c r="AT368" t="s" s="0">
        <v>81</v>
      </c>
      <c r="AU368" t="s" s="0">
        <v>287</v>
      </c>
      <c r="AV368" t="s" s="0">
        <v>81</v>
      </c>
      <c r="AW368" t="s" s="0">
        <v>279</v>
      </c>
      <c r="AX368" t="s" s="0">
        <v>288</v>
      </c>
      <c r="AY368" t="s" s="0">
        <v>2645</v>
      </c>
      <c r="AZ368" t="s" s="0">
        <v>290</v>
      </c>
      <c r="BA368" t="s" s="0">
        <v>925</v>
      </c>
      <c r="BB368" t="s" s="0">
        <v>97</v>
      </c>
      <c r="BC368" t="s" s="0">
        <v>81</v>
      </c>
      <c r="BD368" t="s" s="0">
        <v>81</v>
      </c>
      <c r="BE368" t="s" s="0">
        <v>81</v>
      </c>
      <c r="BF368" t="s" s="0">
        <v>81</v>
      </c>
      <c r="BG368" t="s" s="0">
        <v>81</v>
      </c>
      <c r="BH368" t="s" s="0">
        <v>81</v>
      </c>
      <c r="BI368" t="s" s="0">
        <v>234</v>
      </c>
      <c r="BJ368" t="s" s="0">
        <v>8457</v>
      </c>
      <c r="BK368" t="s" s="730">
        <f>HYPERLINK("http://dx.doi.org/10.3390/diagnostics16010007","http://dx.doi.org/10.3390/diagnostics16010007")</f>
        <v>8458</v>
      </c>
      <c r="BL368" t="s" s="0">
        <v>81</v>
      </c>
      <c r="BM368" t="s" s="0">
        <v>81</v>
      </c>
      <c r="BN368" t="s" s="0">
        <v>210</v>
      </c>
      <c r="BO368" t="s" s="0">
        <v>296</v>
      </c>
      <c r="BP368" t="s" s="0">
        <v>297</v>
      </c>
      <c r="BQ368" t="s" s="0">
        <v>8459</v>
      </c>
      <c r="BR368" t="s" s="0">
        <v>8460</v>
      </c>
      <c r="BS368" t="s" s="0">
        <v>8461</v>
      </c>
      <c r="BT368" t="s" s="731">
        <f>HYPERLINK("https://www.webofscience.com/wos/woscc/full-record/WOS:001657663800001","View Record in Web of Science")</f>
        <v>114</v>
      </c>
      <c r="BU368" t="s" s="0">
        <v>301</v>
      </c>
      <c r="BV368" t="s" s="0">
        <v>81</v>
      </c>
      <c r="BW368" t="s" s="0">
        <v>81</v>
      </c>
      <c r="BX368" t="s" s="0">
        <v>116</v>
      </c>
    </row>
    <row r="369">
      <c r="A369" t="s" s="0">
        <v>97</v>
      </c>
      <c r="B369" t="s" s="0">
        <v>77</v>
      </c>
      <c r="C369" t="s" s="0">
        <v>316</v>
      </c>
      <c r="D369" t="s" s="0">
        <v>77</v>
      </c>
      <c r="E369" t="s" s="0">
        <v>8462</v>
      </c>
      <c r="F369" t="s" s="0">
        <v>8463</v>
      </c>
      <c r="G369" t="s" s="0">
        <v>8464</v>
      </c>
      <c r="H369" t="s" s="0">
        <v>81</v>
      </c>
      <c r="I369" t="s" s="0">
        <v>82</v>
      </c>
      <c r="J369" t="s" s="0">
        <v>8465</v>
      </c>
      <c r="K369" t="s" s="0">
        <v>1365</v>
      </c>
      <c r="L369" t="s" s="0">
        <v>8466</v>
      </c>
      <c r="M369" t="s" s="0">
        <v>8467</v>
      </c>
      <c r="N369" t="s" s="0">
        <v>8468</v>
      </c>
      <c r="O369" t="s" s="0">
        <v>8469</v>
      </c>
      <c r="P369" t="s" s="0">
        <v>8470</v>
      </c>
      <c r="Q369" t="s" s="0">
        <v>87</v>
      </c>
      <c r="R369" t="s" s="0">
        <v>81</v>
      </c>
      <c r="S369" t="s" s="0">
        <v>81</v>
      </c>
      <c r="T369" t="s" s="0">
        <v>81</v>
      </c>
      <c r="U369" t="s" s="0">
        <v>81</v>
      </c>
      <c r="V369" t="s" s="0">
        <v>8471</v>
      </c>
      <c r="W369" t="s" s="0">
        <v>1369</v>
      </c>
      <c r="X369" t="s" s="0">
        <v>81</v>
      </c>
      <c r="Y369" t="s" s="0">
        <v>81</v>
      </c>
      <c r="Z369" t="s" s="0">
        <v>90</v>
      </c>
      <c r="AA369" t="s" s="0">
        <v>91</v>
      </c>
      <c r="AB369" t="s" s="0">
        <v>81</v>
      </c>
      <c r="AC369" t="s" s="0">
        <v>81</v>
      </c>
      <c r="AD369" t="s" s="0">
        <v>81</v>
      </c>
      <c r="AE369" t="s" s="0">
        <v>81</v>
      </c>
      <c r="AF369" t="s" s="0">
        <v>81</v>
      </c>
      <c r="AG369" t="s" s="0">
        <v>8472</v>
      </c>
      <c r="AH369" t="s" s="0">
        <v>8473</v>
      </c>
      <c r="AI369" t="s" s="0">
        <v>81</v>
      </c>
      <c r="AJ369" t="s" s="0">
        <v>8474</v>
      </c>
      <c r="AK369" t="s" s="0">
        <v>81</v>
      </c>
      <c r="AL369" t="s" s="0">
        <v>398</v>
      </c>
      <c r="AM369" t="s" s="0">
        <v>104</v>
      </c>
      <c r="AN369" t="s" s="0">
        <v>925</v>
      </c>
      <c r="AO369" t="s" s="0">
        <v>156</v>
      </c>
      <c r="AP369" t="s" s="0">
        <v>671</v>
      </c>
      <c r="AQ369" t="s" s="0">
        <v>284</v>
      </c>
      <c r="AR369" t="s" s="0">
        <v>285</v>
      </c>
      <c r="AS369" t="s" s="0">
        <v>286</v>
      </c>
      <c r="AT369" t="s" s="0">
        <v>81</v>
      </c>
      <c r="AU369" t="s" s="0">
        <v>1375</v>
      </c>
      <c r="AV369" t="s" s="0">
        <v>81</v>
      </c>
      <c r="AW369" t="s" s="0">
        <v>1369</v>
      </c>
      <c r="AX369" t="s" s="0">
        <v>1376</v>
      </c>
      <c r="AY369" t="s" s="0">
        <v>557</v>
      </c>
      <c r="AZ369" t="s" s="0">
        <v>260</v>
      </c>
      <c r="BA369" t="s" s="0">
        <v>291</v>
      </c>
      <c r="BB369" t="s" s="0">
        <v>175</v>
      </c>
      <c r="BC369" t="s" s="0">
        <v>81</v>
      </c>
      <c r="BD369" t="s" s="0">
        <v>81</v>
      </c>
      <c r="BE369" t="s" s="0">
        <v>81</v>
      </c>
      <c r="BF369" t="s" s="0">
        <v>81</v>
      </c>
      <c r="BG369" t="s" s="0">
        <v>81</v>
      </c>
      <c r="BH369" t="s" s="0">
        <v>81</v>
      </c>
      <c r="BI369" t="s" s="0">
        <v>8475</v>
      </c>
      <c r="BJ369" t="s" s="0">
        <v>8476</v>
      </c>
      <c r="BK369" t="s" s="732">
        <f>HYPERLINK("http://dx.doi.org/10.3390/cancers15041118","http://dx.doi.org/10.3390/cancers15041118")</f>
        <v>8477</v>
      </c>
      <c r="BL369" t="s" s="0">
        <v>81</v>
      </c>
      <c r="BM369" t="s" s="0">
        <v>81</v>
      </c>
      <c r="BN369" t="s" s="0">
        <v>367</v>
      </c>
      <c r="BO369" t="s" s="0">
        <v>1380</v>
      </c>
      <c r="BP369" t="s" s="0">
        <v>1380</v>
      </c>
      <c r="BQ369" t="s" s="0">
        <v>8478</v>
      </c>
      <c r="BR369" t="s" s="0">
        <v>8479</v>
      </c>
      <c r="BS369" t="s" s="0">
        <v>8480</v>
      </c>
      <c r="BT369" t="s" s="733">
        <f>HYPERLINK("https://www.webofscience.com/wos/woscc/full-record/WOS:000938929900001","View Record in Web of Science")</f>
        <v>114</v>
      </c>
      <c r="BU369" t="s" s="0">
        <v>301</v>
      </c>
      <c r="BV369" t="s" s="0">
        <v>81</v>
      </c>
      <c r="BW369" t="s" s="0">
        <v>81</v>
      </c>
      <c r="BX369" t="s" s="0">
        <v>116</v>
      </c>
    </row>
    <row r="370">
      <c r="A370" t="s" s="0">
        <v>77</v>
      </c>
      <c r="B370" t="s" s="0">
        <v>77</v>
      </c>
      <c r="C370" t="s" s="0">
        <v>196</v>
      </c>
      <c r="D370" t="s" s="0">
        <v>77</v>
      </c>
      <c r="E370" t="s" s="0">
        <v>8481</v>
      </c>
      <c r="F370" t="s" s="0">
        <v>8482</v>
      </c>
      <c r="G370" t="s" s="0">
        <v>8483</v>
      </c>
      <c r="H370" t="s" s="0">
        <v>81</v>
      </c>
      <c r="I370" t="s" s="0">
        <v>82</v>
      </c>
      <c r="J370" t="s" s="0">
        <v>8484</v>
      </c>
      <c r="K370" t="s" s="0">
        <v>8485</v>
      </c>
      <c r="L370" t="s" s="0">
        <v>8486</v>
      </c>
      <c r="M370" t="s" s="0">
        <v>8487</v>
      </c>
      <c r="N370" t="s" s="0">
        <v>8488</v>
      </c>
      <c r="O370" t="s" s="0">
        <v>8489</v>
      </c>
      <c r="P370" t="s" s="0">
        <v>8490</v>
      </c>
      <c r="Q370" t="s" s="0">
        <v>87</v>
      </c>
      <c r="R370" t="s" s="0">
        <v>81</v>
      </c>
      <c r="S370" t="s" s="0">
        <v>81</v>
      </c>
      <c r="T370" t="s" s="0">
        <v>81</v>
      </c>
      <c r="U370" t="s" s="0">
        <v>81</v>
      </c>
      <c r="V370" t="s" s="0">
        <v>8491</v>
      </c>
      <c r="W370" t="s" s="0">
        <v>8492</v>
      </c>
      <c r="X370" t="s" s="0">
        <v>81</v>
      </c>
      <c r="Y370" t="s" s="0">
        <v>81</v>
      </c>
      <c r="Z370" t="s" s="0">
        <v>90</v>
      </c>
      <c r="AA370" t="s" s="0">
        <v>91</v>
      </c>
      <c r="AB370" t="s" s="0">
        <v>81</v>
      </c>
      <c r="AC370" t="s" s="0">
        <v>81</v>
      </c>
      <c r="AD370" t="s" s="0">
        <v>81</v>
      </c>
      <c r="AE370" t="s" s="0">
        <v>81</v>
      </c>
      <c r="AF370" t="s" s="0">
        <v>81</v>
      </c>
      <c r="AG370" t="s" s="0">
        <v>8493</v>
      </c>
      <c r="AH370" t="s" s="0">
        <v>81</v>
      </c>
      <c r="AI370" t="s" s="0">
        <v>8494</v>
      </c>
      <c r="AJ370" t="s" s="0">
        <v>8495</v>
      </c>
      <c r="AK370" t="s" s="0">
        <v>81</v>
      </c>
      <c r="AL370" t="s" s="0">
        <v>324</v>
      </c>
      <c r="AM370" t="s" s="0">
        <v>381</v>
      </c>
      <c r="AN370" t="s" s="0">
        <v>381</v>
      </c>
      <c r="AO370" t="s" s="0">
        <v>156</v>
      </c>
      <c r="AP370" t="s" s="0">
        <v>486</v>
      </c>
      <c r="AQ370" t="s" s="0">
        <v>284</v>
      </c>
      <c r="AR370" t="s" s="0">
        <v>285</v>
      </c>
      <c r="AS370" t="s" s="0">
        <v>286</v>
      </c>
      <c r="AT370" t="s" s="0">
        <v>8496</v>
      </c>
      <c r="AU370" t="s" s="0">
        <v>81</v>
      </c>
      <c r="AV370" t="s" s="0">
        <v>81</v>
      </c>
      <c r="AW370" t="s" s="0">
        <v>8497</v>
      </c>
      <c r="AX370" t="s" s="0">
        <v>8498</v>
      </c>
      <c r="AY370" t="s" s="0">
        <v>1029</v>
      </c>
      <c r="AZ370" t="s" s="0">
        <v>290</v>
      </c>
      <c r="BA370" t="s" s="0">
        <v>291</v>
      </c>
      <c r="BB370" t="s" s="0">
        <v>156</v>
      </c>
      <c r="BC370" t="s" s="0">
        <v>81</v>
      </c>
      <c r="BD370" t="s" s="0">
        <v>81</v>
      </c>
      <c r="BE370" t="s" s="0">
        <v>81</v>
      </c>
      <c r="BF370" t="s" s="0">
        <v>81</v>
      </c>
      <c r="BG370" t="s" s="0">
        <v>81</v>
      </c>
      <c r="BH370" t="s" s="0">
        <v>81</v>
      </c>
      <c r="BI370" t="s" s="0">
        <v>5496</v>
      </c>
      <c r="BJ370" t="s" s="0">
        <v>8499</v>
      </c>
      <c r="BK370" t="s" s="734">
        <f>HYPERLINK("http://dx.doi.org/10.3390/ani15020126","http://dx.doi.org/10.3390/ani15020126")</f>
        <v>8500</v>
      </c>
      <c r="BL370" t="s" s="0">
        <v>81</v>
      </c>
      <c r="BM370" t="s" s="0">
        <v>81</v>
      </c>
      <c r="BN370" t="s" s="0">
        <v>104</v>
      </c>
      <c r="BO370" t="s" s="0">
        <v>8501</v>
      </c>
      <c r="BP370" t="s" s="0">
        <v>8502</v>
      </c>
      <c r="BQ370" t="s" s="0">
        <v>8503</v>
      </c>
      <c r="BR370" t="s" s="0">
        <v>8504</v>
      </c>
      <c r="BS370" t="s" s="0">
        <v>8505</v>
      </c>
      <c r="BT370" t="s" s="735">
        <f>HYPERLINK("https://www.webofscience.com/wos/woscc/full-record/WOS:001404017900001","View Record in Web of Science")</f>
        <v>114</v>
      </c>
      <c r="BU370" t="s" s="0">
        <v>301</v>
      </c>
      <c r="BV370" t="s" s="0">
        <v>81</v>
      </c>
      <c r="BW370" t="s" s="0">
        <v>81</v>
      </c>
      <c r="BX370" t="s" s="0">
        <v>116</v>
      </c>
    </row>
    <row r="371">
      <c r="A371" t="s" s="0">
        <v>156</v>
      </c>
      <c r="B371" t="s" s="0">
        <v>77</v>
      </c>
      <c r="C371" t="s" s="0">
        <v>135</v>
      </c>
      <c r="D371" t="s" s="0">
        <v>77</v>
      </c>
      <c r="E371" t="s" s="0">
        <v>8506</v>
      </c>
      <c r="F371" t="s" s="0">
        <v>8507</v>
      </c>
      <c r="G371" t="s" s="0">
        <v>8508</v>
      </c>
      <c r="H371" t="s" s="0">
        <v>81</v>
      </c>
      <c r="I371" t="s" s="0">
        <v>82</v>
      </c>
      <c r="J371" t="s" s="0">
        <v>8509</v>
      </c>
      <c r="K371" t="s" s="0">
        <v>8510</v>
      </c>
      <c r="L371" t="s" s="0">
        <v>8511</v>
      </c>
      <c r="M371" t="s" s="0">
        <v>8512</v>
      </c>
      <c r="N371" t="s" s="0">
        <v>8513</v>
      </c>
      <c r="O371" t="s" s="0">
        <v>8514</v>
      </c>
      <c r="P371" t="s" s="0">
        <v>8515</v>
      </c>
      <c r="Q371" t="s" s="0">
        <v>87</v>
      </c>
      <c r="R371" t="s" s="0">
        <v>81</v>
      </c>
      <c r="S371" t="s" s="0">
        <v>81</v>
      </c>
      <c r="T371" t="s" s="0">
        <v>81</v>
      </c>
      <c r="U371" t="s" s="0">
        <v>81</v>
      </c>
      <c r="V371" t="s" s="0">
        <v>8516</v>
      </c>
      <c r="W371" t="s" s="0">
        <v>279</v>
      </c>
      <c r="X371" t="s" s="0">
        <v>81</v>
      </c>
      <c r="Y371" t="s" s="0">
        <v>81</v>
      </c>
      <c r="Z371" t="s" s="0">
        <v>90</v>
      </c>
      <c r="AA371" t="s" s="0">
        <v>91</v>
      </c>
      <c r="AB371" t="s" s="0">
        <v>81</v>
      </c>
      <c r="AC371" t="s" s="0">
        <v>81</v>
      </c>
      <c r="AD371" t="s" s="0">
        <v>81</v>
      </c>
      <c r="AE371" t="s" s="0">
        <v>81</v>
      </c>
      <c r="AF371" t="s" s="0">
        <v>81</v>
      </c>
      <c r="AG371" t="s" s="0">
        <v>8517</v>
      </c>
      <c r="AH371" t="s" s="0">
        <v>1342</v>
      </c>
      <c r="AI371" t="s" s="0">
        <v>8518</v>
      </c>
      <c r="AJ371" t="s" s="0">
        <v>8519</v>
      </c>
      <c r="AK371" t="s" s="0">
        <v>81</v>
      </c>
      <c r="AL371" t="s" s="0">
        <v>914</v>
      </c>
      <c r="AM371" t="s" s="0">
        <v>5496</v>
      </c>
      <c r="AN371" t="s" s="0">
        <v>1186</v>
      </c>
      <c r="AO371" t="s" s="0">
        <v>485</v>
      </c>
      <c r="AP371" t="s" s="0">
        <v>4754</v>
      </c>
      <c r="AQ371" t="s" s="0">
        <v>284</v>
      </c>
      <c r="AR371" t="s" s="0">
        <v>285</v>
      </c>
      <c r="AS371" t="s" s="0">
        <v>286</v>
      </c>
      <c r="AT371" t="s" s="0">
        <v>81</v>
      </c>
      <c r="AU371" t="s" s="0">
        <v>287</v>
      </c>
      <c r="AV371" t="s" s="0">
        <v>81</v>
      </c>
      <c r="AW371" t="s" s="0">
        <v>279</v>
      </c>
      <c r="AX371" t="s" s="0">
        <v>288</v>
      </c>
      <c r="AY371" t="s" s="0">
        <v>8520</v>
      </c>
      <c r="AZ371" t="s" s="0">
        <v>260</v>
      </c>
      <c r="BA371" t="s" s="0">
        <v>486</v>
      </c>
      <c r="BB371" t="s" s="0">
        <v>191</v>
      </c>
      <c r="BC371" t="s" s="0">
        <v>81</v>
      </c>
      <c r="BD371" t="s" s="0">
        <v>81</v>
      </c>
      <c r="BE371" t="s" s="0">
        <v>81</v>
      </c>
      <c r="BF371" t="s" s="0">
        <v>81</v>
      </c>
      <c r="BG371" t="s" s="0">
        <v>81</v>
      </c>
      <c r="BH371" t="s" s="0">
        <v>81</v>
      </c>
      <c r="BI371" t="s" s="0">
        <v>8521</v>
      </c>
      <c r="BJ371" t="s" s="0">
        <v>8522</v>
      </c>
      <c r="BK371" t="s" s="736">
        <f>HYPERLINK("http://dx.doi.org/10.3390/diagnostics13111932","http://dx.doi.org/10.3390/diagnostics13111932")</f>
        <v>8523</v>
      </c>
      <c r="BL371" t="s" s="0">
        <v>81</v>
      </c>
      <c r="BM371" t="s" s="0">
        <v>81</v>
      </c>
      <c r="BN371" t="s" s="0">
        <v>485</v>
      </c>
      <c r="BO371" t="s" s="0">
        <v>296</v>
      </c>
      <c r="BP371" t="s" s="0">
        <v>297</v>
      </c>
      <c r="BQ371" t="s" s="0">
        <v>8524</v>
      </c>
      <c r="BR371" t="s" s="0">
        <v>8525</v>
      </c>
      <c r="BS371" t="s" s="0">
        <v>8526</v>
      </c>
      <c r="BT371" t="s" s="737">
        <f>HYPERLINK("https://www.webofscience.com/wos/woscc/full-record/WOS:001004033100001","View Record in Web of Science")</f>
        <v>114</v>
      </c>
      <c r="BU371" t="s" s="0">
        <v>301</v>
      </c>
      <c r="BV371" t="s" s="0">
        <v>2886</v>
      </c>
      <c r="BW371" t="s" s="0">
        <v>2887</v>
      </c>
      <c r="BX371" t="s" s="0">
        <v>116</v>
      </c>
    </row>
    <row r="372">
      <c r="A372" t="s" s="0">
        <v>77</v>
      </c>
      <c r="B372" t="s" s="0">
        <v>77</v>
      </c>
      <c r="C372" t="s" s="0">
        <v>77</v>
      </c>
      <c r="D372" t="s" s="0">
        <v>77</v>
      </c>
      <c r="E372" t="s" s="0">
        <v>8527</v>
      </c>
      <c r="F372" t="s" s="0">
        <v>8528</v>
      </c>
      <c r="G372" t="s" s="0">
        <v>8529</v>
      </c>
      <c r="H372" t="s" s="0">
        <v>81</v>
      </c>
      <c r="I372" t="s" s="0">
        <v>82</v>
      </c>
      <c r="J372" t="s" s="0">
        <v>8530</v>
      </c>
      <c r="K372" t="s" s="0">
        <v>8531</v>
      </c>
      <c r="L372" t="s" s="0">
        <v>8532</v>
      </c>
      <c r="M372" t="s" s="0">
        <v>8533</v>
      </c>
      <c r="N372" t="s" s="0">
        <v>8534</v>
      </c>
      <c r="O372" t="s" s="0">
        <v>8535</v>
      </c>
      <c r="P372" t="s" s="0">
        <v>8536</v>
      </c>
      <c r="Q372" t="s" s="0">
        <v>87</v>
      </c>
      <c r="R372" t="s" s="0">
        <v>81</v>
      </c>
      <c r="S372" t="s" s="0">
        <v>81</v>
      </c>
      <c r="T372" t="s" s="0">
        <v>81</v>
      </c>
      <c r="U372" t="s" s="0">
        <v>81</v>
      </c>
      <c r="V372" t="s" s="0">
        <v>8537</v>
      </c>
      <c r="W372" t="s" s="0">
        <v>1369</v>
      </c>
      <c r="X372" t="s" s="0">
        <v>81</v>
      </c>
      <c r="Y372" t="s" s="0">
        <v>81</v>
      </c>
      <c r="Z372" t="s" s="0">
        <v>90</v>
      </c>
      <c r="AA372" t="s" s="0">
        <v>91</v>
      </c>
      <c r="AB372" t="s" s="0">
        <v>81</v>
      </c>
      <c r="AC372" t="s" s="0">
        <v>81</v>
      </c>
      <c r="AD372" t="s" s="0">
        <v>81</v>
      </c>
      <c r="AE372" t="s" s="0">
        <v>81</v>
      </c>
      <c r="AF372" t="s" s="0">
        <v>81</v>
      </c>
      <c r="AG372" t="s" s="0">
        <v>8538</v>
      </c>
      <c r="AH372" t="s" s="0">
        <v>8539</v>
      </c>
      <c r="AI372" t="s" s="0">
        <v>8540</v>
      </c>
      <c r="AJ372" t="s" s="0">
        <v>8541</v>
      </c>
      <c r="AK372" t="s" s="0">
        <v>81</v>
      </c>
      <c r="AL372" t="s" s="0">
        <v>1912</v>
      </c>
      <c r="AM372" t="s" s="0">
        <v>133</v>
      </c>
      <c r="AN372" t="s" s="0">
        <v>133</v>
      </c>
      <c r="AO372" t="s" s="0">
        <v>77</v>
      </c>
      <c r="AP372" t="s" s="0">
        <v>97</v>
      </c>
      <c r="AQ372" t="s" s="0">
        <v>284</v>
      </c>
      <c r="AR372" t="s" s="0">
        <v>285</v>
      </c>
      <c r="AS372" t="s" s="0">
        <v>317</v>
      </c>
      <c r="AT372" t="s" s="0">
        <v>81</v>
      </c>
      <c r="AU372" t="s" s="0">
        <v>1375</v>
      </c>
      <c r="AV372" t="s" s="0">
        <v>81</v>
      </c>
      <c r="AW372" t="s" s="0">
        <v>1369</v>
      </c>
      <c r="AX372" t="s" s="0">
        <v>1376</v>
      </c>
      <c r="AY372" t="s" s="0">
        <v>8542</v>
      </c>
      <c r="AZ372" t="s" s="0">
        <v>260</v>
      </c>
      <c r="BA372" t="s" s="0">
        <v>291</v>
      </c>
      <c r="BB372" t="s" s="0">
        <v>211</v>
      </c>
      <c r="BC372" t="s" s="0">
        <v>81</v>
      </c>
      <c r="BD372" t="s" s="0">
        <v>81</v>
      </c>
      <c r="BE372" t="s" s="0">
        <v>81</v>
      </c>
      <c r="BF372" t="s" s="0">
        <v>81</v>
      </c>
      <c r="BG372" t="s" s="0">
        <v>81</v>
      </c>
      <c r="BH372" t="s" s="0">
        <v>81</v>
      </c>
      <c r="BI372" t="s" s="0">
        <v>8543</v>
      </c>
      <c r="BJ372" t="s" s="0">
        <v>8544</v>
      </c>
      <c r="BK372" t="s" s="738">
        <f>HYPERLINK("http://dx.doi.org/10.3390/cancers15102794","http://dx.doi.org/10.3390/cancers15102794")</f>
        <v>8545</v>
      </c>
      <c r="BL372" t="s" s="0">
        <v>81</v>
      </c>
      <c r="BM372" t="s" s="0">
        <v>81</v>
      </c>
      <c r="BN372" t="s" s="0">
        <v>191</v>
      </c>
      <c r="BO372" t="s" s="0">
        <v>1380</v>
      </c>
      <c r="BP372" t="s" s="0">
        <v>1380</v>
      </c>
      <c r="BQ372" t="s" s="0">
        <v>8546</v>
      </c>
      <c r="BR372" t="s" s="0">
        <v>8547</v>
      </c>
      <c r="BS372" t="s" s="0">
        <v>8548</v>
      </c>
      <c r="BT372" t="s" s="739">
        <f>HYPERLINK("https://www.webofscience.com/wos/woscc/full-record/WOS:000997657800001","View Record in Web of Science")</f>
        <v>114</v>
      </c>
      <c r="BU372" t="s" s="0">
        <v>301</v>
      </c>
      <c r="BV372" t="s" s="0">
        <v>81</v>
      </c>
      <c r="BW372" t="s" s="0">
        <v>81</v>
      </c>
      <c r="BX372" t="s" s="0">
        <v>116</v>
      </c>
    </row>
    <row r="373">
      <c r="A373" t="s" s="0">
        <v>77</v>
      </c>
      <c r="B373" t="s" s="0">
        <v>77</v>
      </c>
      <c r="C373" t="s" s="0">
        <v>77</v>
      </c>
      <c r="D373" t="s" s="0">
        <v>77</v>
      </c>
      <c r="E373" t="s" s="0">
        <v>8549</v>
      </c>
      <c r="F373" t="s" s="0">
        <v>8550</v>
      </c>
      <c r="G373" t="s" s="0">
        <v>8551</v>
      </c>
      <c r="H373" t="s" s="0">
        <v>81</v>
      </c>
      <c r="I373" t="s" s="0">
        <v>238</v>
      </c>
      <c r="J373" t="s" s="0">
        <v>8552</v>
      </c>
      <c r="K373" t="s" s="0">
        <v>8553</v>
      </c>
      <c r="L373" t="s" s="0">
        <v>8554</v>
      </c>
      <c r="M373" t="s" s="0">
        <v>8555</v>
      </c>
      <c r="N373" t="s" s="0">
        <v>8556</v>
      </c>
      <c r="O373" t="s" s="0">
        <v>8557</v>
      </c>
      <c r="P373" t="s" s="0">
        <v>8558</v>
      </c>
      <c r="Q373" t="s" s="0">
        <v>87</v>
      </c>
      <c r="R373" t="s" s="0">
        <v>81</v>
      </c>
      <c r="S373" t="s" s="0">
        <v>81</v>
      </c>
      <c r="T373" t="s" s="0">
        <v>81</v>
      </c>
      <c r="U373" t="s" s="0">
        <v>81</v>
      </c>
      <c r="V373" t="s" s="0">
        <v>8559</v>
      </c>
      <c r="W373" t="s" s="0">
        <v>2595</v>
      </c>
      <c r="X373" t="s" s="0">
        <v>81</v>
      </c>
      <c r="Y373" t="s" s="0">
        <v>81</v>
      </c>
      <c r="Z373" t="s" s="0">
        <v>90</v>
      </c>
      <c r="AA373" t="s" s="0">
        <v>91</v>
      </c>
      <c r="AB373" t="s" s="0">
        <v>81</v>
      </c>
      <c r="AC373" t="s" s="0">
        <v>81</v>
      </c>
      <c r="AD373" t="s" s="0">
        <v>81</v>
      </c>
      <c r="AE373" t="s" s="0">
        <v>81</v>
      </c>
      <c r="AF373" t="s" s="0">
        <v>81</v>
      </c>
      <c r="AG373" t="s" s="0">
        <v>8560</v>
      </c>
      <c r="AH373" t="s" s="0">
        <v>81</v>
      </c>
      <c r="AI373" t="s" s="0">
        <v>81</v>
      </c>
      <c r="AJ373" t="s" s="0">
        <v>8561</v>
      </c>
      <c r="AK373" t="s" s="0">
        <v>81</v>
      </c>
      <c r="AL373" t="s" s="0">
        <v>228</v>
      </c>
      <c r="AM373" t="s" s="0">
        <v>77</v>
      </c>
      <c r="AN373" t="s" s="0">
        <v>77</v>
      </c>
      <c r="AO373" t="s" s="0">
        <v>156</v>
      </c>
      <c r="AP373" t="s" s="0">
        <v>156</v>
      </c>
      <c r="AQ373" t="s" s="0">
        <v>1654</v>
      </c>
      <c r="AR373" t="s" s="0">
        <v>1345</v>
      </c>
      <c r="AS373" t="s" s="0">
        <v>1655</v>
      </c>
      <c r="AT373" t="s" s="0">
        <v>81</v>
      </c>
      <c r="AU373" t="s" s="0">
        <v>2600</v>
      </c>
      <c r="AV373" t="s" s="0">
        <v>81</v>
      </c>
      <c r="AW373" t="s" s="0">
        <v>2595</v>
      </c>
      <c r="AX373" t="s" s="0">
        <v>2601</v>
      </c>
      <c r="AY373" t="s" s="0">
        <v>1869</v>
      </c>
      <c r="AZ373" t="s" s="0">
        <v>290</v>
      </c>
      <c r="BA373" t="s" s="0">
        <v>381</v>
      </c>
      <c r="BB373" t="s" s="0">
        <v>175</v>
      </c>
      <c r="BC373" t="s" s="0">
        <v>81</v>
      </c>
      <c r="BD373" t="s" s="0">
        <v>81</v>
      </c>
      <c r="BE373" t="s" s="0">
        <v>81</v>
      </c>
      <c r="BF373" t="s" s="0">
        <v>81</v>
      </c>
      <c r="BG373" t="s" s="0">
        <v>81</v>
      </c>
      <c r="BH373" t="s" s="0">
        <v>81</v>
      </c>
      <c r="BI373" t="s" s="0">
        <v>8562</v>
      </c>
      <c r="BJ373" t="s" s="0">
        <v>8563</v>
      </c>
      <c r="BK373" t="s" s="740">
        <f>HYPERLINK("http://dx.doi.org/10.1093/jamiaopen/ooaf064","http://dx.doi.org/10.1093/jamiaopen/ooaf064")</f>
        <v>8564</v>
      </c>
      <c r="BL373" t="s" s="0">
        <v>81</v>
      </c>
      <c r="BM373" t="s" s="0">
        <v>81</v>
      </c>
      <c r="BN373" t="s" s="0">
        <v>261</v>
      </c>
      <c r="BO373" t="s" s="0">
        <v>792</v>
      </c>
      <c r="BP373" t="s" s="0">
        <v>792</v>
      </c>
      <c r="BQ373" t="s" s="0">
        <v>8565</v>
      </c>
      <c r="BR373" t="s" s="0">
        <v>8566</v>
      </c>
      <c r="BS373" t="s" s="0">
        <v>8567</v>
      </c>
      <c r="BT373" t="s" s="741">
        <f>HYPERLINK("https://www.webofscience.com/wos/woscc/full-record/WOS:001538870500001","View Record in Web of Science")</f>
        <v>114</v>
      </c>
      <c r="BU373" t="s" s="0">
        <v>301</v>
      </c>
      <c r="BV373" t="s" s="0">
        <v>81</v>
      </c>
      <c r="BW373" t="s" s="0">
        <v>81</v>
      </c>
      <c r="BX373" t="s" s="0">
        <v>116</v>
      </c>
    </row>
    <row r="374">
      <c r="A374" t="s" s="0">
        <v>97</v>
      </c>
      <c r="B374" t="s" s="0">
        <v>77</v>
      </c>
      <c r="C374" t="s" s="0">
        <v>381</v>
      </c>
      <c r="D374" t="s" s="0">
        <v>97</v>
      </c>
      <c r="E374" t="s" s="0">
        <v>8568</v>
      </c>
      <c r="F374" t="s" s="0">
        <v>8569</v>
      </c>
      <c r="G374" t="s" s="0">
        <v>8570</v>
      </c>
      <c r="H374" t="s" s="0">
        <v>81</v>
      </c>
      <c r="I374" t="s" s="0">
        <v>528</v>
      </c>
      <c r="J374" t="s" s="0">
        <v>8571</v>
      </c>
      <c r="K374" t="s" s="0">
        <v>8572</v>
      </c>
      <c r="L374" t="s" s="0">
        <v>8573</v>
      </c>
      <c r="M374" t="s" s="0">
        <v>8574</v>
      </c>
      <c r="N374" t="s" s="0">
        <v>81</v>
      </c>
      <c r="O374" t="s" s="0">
        <v>8575</v>
      </c>
      <c r="P374" t="s" s="0">
        <v>8576</v>
      </c>
      <c r="Q374" t="s" s="0">
        <v>87</v>
      </c>
      <c r="R374" t="s" s="0">
        <v>81</v>
      </c>
      <c r="S374" t="s" s="0">
        <v>81</v>
      </c>
      <c r="T374" t="s" s="0">
        <v>81</v>
      </c>
      <c r="U374" t="s" s="0">
        <v>81</v>
      </c>
      <c r="V374" t="s" s="0">
        <v>8577</v>
      </c>
      <c r="W374" t="s" s="0">
        <v>8380</v>
      </c>
      <c r="X374" t="s" s="0">
        <v>81</v>
      </c>
      <c r="Y374" t="s" s="0">
        <v>81</v>
      </c>
      <c r="Z374" t="s" s="0">
        <v>90</v>
      </c>
      <c r="AA374" t="s" s="0">
        <v>91</v>
      </c>
      <c r="AB374" t="s" s="0">
        <v>81</v>
      </c>
      <c r="AC374" t="s" s="0">
        <v>81</v>
      </c>
      <c r="AD374" t="s" s="0">
        <v>81</v>
      </c>
      <c r="AE374" t="s" s="0">
        <v>81</v>
      </c>
      <c r="AF374" t="s" s="0">
        <v>81</v>
      </c>
      <c r="AG374" t="s" s="0">
        <v>8578</v>
      </c>
      <c r="AH374" t="s" s="0">
        <v>81</v>
      </c>
      <c r="AI374" t="s" s="0">
        <v>8579</v>
      </c>
      <c r="AJ374" t="s" s="0">
        <v>8580</v>
      </c>
      <c r="AK374" t="s" s="0">
        <v>81</v>
      </c>
      <c r="AL374" t="s" s="0">
        <v>174</v>
      </c>
      <c r="AM374" t="s" s="0">
        <v>2955</v>
      </c>
      <c r="AN374" t="s" s="0">
        <v>3984</v>
      </c>
      <c r="AO374" t="s" s="0">
        <v>756</v>
      </c>
      <c r="AP374" t="s" s="0">
        <v>1837</v>
      </c>
      <c r="AQ374" t="s" s="0">
        <v>1654</v>
      </c>
      <c r="AR374" t="s" s="0">
        <v>1345</v>
      </c>
      <c r="AS374" t="s" s="0">
        <v>1655</v>
      </c>
      <c r="AT374" t="s" s="0">
        <v>8385</v>
      </c>
      <c r="AU374" t="s" s="0">
        <v>8386</v>
      </c>
      <c r="AV374" t="s" s="0">
        <v>81</v>
      </c>
      <c r="AW374" t="s" s="0">
        <v>8387</v>
      </c>
      <c r="AX374" t="s" s="0">
        <v>8388</v>
      </c>
      <c r="AY374" t="s" s="0">
        <v>733</v>
      </c>
      <c r="AZ374" t="s" s="0">
        <v>290</v>
      </c>
      <c r="BA374" t="s" s="0">
        <v>1912</v>
      </c>
      <c r="BB374" t="s" s="0">
        <v>234</v>
      </c>
      <c r="BC374" t="s" s="0">
        <v>81</v>
      </c>
      <c r="BD374" t="s" s="0">
        <v>81</v>
      </c>
      <c r="BE374" t="s" s="0">
        <v>81</v>
      </c>
      <c r="BF374" t="s" s="0">
        <v>81</v>
      </c>
      <c r="BG374" t="s" s="0">
        <v>8581</v>
      </c>
      <c r="BH374" t="s" s="0">
        <v>8582</v>
      </c>
      <c r="BI374" t="s" s="0">
        <v>81</v>
      </c>
      <c r="BJ374" t="s" s="0">
        <v>8583</v>
      </c>
      <c r="BK374" t="s" s="742">
        <f>HYPERLINK("http://dx.doi.org/10.1093/jamia/ocaf065","http://dx.doi.org/10.1093/jamia/ocaf065")</f>
        <v>8584</v>
      </c>
      <c r="BL374" t="s" s="0">
        <v>81</v>
      </c>
      <c r="BM374" t="s" s="0">
        <v>615</v>
      </c>
      <c r="BN374" t="s" s="0">
        <v>381</v>
      </c>
      <c r="BO374" t="s" s="0">
        <v>8391</v>
      </c>
      <c r="BP374" t="s" s="0">
        <v>8392</v>
      </c>
      <c r="BQ374" t="s" s="0">
        <v>8585</v>
      </c>
      <c r="BR374" t="s" s="0">
        <v>8586</v>
      </c>
      <c r="BS374" t="s" s="0">
        <v>8587</v>
      </c>
      <c r="BT374" t="s" s="743">
        <f>HYPERLINK("https://www.webofscience.com/wos/woscc/full-record/WOS:001481084400001","View Record in Web of Science")</f>
        <v>114</v>
      </c>
      <c r="BU374" t="s" s="0">
        <v>155</v>
      </c>
      <c r="BV374" t="s" s="0">
        <v>2887</v>
      </c>
      <c r="BW374" t="s" s="0">
        <v>2887</v>
      </c>
      <c r="BX374" t="s" s="0">
        <v>116</v>
      </c>
    </row>
    <row r="375">
      <c r="A375" t="s" s="0">
        <v>77</v>
      </c>
      <c r="B375" t="s" s="0">
        <v>77</v>
      </c>
      <c r="C375" t="s" s="0">
        <v>77</v>
      </c>
      <c r="D375" t="s" s="0">
        <v>77</v>
      </c>
      <c r="E375" t="s" s="0">
        <v>8588</v>
      </c>
      <c r="F375" t="s" s="0">
        <v>8589</v>
      </c>
      <c r="G375" t="s" s="0">
        <v>8590</v>
      </c>
      <c r="H375" t="s" s="0">
        <v>81</v>
      </c>
      <c r="I375" t="s" s="0">
        <v>82</v>
      </c>
      <c r="J375" t="s" s="0">
        <v>8591</v>
      </c>
      <c r="K375" t="s" s="0">
        <v>8592</v>
      </c>
      <c r="L375" t="s" s="0">
        <v>81</v>
      </c>
      <c r="M375" t="s" s="0">
        <v>81</v>
      </c>
      <c r="N375" t="s" s="0">
        <v>81</v>
      </c>
      <c r="O375" t="s" s="0">
        <v>8593</v>
      </c>
      <c r="P375" t="s" s="0">
        <v>8594</v>
      </c>
      <c r="Q375" t="s" s="0">
        <v>87</v>
      </c>
      <c r="R375" t="s" s="0">
        <v>81</v>
      </c>
      <c r="S375" t="s" s="0">
        <v>81</v>
      </c>
      <c r="T375" t="s" s="0">
        <v>81</v>
      </c>
      <c r="U375" t="s" s="0">
        <v>81</v>
      </c>
      <c r="V375" t="s" s="0">
        <v>8595</v>
      </c>
      <c r="W375" t="s" s="0">
        <v>8596</v>
      </c>
      <c r="X375" t="s" s="0">
        <v>81</v>
      </c>
      <c r="Y375" t="s" s="0">
        <v>81</v>
      </c>
      <c r="Z375" t="s" s="0">
        <v>90</v>
      </c>
      <c r="AA375" t="s" s="0">
        <v>91</v>
      </c>
      <c r="AB375" t="s" s="0">
        <v>81</v>
      </c>
      <c r="AC375" t="s" s="0">
        <v>81</v>
      </c>
      <c r="AD375" t="s" s="0">
        <v>81</v>
      </c>
      <c r="AE375" t="s" s="0">
        <v>81</v>
      </c>
      <c r="AF375" t="s" s="0">
        <v>81</v>
      </c>
      <c r="AG375" t="s" s="0">
        <v>8597</v>
      </c>
      <c r="AH375" t="s" s="0">
        <v>8598</v>
      </c>
      <c r="AI375" t="s" s="0">
        <v>8599</v>
      </c>
      <c r="AJ375" t="s" s="0">
        <v>81</v>
      </c>
      <c r="AK375" t="s" s="0">
        <v>81</v>
      </c>
      <c r="AL375" t="s" s="0">
        <v>150</v>
      </c>
      <c r="AM375" t="s" s="0">
        <v>97</v>
      </c>
      <c r="AN375" t="s" s="0">
        <v>97</v>
      </c>
      <c r="AO375" t="s" s="0">
        <v>77</v>
      </c>
      <c r="AP375" t="s" s="0">
        <v>77</v>
      </c>
      <c r="AQ375" t="s" s="0">
        <v>177</v>
      </c>
      <c r="AR375" t="s" s="0">
        <v>178</v>
      </c>
      <c r="AS375" t="s" s="0">
        <v>179</v>
      </c>
      <c r="AT375" t="s" s="0">
        <v>8600</v>
      </c>
      <c r="AU375" t="s" s="0">
        <v>8601</v>
      </c>
      <c r="AV375" t="s" s="0">
        <v>81</v>
      </c>
      <c r="AW375" t="s" s="0">
        <v>8602</v>
      </c>
      <c r="AX375" t="s" s="0">
        <v>8603</v>
      </c>
      <c r="AY375" t="s" s="0">
        <v>143</v>
      </c>
      <c r="AZ375" t="s" s="0">
        <v>103</v>
      </c>
      <c r="BA375" t="s" s="0">
        <v>5424</v>
      </c>
      <c r="BB375" t="s" s="0">
        <v>81</v>
      </c>
      <c r="BC375" t="s" s="0">
        <v>81</v>
      </c>
      <c r="BD375" t="s" s="0">
        <v>81</v>
      </c>
      <c r="BE375" t="s" s="0">
        <v>81</v>
      </c>
      <c r="BF375" t="s" s="0">
        <v>81</v>
      </c>
      <c r="BG375" t="s" s="0">
        <v>7123</v>
      </c>
      <c r="BH375" t="s" s="0">
        <v>5496</v>
      </c>
      <c r="BI375" t="s" s="0">
        <v>81</v>
      </c>
      <c r="BJ375" t="s" s="0">
        <v>8604</v>
      </c>
      <c r="BK375" t="s" s="744">
        <f>HYPERLINK("http://dx.doi.org/10.1016/j.bjps.2025.12.029","http://dx.doi.org/10.1016/j.bjps.2025.12.029")</f>
        <v>8605</v>
      </c>
      <c r="BL375" t="s" s="0">
        <v>81</v>
      </c>
      <c r="BM375" t="s" s="0">
        <v>1940</v>
      </c>
      <c r="BN375" t="s" s="0">
        <v>211</v>
      </c>
      <c r="BO375" t="s" s="0">
        <v>4529</v>
      </c>
      <c r="BP375" t="s" s="0">
        <v>4529</v>
      </c>
      <c r="BQ375" t="s" s="0">
        <v>8606</v>
      </c>
      <c r="BR375" t="s" s="0">
        <v>8607</v>
      </c>
      <c r="BS375" t="s" s="0">
        <v>8608</v>
      </c>
      <c r="BT375" t="s" s="745">
        <f>HYPERLINK("https://www.webofscience.com/wos/woscc/full-record/WOS:001680016500001","View Record in Web of Science")</f>
        <v>114</v>
      </c>
      <c r="BU375" t="s" s="0">
        <v>81</v>
      </c>
      <c r="BV375" t="s" s="0">
        <v>81</v>
      </c>
      <c r="BW375" t="s" s="0">
        <v>81</v>
      </c>
      <c r="BX375" t="s" s="0">
        <v>116</v>
      </c>
    </row>
    <row r="376">
      <c r="A376" t="s" s="0">
        <v>77</v>
      </c>
      <c r="B376" t="s" s="0">
        <v>77</v>
      </c>
      <c r="C376" t="s" s="0">
        <v>133</v>
      </c>
      <c r="D376" t="s" s="0">
        <v>77</v>
      </c>
      <c r="E376" t="s" s="0">
        <v>8609</v>
      </c>
      <c r="F376" t="s" s="0">
        <v>8610</v>
      </c>
      <c r="G376" t="s" s="0">
        <v>8611</v>
      </c>
      <c r="H376" t="s" s="0">
        <v>81</v>
      </c>
      <c r="I376" t="s" s="0">
        <v>82</v>
      </c>
      <c r="J376" t="s" s="0">
        <v>8612</v>
      </c>
      <c r="K376" t="s" s="0">
        <v>8613</v>
      </c>
      <c r="L376" t="s" s="0">
        <v>81</v>
      </c>
      <c r="M376" t="s" s="0">
        <v>81</v>
      </c>
      <c r="N376" t="s" s="0">
        <v>81</v>
      </c>
      <c r="O376" t="s" s="0">
        <v>8614</v>
      </c>
      <c r="P376" t="s" s="0">
        <v>8615</v>
      </c>
      <c r="Q376" t="s" s="0">
        <v>87</v>
      </c>
      <c r="R376" t="s" s="0">
        <v>81</v>
      </c>
      <c r="S376" t="s" s="0">
        <v>81</v>
      </c>
      <c r="T376" t="s" s="0">
        <v>81</v>
      </c>
      <c r="U376" t="s" s="0">
        <v>81</v>
      </c>
      <c r="V376" t="s" s="0">
        <v>8616</v>
      </c>
      <c r="W376" t="s" s="0">
        <v>8617</v>
      </c>
      <c r="X376" t="s" s="0">
        <v>81</v>
      </c>
      <c r="Y376" t="s" s="0">
        <v>81</v>
      </c>
      <c r="Z376" t="s" s="0">
        <v>90</v>
      </c>
      <c r="AA376" t="s" s="0">
        <v>91</v>
      </c>
      <c r="AB376" t="s" s="0">
        <v>81</v>
      </c>
      <c r="AC376" t="s" s="0">
        <v>81</v>
      </c>
      <c r="AD376" t="s" s="0">
        <v>81</v>
      </c>
      <c r="AE376" t="s" s="0">
        <v>81</v>
      </c>
      <c r="AF376" t="s" s="0">
        <v>81</v>
      </c>
      <c r="AG376" t="s" s="0">
        <v>8618</v>
      </c>
      <c r="AH376" t="s" s="0">
        <v>8619</v>
      </c>
      <c r="AI376" t="s" s="0">
        <v>8620</v>
      </c>
      <c r="AJ376" t="s" s="0">
        <v>8621</v>
      </c>
      <c r="AK376" t="s" s="0">
        <v>81</v>
      </c>
      <c r="AL376" t="s" s="0">
        <v>542</v>
      </c>
      <c r="AM376" t="s" s="0">
        <v>253</v>
      </c>
      <c r="AN376" t="s" s="0">
        <v>174</v>
      </c>
      <c r="AO376" t="s" s="0">
        <v>97</v>
      </c>
      <c r="AP376" t="s" s="0">
        <v>222</v>
      </c>
      <c r="AQ376" t="s" s="0">
        <v>98</v>
      </c>
      <c r="AR376" t="s" s="0">
        <v>99</v>
      </c>
      <c r="AS376" t="s" s="0">
        <v>100</v>
      </c>
      <c r="AT376" t="s" s="0">
        <v>8622</v>
      </c>
      <c r="AU376" t="s" s="0">
        <v>8623</v>
      </c>
      <c r="AV376" t="s" s="0">
        <v>81</v>
      </c>
      <c r="AW376" t="s" s="0">
        <v>8624</v>
      </c>
      <c r="AX376" t="s" s="0">
        <v>8625</v>
      </c>
      <c r="AY376" t="s" s="0">
        <v>4259</v>
      </c>
      <c r="AZ376" t="s" s="0">
        <v>260</v>
      </c>
      <c r="BA376" t="s" s="0">
        <v>544</v>
      </c>
      <c r="BB376" t="s" s="0">
        <v>134</v>
      </c>
      <c r="BC376" t="s" s="0">
        <v>81</v>
      </c>
      <c r="BD376" t="s" s="0">
        <v>81</v>
      </c>
      <c r="BE376" t="s" s="0">
        <v>81</v>
      </c>
      <c r="BF376" t="s" s="0">
        <v>81</v>
      </c>
      <c r="BG376" t="s" s="0">
        <v>969</v>
      </c>
      <c r="BH376" t="s" s="0">
        <v>8626</v>
      </c>
      <c r="BI376" t="s" s="0">
        <v>81</v>
      </c>
      <c r="BJ376" t="s" s="0">
        <v>8627</v>
      </c>
      <c r="BK376" t="s" s="746">
        <f>HYPERLINK("http://dx.doi.org/10.1109/TBME.2023.3282840","http://dx.doi.org/10.1109/TBME.2023.3282840")</f>
        <v>8628</v>
      </c>
      <c r="BL376" t="s" s="0">
        <v>81</v>
      </c>
      <c r="BM376" t="s" s="0">
        <v>81</v>
      </c>
      <c r="BN376" t="s" s="0">
        <v>261</v>
      </c>
      <c r="BO376" t="s" s="0">
        <v>2082</v>
      </c>
      <c r="BP376" t="s" s="0">
        <v>1003</v>
      </c>
      <c r="BQ376" t="s" s="0">
        <v>8629</v>
      </c>
      <c r="BR376" t="s" s="0">
        <v>8630</v>
      </c>
      <c r="BS376" t="s" s="0">
        <v>8631</v>
      </c>
      <c r="BT376" t="s" s="747">
        <f>HYPERLINK("https://www.webofscience.com/wos/woscc/full-record/WOS:001123725100024","View Record in Web of Science")</f>
        <v>114</v>
      </c>
      <c r="BU376" t="s" s="0">
        <v>81</v>
      </c>
      <c r="BV376" t="s" s="0">
        <v>81</v>
      </c>
      <c r="BW376" t="s" s="0">
        <v>81</v>
      </c>
      <c r="BX376" t="s" s="0">
        <v>116</v>
      </c>
    </row>
    <row r="377">
      <c r="A377" t="s" s="0">
        <v>77</v>
      </c>
      <c r="B377" t="s" s="0">
        <v>77</v>
      </c>
      <c r="C377" t="s" s="0">
        <v>77</v>
      </c>
      <c r="D377" t="s" s="0">
        <v>77</v>
      </c>
      <c r="E377" t="s" s="0">
        <v>8632</v>
      </c>
      <c r="F377" t="s" s="0">
        <v>8633</v>
      </c>
      <c r="G377" t="s" s="0">
        <v>8634</v>
      </c>
      <c r="H377" t="s" s="0">
        <v>81</v>
      </c>
      <c r="I377" t="s" s="0">
        <v>238</v>
      </c>
      <c r="J377" t="s" s="0">
        <v>8635</v>
      </c>
      <c r="K377" t="s" s="0">
        <v>8636</v>
      </c>
      <c r="L377" t="s" s="0">
        <v>8637</v>
      </c>
      <c r="M377" t="s" s="0">
        <v>8638</v>
      </c>
      <c r="N377" t="s" s="0">
        <v>8639</v>
      </c>
      <c r="O377" t="s" s="0">
        <v>8640</v>
      </c>
      <c r="P377" t="s" s="0">
        <v>8641</v>
      </c>
      <c r="Q377" t="s" s="0">
        <v>87</v>
      </c>
      <c r="R377" t="s" s="0">
        <v>81</v>
      </c>
      <c r="S377" t="s" s="0">
        <v>81</v>
      </c>
      <c r="T377" t="s" s="0">
        <v>81</v>
      </c>
      <c r="U377" t="s" s="0">
        <v>81</v>
      </c>
      <c r="V377" t="s" s="0">
        <v>8642</v>
      </c>
      <c r="W377" t="s" s="0">
        <v>1017</v>
      </c>
      <c r="X377" t="s" s="0">
        <v>81</v>
      </c>
      <c r="Y377" t="s" s="0">
        <v>81</v>
      </c>
      <c r="Z377" t="s" s="0">
        <v>90</v>
      </c>
      <c r="AA377" t="s" s="0">
        <v>91</v>
      </c>
      <c r="AB377" t="s" s="0">
        <v>81</v>
      </c>
      <c r="AC377" t="s" s="0">
        <v>81</v>
      </c>
      <c r="AD377" t="s" s="0">
        <v>81</v>
      </c>
      <c r="AE377" t="s" s="0">
        <v>81</v>
      </c>
      <c r="AF377" t="s" s="0">
        <v>81</v>
      </c>
      <c r="AG377" t="s" s="0">
        <v>8643</v>
      </c>
      <c r="AH377" t="s" s="0">
        <v>8644</v>
      </c>
      <c r="AI377" t="s" s="0">
        <v>81</v>
      </c>
      <c r="AJ377" t="s" s="0">
        <v>81</v>
      </c>
      <c r="AK377" t="s" s="0">
        <v>81</v>
      </c>
      <c r="AL377" t="s" s="0">
        <v>4754</v>
      </c>
      <c r="AM377" t="s" s="0">
        <v>77</v>
      </c>
      <c r="AN377" t="s" s="0">
        <v>77</v>
      </c>
      <c r="AO377" t="s" s="0">
        <v>77</v>
      </c>
      <c r="AP377" t="s" s="0">
        <v>77</v>
      </c>
      <c r="AQ377" t="s" s="0">
        <v>136</v>
      </c>
      <c r="AR377" t="s" s="0">
        <v>137</v>
      </c>
      <c r="AS377" t="s" s="0">
        <v>138</v>
      </c>
      <c r="AT377" t="s" s="0">
        <v>81</v>
      </c>
      <c r="AU377" t="s" s="0">
        <v>1022</v>
      </c>
      <c r="AV377" t="s" s="0">
        <v>81</v>
      </c>
      <c r="AW377" t="s" s="0">
        <v>1023</v>
      </c>
      <c r="AX377" t="s" s="0">
        <v>1024</v>
      </c>
      <c r="AY377" t="s" s="0">
        <v>849</v>
      </c>
      <c r="AZ377" t="s" s="0">
        <v>103</v>
      </c>
      <c r="BA377" t="s" s="0">
        <v>252</v>
      </c>
      <c r="BB377" t="s" s="0">
        <v>81</v>
      </c>
      <c r="BC377" t="s" s="0">
        <v>81</v>
      </c>
      <c r="BD377" t="s" s="0">
        <v>81</v>
      </c>
      <c r="BE377" t="s" s="0">
        <v>81</v>
      </c>
      <c r="BF377" t="s" s="0">
        <v>81</v>
      </c>
      <c r="BG377" t="s" s="0">
        <v>81</v>
      </c>
      <c r="BH377" t="s" s="0">
        <v>81</v>
      </c>
      <c r="BI377" t="s" s="0">
        <v>8645</v>
      </c>
      <c r="BJ377" t="s" s="0">
        <v>8646</v>
      </c>
      <c r="BK377" t="s" s="748">
        <f>HYPERLINK("http://dx.doi.org/10.1016/j.rineng.2026.110453","http://dx.doi.org/10.1016/j.rineng.2026.110453")</f>
        <v>8647</v>
      </c>
      <c r="BL377" t="s" s="0">
        <v>81</v>
      </c>
      <c r="BM377" t="s" s="0">
        <v>81</v>
      </c>
      <c r="BN377" t="s" s="0">
        <v>1635</v>
      </c>
      <c r="BO377" t="s" s="0">
        <v>1002</v>
      </c>
      <c r="BP377" t="s" s="0">
        <v>1003</v>
      </c>
      <c r="BQ377" t="s" s="0">
        <v>8648</v>
      </c>
      <c r="BR377" t="s" s="0">
        <v>81</v>
      </c>
      <c r="BS377" t="s" s="0">
        <v>8649</v>
      </c>
      <c r="BT377" t="s" s="749">
        <f>HYPERLINK("https://www.webofscience.com/wos/woscc/full-record/WOS:001759440400001","View Record in Web of Science")</f>
        <v>114</v>
      </c>
      <c r="BU377" t="s" s="0">
        <v>115</v>
      </c>
      <c r="BV377" t="s" s="0">
        <v>81</v>
      </c>
      <c r="BW377" t="s" s="0">
        <v>81</v>
      </c>
      <c r="BX377" t="s" s="0">
        <v>116</v>
      </c>
    </row>
    <row r="378">
      <c r="A378" t="s" s="0">
        <v>77</v>
      </c>
      <c r="B378" t="s" s="0">
        <v>77</v>
      </c>
      <c r="C378" t="s" s="0">
        <v>77</v>
      </c>
      <c r="D378" t="s" s="0">
        <v>77</v>
      </c>
      <c r="E378" t="s" s="0">
        <v>8650</v>
      </c>
      <c r="F378" t="s" s="0">
        <v>8651</v>
      </c>
      <c r="G378" t="s" s="0">
        <v>8652</v>
      </c>
      <c r="H378" t="s" s="0">
        <v>81</v>
      </c>
      <c r="I378" t="s" s="0">
        <v>82</v>
      </c>
      <c r="J378" t="s" s="0">
        <v>8653</v>
      </c>
      <c r="K378" t="s" s="0">
        <v>8654</v>
      </c>
      <c r="L378" t="s" s="0">
        <v>8655</v>
      </c>
      <c r="M378" t="s" s="0">
        <v>8655</v>
      </c>
      <c r="N378" t="s" s="0">
        <v>8656</v>
      </c>
      <c r="O378" t="s" s="0">
        <v>8657</v>
      </c>
      <c r="P378" t="s" s="0">
        <v>8658</v>
      </c>
      <c r="Q378" t="s" s="0">
        <v>87</v>
      </c>
      <c r="R378" t="s" s="0">
        <v>81</v>
      </c>
      <c r="S378" t="s" s="0">
        <v>81</v>
      </c>
      <c r="T378" t="s" s="0">
        <v>81</v>
      </c>
      <c r="U378" t="s" s="0">
        <v>81</v>
      </c>
      <c r="V378" t="s" s="0">
        <v>8659</v>
      </c>
      <c r="W378" t="s" s="0">
        <v>6181</v>
      </c>
      <c r="X378" t="s" s="0">
        <v>81</v>
      </c>
      <c r="Y378" t="s" s="0">
        <v>81</v>
      </c>
      <c r="Z378" t="s" s="0">
        <v>90</v>
      </c>
      <c r="AA378" t="s" s="0">
        <v>91</v>
      </c>
      <c r="AB378" t="s" s="0">
        <v>81</v>
      </c>
      <c r="AC378" t="s" s="0">
        <v>81</v>
      </c>
      <c r="AD378" t="s" s="0">
        <v>81</v>
      </c>
      <c r="AE378" t="s" s="0">
        <v>81</v>
      </c>
      <c r="AF378" t="s" s="0">
        <v>81</v>
      </c>
      <c r="AG378" t="s" s="0">
        <v>8660</v>
      </c>
      <c r="AH378" t="s" s="0">
        <v>8661</v>
      </c>
      <c r="AI378" t="s" s="0">
        <v>8662</v>
      </c>
      <c r="AJ378" t="s" s="0">
        <v>8663</v>
      </c>
      <c r="AK378" t="s" s="0">
        <v>81</v>
      </c>
      <c r="AL378" t="s" s="0">
        <v>890</v>
      </c>
      <c r="AM378" t="s" s="0">
        <v>156</v>
      </c>
      <c r="AN378" t="s" s="0">
        <v>156</v>
      </c>
      <c r="AO378" t="s" s="0">
        <v>77</v>
      </c>
      <c r="AP378" t="s" s="0">
        <v>77</v>
      </c>
      <c r="AQ378" t="s" s="0">
        <v>368</v>
      </c>
      <c r="AR378" t="s" s="0">
        <v>369</v>
      </c>
      <c r="AS378" t="s" s="0">
        <v>370</v>
      </c>
      <c r="AT378" t="s" s="0">
        <v>6184</v>
      </c>
      <c r="AU378" t="s" s="0">
        <v>81</v>
      </c>
      <c r="AV378" t="s" s="0">
        <v>81</v>
      </c>
      <c r="AW378" t="s" s="0">
        <v>6185</v>
      </c>
      <c r="AX378" t="s" s="0">
        <v>6186</v>
      </c>
      <c r="AY378" t="s" s="0">
        <v>8664</v>
      </c>
      <c r="AZ378" t="s" s="0">
        <v>103</v>
      </c>
      <c r="BA378" t="s" s="0">
        <v>222</v>
      </c>
      <c r="BB378" t="s" s="0">
        <v>81</v>
      </c>
      <c r="BC378" t="s" s="0">
        <v>81</v>
      </c>
      <c r="BD378" t="s" s="0">
        <v>81</v>
      </c>
      <c r="BE378" t="s" s="0">
        <v>81</v>
      </c>
      <c r="BF378" t="s" s="0">
        <v>81</v>
      </c>
      <c r="BG378" t="s" s="0">
        <v>81</v>
      </c>
      <c r="BH378" t="s" s="0">
        <v>81</v>
      </c>
      <c r="BI378" t="s" s="0">
        <v>8665</v>
      </c>
      <c r="BJ378" t="s" s="0">
        <v>8666</v>
      </c>
      <c r="BK378" t="s" s="750">
        <f>HYPERLINK("http://dx.doi.org/10.3389/fneur.2026.1766089","http://dx.doi.org/10.3389/fneur.2026.1766089")</f>
        <v>8667</v>
      </c>
      <c r="BL378" t="s" s="0">
        <v>81</v>
      </c>
      <c r="BM378" t="s" s="0">
        <v>81</v>
      </c>
      <c r="BN378" t="s" s="0">
        <v>486</v>
      </c>
      <c r="BO378" t="s" s="0">
        <v>3906</v>
      </c>
      <c r="BP378" t="s" s="0">
        <v>2504</v>
      </c>
      <c r="BQ378" t="s" s="0">
        <v>8668</v>
      </c>
      <c r="BR378" t="s" s="0">
        <v>8669</v>
      </c>
      <c r="BS378" t="s" s="0">
        <v>8670</v>
      </c>
      <c r="BT378" t="s" s="751">
        <f>HYPERLINK("https://www.webofscience.com/wos/woscc/full-record/WOS:001708737700001","View Record in Web of Science")</f>
        <v>114</v>
      </c>
      <c r="BU378" t="s" s="0">
        <v>301</v>
      </c>
      <c r="BV378" t="s" s="0">
        <v>81</v>
      </c>
      <c r="BW378" t="s" s="0">
        <v>81</v>
      </c>
      <c r="BX378" t="s" s="0">
        <v>116</v>
      </c>
    </row>
    <row r="379">
      <c r="A379" t="s" s="0">
        <v>77</v>
      </c>
      <c r="B379" t="s" s="0">
        <v>77</v>
      </c>
      <c r="C379" t="s" s="0">
        <v>77</v>
      </c>
      <c r="D379" t="s" s="0">
        <v>77</v>
      </c>
      <c r="E379" t="s" s="0">
        <v>8671</v>
      </c>
      <c r="F379" t="s" s="0">
        <v>8672</v>
      </c>
      <c r="G379" t="s" s="0">
        <v>8673</v>
      </c>
      <c r="H379" t="s" s="0">
        <v>81</v>
      </c>
      <c r="I379" t="s" s="0">
        <v>238</v>
      </c>
      <c r="J379" t="s" s="0">
        <v>8674</v>
      </c>
      <c r="K379" t="s" s="0">
        <v>8675</v>
      </c>
      <c r="L379" t="s" s="0">
        <v>81</v>
      </c>
      <c r="M379" t="s" s="0">
        <v>81</v>
      </c>
      <c r="N379" t="s" s="0">
        <v>81</v>
      </c>
      <c r="O379" t="s" s="0">
        <v>8676</v>
      </c>
      <c r="P379" t="s" s="0">
        <v>81</v>
      </c>
      <c r="Q379" t="s" s="0">
        <v>87</v>
      </c>
      <c r="R379" t="s" s="0">
        <v>81</v>
      </c>
      <c r="S379" t="s" s="0">
        <v>81</v>
      </c>
      <c r="T379" t="s" s="0">
        <v>81</v>
      </c>
      <c r="U379" t="s" s="0">
        <v>81</v>
      </c>
      <c r="V379" t="s" s="0">
        <v>8677</v>
      </c>
      <c r="W379" t="s" s="0">
        <v>8678</v>
      </c>
      <c r="X379" t="s" s="0">
        <v>81</v>
      </c>
      <c r="Y379" t="s" s="0">
        <v>81</v>
      </c>
      <c r="Z379" t="s" s="0">
        <v>90</v>
      </c>
      <c r="AA379" t="s" s="0">
        <v>91</v>
      </c>
      <c r="AB379" t="s" s="0">
        <v>81</v>
      </c>
      <c r="AC379" t="s" s="0">
        <v>81</v>
      </c>
      <c r="AD379" t="s" s="0">
        <v>81</v>
      </c>
      <c r="AE379" t="s" s="0">
        <v>81</v>
      </c>
      <c r="AF379" t="s" s="0">
        <v>81</v>
      </c>
      <c r="AG379" t="s" s="0">
        <v>8679</v>
      </c>
      <c r="AH379" t="s" s="0">
        <v>81</v>
      </c>
      <c r="AI379" t="s" s="0">
        <v>81</v>
      </c>
      <c r="AJ379" t="s" s="0">
        <v>81</v>
      </c>
      <c r="AK379" t="s" s="0">
        <v>81</v>
      </c>
      <c r="AL379" t="s" s="0">
        <v>109</v>
      </c>
      <c r="AM379" t="s" s="0">
        <v>77</v>
      </c>
      <c r="AN379" t="s" s="0">
        <v>77</v>
      </c>
      <c r="AO379" t="s" s="0">
        <v>77</v>
      </c>
      <c r="AP379" t="s" s="0">
        <v>77</v>
      </c>
      <c r="AQ379" t="s" s="0">
        <v>368</v>
      </c>
      <c r="AR379" t="s" s="0">
        <v>369</v>
      </c>
      <c r="AS379" t="s" s="0">
        <v>370</v>
      </c>
      <c r="AT379" t="s" s="0">
        <v>81</v>
      </c>
      <c r="AU379" t="s" s="0">
        <v>8680</v>
      </c>
      <c r="AV379" t="s" s="0">
        <v>81</v>
      </c>
      <c r="AW379" t="s" s="0">
        <v>8681</v>
      </c>
      <c r="AX379" t="s" s="0">
        <v>8682</v>
      </c>
      <c r="AY379" t="s" s="0">
        <v>8683</v>
      </c>
      <c r="AZ379" t="s" s="0">
        <v>103</v>
      </c>
      <c r="BA379" t="s" s="0">
        <v>316</v>
      </c>
      <c r="BB379" t="s" s="0">
        <v>81</v>
      </c>
      <c r="BC379" t="s" s="0">
        <v>81</v>
      </c>
      <c r="BD379" t="s" s="0">
        <v>81</v>
      </c>
      <c r="BE379" t="s" s="0">
        <v>81</v>
      </c>
      <c r="BF379" t="s" s="0">
        <v>81</v>
      </c>
      <c r="BG379" t="s" s="0">
        <v>81</v>
      </c>
      <c r="BH379" t="s" s="0">
        <v>81</v>
      </c>
      <c r="BI379" t="s" s="0">
        <v>8684</v>
      </c>
      <c r="BJ379" t="s" s="0">
        <v>8685</v>
      </c>
      <c r="BK379" t="s" s="752">
        <f>HYPERLINK("http://dx.doi.org/10.3389/frsip.2026.1893420","http://dx.doi.org/10.3389/frsip.2026.1893420")</f>
        <v>8686</v>
      </c>
      <c r="BL379" t="s" s="0">
        <v>81</v>
      </c>
      <c r="BM379" t="s" s="0">
        <v>81</v>
      </c>
      <c r="BN379" t="s" s="0">
        <v>210</v>
      </c>
      <c r="BO379" t="s" s="0">
        <v>2191</v>
      </c>
      <c r="BP379" t="s" s="0">
        <v>1003</v>
      </c>
      <c r="BQ379" t="s" s="0">
        <v>8687</v>
      </c>
      <c r="BR379" t="s" s="0">
        <v>81</v>
      </c>
      <c r="BS379" t="s" s="0">
        <v>8688</v>
      </c>
      <c r="BT379" t="s" s="753">
        <f>HYPERLINK("https://www.webofscience.com/wos/woscc/full-record/WOS:001853616100001","View Record in Web of Science")</f>
        <v>114</v>
      </c>
      <c r="BU379" t="s" s="0">
        <v>115</v>
      </c>
      <c r="BV379" t="s" s="0">
        <v>81</v>
      </c>
      <c r="BW379" t="s" s="0">
        <v>81</v>
      </c>
      <c r="BX379" t="s" s="0">
        <v>116</v>
      </c>
    </row>
    <row r="380">
      <c r="A380" t="s" s="0">
        <v>77</v>
      </c>
      <c r="B380" t="s" s="0">
        <v>77</v>
      </c>
      <c r="C380" t="s" s="0">
        <v>77</v>
      </c>
      <c r="D380" t="s" s="0">
        <v>77</v>
      </c>
      <c r="E380" t="s" s="0">
        <v>8689</v>
      </c>
      <c r="F380" t="s" s="0">
        <v>8690</v>
      </c>
      <c r="G380" t="s" s="0">
        <v>8691</v>
      </c>
      <c r="H380" t="s" s="0">
        <v>81</v>
      </c>
      <c r="I380" t="s" s="0">
        <v>82</v>
      </c>
      <c r="J380" t="s" s="0">
        <v>8692</v>
      </c>
      <c r="K380" t="s" s="0">
        <v>8693</v>
      </c>
      <c r="L380" t="s" s="0">
        <v>8694</v>
      </c>
      <c r="M380" t="s" s="0">
        <v>8695</v>
      </c>
      <c r="N380" t="s" s="0">
        <v>8696</v>
      </c>
      <c r="O380" t="s" s="0">
        <v>8697</v>
      </c>
      <c r="P380" t="s" s="0">
        <v>8698</v>
      </c>
      <c r="Q380" t="s" s="0">
        <v>87</v>
      </c>
      <c r="R380" t="s" s="0">
        <v>81</v>
      </c>
      <c r="S380" t="s" s="0">
        <v>81</v>
      </c>
      <c r="T380" t="s" s="0">
        <v>81</v>
      </c>
      <c r="U380" t="s" s="0">
        <v>81</v>
      </c>
      <c r="V380" t="s" s="0">
        <v>8699</v>
      </c>
      <c r="W380" t="s" s="0">
        <v>392</v>
      </c>
      <c r="X380" t="s" s="0">
        <v>81</v>
      </c>
      <c r="Y380" t="s" s="0">
        <v>81</v>
      </c>
      <c r="Z380" t="s" s="0">
        <v>90</v>
      </c>
      <c r="AA380" t="s" s="0">
        <v>91</v>
      </c>
      <c r="AB380" t="s" s="0">
        <v>81</v>
      </c>
      <c r="AC380" t="s" s="0">
        <v>81</v>
      </c>
      <c r="AD380" t="s" s="0">
        <v>81</v>
      </c>
      <c r="AE380" t="s" s="0">
        <v>81</v>
      </c>
      <c r="AF380" t="s" s="0">
        <v>81</v>
      </c>
      <c r="AG380" t="s" s="0">
        <v>8700</v>
      </c>
      <c r="AH380" t="s" s="0">
        <v>8701</v>
      </c>
      <c r="AI380" t="s" s="0">
        <v>8702</v>
      </c>
      <c r="AJ380" t="s" s="0">
        <v>8703</v>
      </c>
      <c r="AK380" t="s" s="0">
        <v>81</v>
      </c>
      <c r="AL380" t="s" s="0">
        <v>5527</v>
      </c>
      <c r="AM380" t="s" s="0">
        <v>97</v>
      </c>
      <c r="AN380" t="s" s="0">
        <v>97</v>
      </c>
      <c r="AO380" t="s" s="0">
        <v>97</v>
      </c>
      <c r="AP380" t="s" s="0">
        <v>97</v>
      </c>
      <c r="AQ380" t="s" s="0">
        <v>212</v>
      </c>
      <c r="AR380" t="s" s="0">
        <v>213</v>
      </c>
      <c r="AS380" t="s" s="0">
        <v>214</v>
      </c>
      <c r="AT380" t="s" s="0">
        <v>400</v>
      </c>
      <c r="AU380" t="s" s="0">
        <v>401</v>
      </c>
      <c r="AV380" t="s" s="0">
        <v>81</v>
      </c>
      <c r="AW380" t="s" s="0">
        <v>402</v>
      </c>
      <c r="AX380" t="s" s="0">
        <v>403</v>
      </c>
      <c r="AY380" t="s" s="0">
        <v>8704</v>
      </c>
      <c r="AZ380" t="s" s="0">
        <v>103</v>
      </c>
      <c r="BA380" t="s" s="0">
        <v>1442</v>
      </c>
      <c r="BB380" t="s" s="0">
        <v>133</v>
      </c>
      <c r="BC380" t="s" s="0">
        <v>81</v>
      </c>
      <c r="BD380" t="s" s="0">
        <v>81</v>
      </c>
      <c r="BE380" t="s" s="0">
        <v>81</v>
      </c>
      <c r="BF380" t="s" s="0">
        <v>81</v>
      </c>
      <c r="BG380" t="s" s="0">
        <v>81</v>
      </c>
      <c r="BH380" t="s" s="0">
        <v>81</v>
      </c>
      <c r="BI380" t="s" s="0">
        <v>8705</v>
      </c>
      <c r="BJ380" t="s" s="0">
        <v>8706</v>
      </c>
      <c r="BK380" t="s" s="754">
        <f>HYPERLINK("http://dx.doi.org/10.1007/s10462-026-11518-5","http://dx.doi.org/10.1007/s10462-026-11518-5")</f>
        <v>8707</v>
      </c>
      <c r="BL380" t="s" s="0">
        <v>81</v>
      </c>
      <c r="BM380" t="s" s="0">
        <v>81</v>
      </c>
      <c r="BN380" t="s" s="0">
        <v>1912</v>
      </c>
      <c r="BO380" t="s" s="0">
        <v>409</v>
      </c>
      <c r="BP380" t="s" s="0">
        <v>152</v>
      </c>
      <c r="BQ380" t="s" s="0">
        <v>8708</v>
      </c>
      <c r="BR380" t="s" s="0">
        <v>81</v>
      </c>
      <c r="BS380" t="s" s="0">
        <v>8709</v>
      </c>
      <c r="BT380" t="s" s="755">
        <f>HYPERLINK("https://www.webofscience.com/wos/woscc/full-record/WOS:001733650100002","View Record in Web of Science")</f>
        <v>114</v>
      </c>
      <c r="BU380" t="s" s="0">
        <v>1055</v>
      </c>
      <c r="BV380" t="s" s="0">
        <v>81</v>
      </c>
      <c r="BW380" t="s" s="0">
        <v>81</v>
      </c>
      <c r="BX380" t="s" s="0">
        <v>116</v>
      </c>
    </row>
    <row r="381">
      <c r="A381" t="s" s="0">
        <v>77</v>
      </c>
      <c r="B381" t="s" s="0">
        <v>77</v>
      </c>
      <c r="C381" t="s" s="0">
        <v>175</v>
      </c>
      <c r="D381" t="s" s="0">
        <v>77</v>
      </c>
      <c r="E381" t="s" s="0">
        <v>8710</v>
      </c>
      <c r="F381" t="s" s="0">
        <v>8711</v>
      </c>
      <c r="G381" t="s" s="0">
        <v>8712</v>
      </c>
      <c r="H381" t="s" s="0">
        <v>81</v>
      </c>
      <c r="I381" t="s" s="0">
        <v>82</v>
      </c>
      <c r="J381" t="s" s="0">
        <v>8713</v>
      </c>
      <c r="K381" t="s" s="0">
        <v>8714</v>
      </c>
      <c r="L381" t="s" s="0">
        <v>8715</v>
      </c>
      <c r="M381" t="s" s="0">
        <v>8715</v>
      </c>
      <c r="N381" t="s" s="0">
        <v>8716</v>
      </c>
      <c r="O381" t="s" s="0">
        <v>8717</v>
      </c>
      <c r="P381" t="s" s="0">
        <v>81</v>
      </c>
      <c r="Q381" t="s" s="0">
        <v>87</v>
      </c>
      <c r="R381" t="s" s="0">
        <v>81</v>
      </c>
      <c r="S381" t="s" s="0">
        <v>81</v>
      </c>
      <c r="T381" t="s" s="0">
        <v>81</v>
      </c>
      <c r="U381" t="s" s="0">
        <v>81</v>
      </c>
      <c r="V381" t="s" s="0">
        <v>8718</v>
      </c>
      <c r="W381" t="s" s="0">
        <v>8719</v>
      </c>
      <c r="X381" t="s" s="0">
        <v>81</v>
      </c>
      <c r="Y381" t="s" s="0">
        <v>81</v>
      </c>
      <c r="Z381" t="s" s="0">
        <v>90</v>
      </c>
      <c r="AA381" t="s" s="0">
        <v>1581</v>
      </c>
      <c r="AB381" t="s" s="0">
        <v>81</v>
      </c>
      <c r="AC381" t="s" s="0">
        <v>81</v>
      </c>
      <c r="AD381" t="s" s="0">
        <v>81</v>
      </c>
      <c r="AE381" t="s" s="0">
        <v>81</v>
      </c>
      <c r="AF381" t="s" s="0">
        <v>81</v>
      </c>
      <c r="AG381" t="s" s="0">
        <v>8720</v>
      </c>
      <c r="AH381" t="s" s="0">
        <v>81</v>
      </c>
      <c r="AI381" t="s" s="0">
        <v>81</v>
      </c>
      <c r="AJ381" t="s" s="0">
        <v>81</v>
      </c>
      <c r="AK381" t="s" s="0">
        <v>81</v>
      </c>
      <c r="AL381" t="s" s="0">
        <v>1883</v>
      </c>
      <c r="AM381" t="s" s="0">
        <v>234</v>
      </c>
      <c r="AN381" t="s" s="0">
        <v>211</v>
      </c>
      <c r="AO381" t="s" s="0">
        <v>196</v>
      </c>
      <c r="AP381" t="s" s="0">
        <v>211</v>
      </c>
      <c r="AQ381" t="s" s="0">
        <v>212</v>
      </c>
      <c r="AR381" t="s" s="0">
        <v>213</v>
      </c>
      <c r="AS381" t="s" s="0">
        <v>214</v>
      </c>
      <c r="AT381" t="s" s="0">
        <v>8721</v>
      </c>
      <c r="AU381" t="s" s="0">
        <v>8722</v>
      </c>
      <c r="AV381" t="s" s="0">
        <v>81</v>
      </c>
      <c r="AW381" t="s" s="0">
        <v>8723</v>
      </c>
      <c r="AX381" t="s" s="0">
        <v>8724</v>
      </c>
      <c r="AY381" t="s" s="0">
        <v>81</v>
      </c>
      <c r="AZ381" t="s" s="0">
        <v>260</v>
      </c>
      <c r="BA381" t="s" s="0">
        <v>81</v>
      </c>
      <c r="BB381" t="s" s="0">
        <v>81</v>
      </c>
      <c r="BC381" t="s" s="0">
        <v>81</v>
      </c>
      <c r="BD381" t="s" s="0">
        <v>81</v>
      </c>
      <c r="BE381" t="s" s="0">
        <v>81</v>
      </c>
      <c r="BF381" t="s" s="0">
        <v>81</v>
      </c>
      <c r="BG381" t="s" s="0">
        <v>81</v>
      </c>
      <c r="BH381" t="s" s="0">
        <v>81</v>
      </c>
      <c r="BI381" t="s" s="0">
        <v>81</v>
      </c>
      <c r="BJ381" t="s" s="0">
        <v>8725</v>
      </c>
      <c r="BK381" t="s" s="756">
        <f>HYPERLINK("http://dx.doi.org/10.1007/s11042-023-17828-y","http://dx.doi.org/10.1007/s11042-023-17828-y")</f>
        <v>8726</v>
      </c>
      <c r="BL381" t="s" s="0">
        <v>81</v>
      </c>
      <c r="BM381" t="s" s="0">
        <v>4259</v>
      </c>
      <c r="BN381" t="s" s="0">
        <v>890</v>
      </c>
      <c r="BO381" t="s" s="0">
        <v>8727</v>
      </c>
      <c r="BP381" t="s" s="0">
        <v>193</v>
      </c>
      <c r="BQ381" t="s" s="0">
        <v>8728</v>
      </c>
      <c r="BR381" t="s" s="0">
        <v>81</v>
      </c>
      <c r="BS381" t="s" s="0">
        <v>8729</v>
      </c>
      <c r="BT381" t="s" s="757">
        <f>HYPERLINK("https://www.webofscience.com/wos/woscc/full-record/WOS:001129308400001","View Record in Web of Science")</f>
        <v>114</v>
      </c>
      <c r="BU381" t="s" s="0">
        <v>81</v>
      </c>
      <c r="BV381" t="s" s="0">
        <v>81</v>
      </c>
      <c r="BW381" t="s" s="0">
        <v>81</v>
      </c>
      <c r="BX381" t="s" s="0">
        <v>116</v>
      </c>
    </row>
    <row r="382">
      <c r="A382" t="s" s="0">
        <v>77</v>
      </c>
      <c r="B382" t="s" s="0">
        <v>77</v>
      </c>
      <c r="C382" t="s" s="0">
        <v>77</v>
      </c>
      <c r="D382" t="s" s="0">
        <v>77</v>
      </c>
      <c r="E382" t="s" s="0">
        <v>8730</v>
      </c>
      <c r="F382" t="s" s="0">
        <v>8731</v>
      </c>
      <c r="G382" t="s" s="0">
        <v>8732</v>
      </c>
      <c r="H382" t="s" s="0">
        <v>81</v>
      </c>
      <c r="I382" t="s" s="0">
        <v>82</v>
      </c>
      <c r="J382" t="s" s="0">
        <v>8733</v>
      </c>
      <c r="K382" t="s" s="0">
        <v>8734</v>
      </c>
      <c r="L382" t="s" s="0">
        <v>8735</v>
      </c>
      <c r="M382" t="s" s="0">
        <v>8735</v>
      </c>
      <c r="N382" t="s" s="0">
        <v>8736</v>
      </c>
      <c r="O382" t="s" s="0">
        <v>8737</v>
      </c>
      <c r="P382" t="s" s="0">
        <v>8738</v>
      </c>
      <c r="Q382" t="s" s="0">
        <v>87</v>
      </c>
      <c r="R382" t="s" s="0">
        <v>81</v>
      </c>
      <c r="S382" t="s" s="0">
        <v>81</v>
      </c>
      <c r="T382" t="s" s="0">
        <v>81</v>
      </c>
      <c r="U382" t="s" s="0">
        <v>81</v>
      </c>
      <c r="V382" t="s" s="0">
        <v>8739</v>
      </c>
      <c r="W382" t="s" s="0">
        <v>279</v>
      </c>
      <c r="X382" t="s" s="0">
        <v>81</v>
      </c>
      <c r="Y382" t="s" s="0">
        <v>81</v>
      </c>
      <c r="Z382" t="s" s="0">
        <v>90</v>
      </c>
      <c r="AA382" t="s" s="0">
        <v>91</v>
      </c>
      <c r="AB382" t="s" s="0">
        <v>81</v>
      </c>
      <c r="AC382" t="s" s="0">
        <v>81</v>
      </c>
      <c r="AD382" t="s" s="0">
        <v>81</v>
      </c>
      <c r="AE382" t="s" s="0">
        <v>81</v>
      </c>
      <c r="AF382" t="s" s="0">
        <v>81</v>
      </c>
      <c r="AG382" t="s" s="0">
        <v>8740</v>
      </c>
      <c r="AH382" t="s" s="0">
        <v>8741</v>
      </c>
      <c r="AI382" t="s" s="0">
        <v>81</v>
      </c>
      <c r="AJ382" t="s" s="0">
        <v>8742</v>
      </c>
      <c r="AK382" t="s" s="0">
        <v>81</v>
      </c>
      <c r="AL382" t="s" s="0">
        <v>4581</v>
      </c>
      <c r="AM382" t="s" s="0">
        <v>175</v>
      </c>
      <c r="AN382" t="s" s="0">
        <v>133</v>
      </c>
      <c r="AO382" t="s" s="0">
        <v>77</v>
      </c>
      <c r="AP382" t="s" s="0">
        <v>196</v>
      </c>
      <c r="AQ382" t="s" s="0">
        <v>284</v>
      </c>
      <c r="AR382" t="s" s="0">
        <v>285</v>
      </c>
      <c r="AS382" t="s" s="0">
        <v>286</v>
      </c>
      <c r="AT382" t="s" s="0">
        <v>81</v>
      </c>
      <c r="AU382" t="s" s="0">
        <v>287</v>
      </c>
      <c r="AV382" t="s" s="0">
        <v>81</v>
      </c>
      <c r="AW382" t="s" s="0">
        <v>279</v>
      </c>
      <c r="AX382" t="s" s="0">
        <v>288</v>
      </c>
      <c r="AY382" t="s" s="0">
        <v>8743</v>
      </c>
      <c r="AZ382" t="s" s="0">
        <v>290</v>
      </c>
      <c r="BA382" t="s" s="0">
        <v>291</v>
      </c>
      <c r="BB382" t="s" s="0">
        <v>874</v>
      </c>
      <c r="BC382" t="s" s="0">
        <v>81</v>
      </c>
      <c r="BD382" t="s" s="0">
        <v>81</v>
      </c>
      <c r="BE382" t="s" s="0">
        <v>81</v>
      </c>
      <c r="BF382" t="s" s="0">
        <v>81</v>
      </c>
      <c r="BG382" t="s" s="0">
        <v>81</v>
      </c>
      <c r="BH382" t="s" s="0">
        <v>81</v>
      </c>
      <c r="BI382" t="s" s="0">
        <v>8744</v>
      </c>
      <c r="BJ382" t="s" s="0">
        <v>8745</v>
      </c>
      <c r="BK382" t="s" s="758">
        <f>HYPERLINK("http://dx.doi.org/10.3390/diagnostics15212709","http://dx.doi.org/10.3390/diagnostics15212709")</f>
        <v>8746</v>
      </c>
      <c r="BL382" t="s" s="0">
        <v>81</v>
      </c>
      <c r="BM382" t="s" s="0">
        <v>81</v>
      </c>
      <c r="BN382" t="s" s="0">
        <v>756</v>
      </c>
      <c r="BO382" t="s" s="0">
        <v>296</v>
      </c>
      <c r="BP382" t="s" s="0">
        <v>297</v>
      </c>
      <c r="BQ382" t="s" s="0">
        <v>8747</v>
      </c>
      <c r="BR382" t="s" s="0">
        <v>8748</v>
      </c>
      <c r="BS382" t="s" s="0">
        <v>8749</v>
      </c>
      <c r="BT382" t="s" s="759">
        <f>HYPERLINK("https://www.webofscience.com/wos/woscc/full-record/WOS:001613043200001","View Record in Web of Science")</f>
        <v>114</v>
      </c>
      <c r="BU382" t="s" s="0">
        <v>270</v>
      </c>
      <c r="BV382" t="s" s="0">
        <v>81</v>
      </c>
      <c r="BW382" t="s" s="0">
        <v>81</v>
      </c>
      <c r="BX382" t="s" s="0">
        <v>116</v>
      </c>
    </row>
    <row r="383">
      <c r="A383" t="s" s="0">
        <v>196</v>
      </c>
      <c r="B383" t="s" s="0">
        <v>77</v>
      </c>
      <c r="C383" t="s" s="0">
        <v>77</v>
      </c>
      <c r="D383" t="s" s="0">
        <v>77</v>
      </c>
      <c r="E383" t="s" s="0">
        <v>8750</v>
      </c>
      <c r="F383" t="s" s="0">
        <v>8751</v>
      </c>
      <c r="G383" t="s" s="0">
        <v>8752</v>
      </c>
      <c r="H383" t="s" s="0">
        <v>81</v>
      </c>
      <c r="I383" t="s" s="0">
        <v>82</v>
      </c>
      <c r="J383" t="s" s="0">
        <v>8753</v>
      </c>
      <c r="K383" t="s" s="0">
        <v>8754</v>
      </c>
      <c r="L383" t="s" s="0">
        <v>81</v>
      </c>
      <c r="M383" t="s" s="0">
        <v>81</v>
      </c>
      <c r="N383" t="s" s="0">
        <v>81</v>
      </c>
      <c r="O383" t="s" s="0">
        <v>8755</v>
      </c>
      <c r="P383" t="s" s="0">
        <v>8756</v>
      </c>
      <c r="Q383" t="s" s="0">
        <v>87</v>
      </c>
      <c r="R383" t="s" s="0">
        <v>81</v>
      </c>
      <c r="S383" t="s" s="0">
        <v>81</v>
      </c>
      <c r="T383" t="s" s="0">
        <v>81</v>
      </c>
      <c r="U383" t="s" s="0">
        <v>81</v>
      </c>
      <c r="V383" t="s" s="0">
        <v>8757</v>
      </c>
      <c r="W383" t="s" s="0">
        <v>8758</v>
      </c>
      <c r="X383" t="s" s="0">
        <v>81</v>
      </c>
      <c r="Y383" t="s" s="0">
        <v>81</v>
      </c>
      <c r="Z383" t="s" s="0">
        <v>90</v>
      </c>
      <c r="AA383" t="s" s="0">
        <v>91</v>
      </c>
      <c r="AB383" t="s" s="0">
        <v>81</v>
      </c>
      <c r="AC383" t="s" s="0">
        <v>81</v>
      </c>
      <c r="AD383" t="s" s="0">
        <v>81</v>
      </c>
      <c r="AE383" t="s" s="0">
        <v>81</v>
      </c>
      <c r="AF383" t="s" s="0">
        <v>81</v>
      </c>
      <c r="AG383" t="s" s="0">
        <v>8759</v>
      </c>
      <c r="AH383" t="s" s="0">
        <v>8760</v>
      </c>
      <c r="AI383" t="s" s="0">
        <v>8761</v>
      </c>
      <c r="AJ383" t="s" s="0">
        <v>8762</v>
      </c>
      <c r="AK383" t="s" s="0">
        <v>81</v>
      </c>
      <c r="AL383" t="s" s="0">
        <v>1184</v>
      </c>
      <c r="AM383" t="s" s="0">
        <v>486</v>
      </c>
      <c r="AN383" t="s" s="0">
        <v>485</v>
      </c>
      <c r="AO383" t="s" s="0">
        <v>156</v>
      </c>
      <c r="AP383" t="s" s="0">
        <v>316</v>
      </c>
      <c r="AQ383" t="s" s="0">
        <v>8763</v>
      </c>
      <c r="AR383" t="s" s="0">
        <v>4329</v>
      </c>
      <c r="AS383" t="s" s="0">
        <v>8764</v>
      </c>
      <c r="AT383" t="s" s="0">
        <v>8765</v>
      </c>
      <c r="AU383" t="s" s="0">
        <v>81</v>
      </c>
      <c r="AV383" t="s" s="0">
        <v>81</v>
      </c>
      <c r="AW383" t="s" s="0">
        <v>8766</v>
      </c>
      <c r="AX383" t="s" s="0">
        <v>8767</v>
      </c>
      <c r="AY383" t="s" s="0">
        <v>6550</v>
      </c>
      <c r="AZ383" t="s" s="0">
        <v>185</v>
      </c>
      <c r="BA383" t="s" s="0">
        <v>252</v>
      </c>
      <c r="BB383" t="s" s="0">
        <v>133</v>
      </c>
      <c r="BC383" t="s" s="0">
        <v>81</v>
      </c>
      <c r="BD383" t="s" s="0">
        <v>81</v>
      </c>
      <c r="BE383" t="s" s="0">
        <v>81</v>
      </c>
      <c r="BF383" t="s" s="0">
        <v>81</v>
      </c>
      <c r="BG383" t="s" s="0">
        <v>8768</v>
      </c>
      <c r="BH383" t="s" s="0">
        <v>8769</v>
      </c>
      <c r="BI383" t="s" s="0">
        <v>81</v>
      </c>
      <c r="BJ383" t="s" s="0">
        <v>8770</v>
      </c>
      <c r="BK383" t="s" s="760">
        <f>HYPERLINK("http://dx.doi.org/10.4274/dir.2024.232604","http://dx.doi.org/10.4274/dir.2024.232604")</f>
        <v>8771</v>
      </c>
      <c r="BL383" t="s" s="0">
        <v>81</v>
      </c>
      <c r="BM383" t="s" s="0">
        <v>81</v>
      </c>
      <c r="BN383" t="s" s="0">
        <v>381</v>
      </c>
      <c r="BO383" t="s" s="0">
        <v>738</v>
      </c>
      <c r="BP383" t="s" s="0">
        <v>738</v>
      </c>
      <c r="BQ383" t="s" s="0">
        <v>8772</v>
      </c>
      <c r="BR383" t="s" s="0">
        <v>8773</v>
      </c>
      <c r="BS383" t="s" s="0">
        <v>8774</v>
      </c>
      <c r="BT383" t="s" s="761">
        <f>HYPERLINK("https://www.webofscience.com/wos/woscc/full-record/WOS:001321499000004","View Record in Web of Science")</f>
        <v>114</v>
      </c>
      <c r="BU383" t="s" s="0">
        <v>301</v>
      </c>
      <c r="BV383" t="s" s="0">
        <v>81</v>
      </c>
      <c r="BW383" t="s" s="0">
        <v>81</v>
      </c>
      <c r="BX383" t="s" s="0">
        <v>116</v>
      </c>
    </row>
    <row r="384">
      <c r="A384" t="s" s="0">
        <v>77</v>
      </c>
      <c r="B384" t="s" s="0">
        <v>77</v>
      </c>
      <c r="C384" t="s" s="0">
        <v>77</v>
      </c>
      <c r="D384" t="s" s="0">
        <v>77</v>
      </c>
      <c r="E384" t="s" s="0">
        <v>8775</v>
      </c>
      <c r="F384" t="s" s="0">
        <v>8776</v>
      </c>
      <c r="G384" t="s" s="0">
        <v>8777</v>
      </c>
      <c r="H384" t="s" s="0">
        <v>81</v>
      </c>
      <c r="I384" t="s" s="0">
        <v>82</v>
      </c>
      <c r="J384" t="s" s="0">
        <v>8778</v>
      </c>
      <c r="K384" t="s" s="0">
        <v>8779</v>
      </c>
      <c r="L384" t="s" s="0">
        <v>8780</v>
      </c>
      <c r="M384" t="s" s="0">
        <v>8781</v>
      </c>
      <c r="N384" t="s" s="0">
        <v>8782</v>
      </c>
      <c r="O384" t="s" s="0">
        <v>8783</v>
      </c>
      <c r="P384" t="s" s="0">
        <v>8784</v>
      </c>
      <c r="Q384" t="s" s="0">
        <v>87</v>
      </c>
      <c r="R384" t="s" s="0">
        <v>81</v>
      </c>
      <c r="S384" t="s" s="0">
        <v>81</v>
      </c>
      <c r="T384" t="s" s="0">
        <v>81</v>
      </c>
      <c r="U384" t="s" s="0">
        <v>81</v>
      </c>
      <c r="V384" t="s" s="0">
        <v>8785</v>
      </c>
      <c r="W384" t="s" s="0">
        <v>8786</v>
      </c>
      <c r="X384" t="s" s="0">
        <v>81</v>
      </c>
      <c r="Y384" t="s" s="0">
        <v>81</v>
      </c>
      <c r="Z384" t="s" s="0">
        <v>90</v>
      </c>
      <c r="AA384" t="s" s="0">
        <v>91</v>
      </c>
      <c r="AB384" t="s" s="0">
        <v>81</v>
      </c>
      <c r="AC384" t="s" s="0">
        <v>81</v>
      </c>
      <c r="AD384" t="s" s="0">
        <v>81</v>
      </c>
      <c r="AE384" t="s" s="0">
        <v>81</v>
      </c>
      <c r="AF384" t="s" s="0">
        <v>81</v>
      </c>
      <c r="AG384" t="s" s="0">
        <v>8787</v>
      </c>
      <c r="AH384" t="s" s="0">
        <v>8788</v>
      </c>
      <c r="AI384" t="s" s="0">
        <v>8789</v>
      </c>
      <c r="AJ384" t="s" s="0">
        <v>81</v>
      </c>
      <c r="AK384" t="s" s="0">
        <v>81</v>
      </c>
      <c r="AL384" t="s" s="0">
        <v>253</v>
      </c>
      <c r="AM384" t="s" s="0">
        <v>77</v>
      </c>
      <c r="AN384" t="s" s="0">
        <v>77</v>
      </c>
      <c r="AO384" t="s" s="0">
        <v>77</v>
      </c>
      <c r="AP384" t="s" s="0">
        <v>77</v>
      </c>
      <c r="AQ384" t="s" s="0">
        <v>212</v>
      </c>
      <c r="AR384" t="s" s="0">
        <v>429</v>
      </c>
      <c r="AS384" t="s" s="0">
        <v>784</v>
      </c>
      <c r="AT384" t="s" s="0">
        <v>8790</v>
      </c>
      <c r="AU384" t="s" s="0">
        <v>8791</v>
      </c>
      <c r="AV384" t="s" s="0">
        <v>81</v>
      </c>
      <c r="AW384" t="s" s="0">
        <v>8792</v>
      </c>
      <c r="AX384" t="s" s="0">
        <v>8793</v>
      </c>
      <c r="AY384" t="s" s="0">
        <v>3968</v>
      </c>
      <c r="AZ384" t="s" s="0">
        <v>103</v>
      </c>
      <c r="BA384" t="s" s="0">
        <v>367</v>
      </c>
      <c r="BB384" t="s" s="0">
        <v>97</v>
      </c>
      <c r="BC384" t="s" s="0">
        <v>81</v>
      </c>
      <c r="BD384" t="s" s="0">
        <v>81</v>
      </c>
      <c r="BE384" t="s" s="0">
        <v>81</v>
      </c>
      <c r="BF384" t="s" s="0">
        <v>81</v>
      </c>
      <c r="BG384" t="s" s="0">
        <v>81</v>
      </c>
      <c r="BH384" t="s" s="0">
        <v>81</v>
      </c>
      <c r="BI384" t="s" s="0">
        <v>1561</v>
      </c>
      <c r="BJ384" t="s" s="0">
        <v>8794</v>
      </c>
      <c r="BK384" t="s" s="762">
        <f>HYPERLINK("http://dx.doi.org/10.1007/s12559-026-10599-2","http://dx.doi.org/10.1007/s12559-026-10599-2")</f>
        <v>8795</v>
      </c>
      <c r="BL384" t="s" s="0">
        <v>81</v>
      </c>
      <c r="BM384" t="s" s="0">
        <v>675</v>
      </c>
      <c r="BN384" t="s" s="0">
        <v>3518</v>
      </c>
      <c r="BO384" t="s" s="0">
        <v>3817</v>
      </c>
      <c r="BP384" t="s" s="0">
        <v>3818</v>
      </c>
      <c r="BQ384" t="s" s="0">
        <v>8796</v>
      </c>
      <c r="BR384" t="s" s="0">
        <v>81</v>
      </c>
      <c r="BS384" t="s" s="0">
        <v>8797</v>
      </c>
      <c r="BT384" t="s" s="763">
        <f>HYPERLINK("https://www.webofscience.com/wos/woscc/full-record/WOS:001777922200002","View Record in Web of Science")</f>
        <v>114</v>
      </c>
      <c r="BU384" t="s" s="0">
        <v>1055</v>
      </c>
      <c r="BV384" t="s" s="0">
        <v>81</v>
      </c>
      <c r="BW384" t="s" s="0">
        <v>81</v>
      </c>
      <c r="BX384" t="s" s="0">
        <v>116</v>
      </c>
    </row>
    <row r="385">
      <c r="A385" t="s" s="0">
        <v>77</v>
      </c>
      <c r="B385" t="s" s="0">
        <v>77</v>
      </c>
      <c r="C385" t="s" s="0">
        <v>77</v>
      </c>
      <c r="D385" t="s" s="0">
        <v>77</v>
      </c>
      <c r="E385" t="s" s="0">
        <v>8798</v>
      </c>
      <c r="F385" t="s" s="0">
        <v>8799</v>
      </c>
      <c r="G385" t="s" s="0">
        <v>8800</v>
      </c>
      <c r="H385" t="s" s="0">
        <v>81</v>
      </c>
      <c r="I385" t="s" s="0">
        <v>238</v>
      </c>
      <c r="J385" t="s" s="0">
        <v>8801</v>
      </c>
      <c r="K385" t="s" s="0">
        <v>8802</v>
      </c>
      <c r="L385" t="s" s="0">
        <v>8803</v>
      </c>
      <c r="M385" t="s" s="0">
        <v>8804</v>
      </c>
      <c r="N385" t="s" s="0">
        <v>8805</v>
      </c>
      <c r="O385" t="s" s="0">
        <v>8806</v>
      </c>
      <c r="P385" t="s" s="0">
        <v>81</v>
      </c>
      <c r="Q385" t="s" s="0">
        <v>87</v>
      </c>
      <c r="R385" t="s" s="0">
        <v>81</v>
      </c>
      <c r="S385" t="s" s="0">
        <v>81</v>
      </c>
      <c r="T385" t="s" s="0">
        <v>81</v>
      </c>
      <c r="U385" t="s" s="0">
        <v>81</v>
      </c>
      <c r="V385" t="s" s="0">
        <v>8807</v>
      </c>
      <c r="W385" t="s" s="0">
        <v>8808</v>
      </c>
      <c r="X385" t="s" s="0">
        <v>81</v>
      </c>
      <c r="Y385" t="s" s="0">
        <v>81</v>
      </c>
      <c r="Z385" t="s" s="0">
        <v>90</v>
      </c>
      <c r="AA385" t="s" s="0">
        <v>91</v>
      </c>
      <c r="AB385" t="s" s="0">
        <v>81</v>
      </c>
      <c r="AC385" t="s" s="0">
        <v>81</v>
      </c>
      <c r="AD385" t="s" s="0">
        <v>81</v>
      </c>
      <c r="AE385" t="s" s="0">
        <v>81</v>
      </c>
      <c r="AF385" t="s" s="0">
        <v>81</v>
      </c>
      <c r="AG385" t="s" s="0">
        <v>8809</v>
      </c>
      <c r="AH385" t="s" s="0">
        <v>81</v>
      </c>
      <c r="AI385" t="s" s="0">
        <v>8810</v>
      </c>
      <c r="AJ385" t="s" s="0">
        <v>8811</v>
      </c>
      <c r="AK385" t="s" s="0">
        <v>81</v>
      </c>
      <c r="AL385" t="s" s="0">
        <v>210</v>
      </c>
      <c r="AM385" t="s" s="0">
        <v>234</v>
      </c>
      <c r="AN385" t="s" s="0">
        <v>234</v>
      </c>
      <c r="AO385" t="s" s="0">
        <v>156</v>
      </c>
      <c r="AP385" t="s" s="0">
        <v>381</v>
      </c>
      <c r="AQ385" t="s" s="0">
        <v>8808</v>
      </c>
      <c r="AR385" t="s" s="0">
        <v>8812</v>
      </c>
      <c r="AS385" t="s" s="0">
        <v>8813</v>
      </c>
      <c r="AT385" t="s" s="0">
        <v>8814</v>
      </c>
      <c r="AU385" t="s" s="0">
        <v>81</v>
      </c>
      <c r="AV385" t="s" s="0">
        <v>81</v>
      </c>
      <c r="AW385" t="s" s="0">
        <v>8815</v>
      </c>
      <c r="AX385" t="s" s="0">
        <v>8816</v>
      </c>
      <c r="AY385" t="s" s="0">
        <v>5526</v>
      </c>
      <c r="AZ385" t="s" s="0">
        <v>260</v>
      </c>
      <c r="BA385" t="s" s="0">
        <v>1607</v>
      </c>
      <c r="BB385" t="s" s="0">
        <v>156</v>
      </c>
      <c r="BC385" t="s" s="0">
        <v>81</v>
      </c>
      <c r="BD385" t="s" s="0">
        <v>81</v>
      </c>
      <c r="BE385" t="s" s="0">
        <v>81</v>
      </c>
      <c r="BF385" t="s" s="0">
        <v>81</v>
      </c>
      <c r="BG385" t="s" s="0">
        <v>8817</v>
      </c>
      <c r="BH385" t="s" s="0">
        <v>8818</v>
      </c>
      <c r="BI385" t="s" s="0">
        <v>81</v>
      </c>
      <c r="BJ385" t="s" s="0">
        <v>81</v>
      </c>
      <c r="BK385" t="s" s="0">
        <v>81</v>
      </c>
      <c r="BL385" t="s" s="0">
        <v>81</v>
      </c>
      <c r="BM385" t="s" s="0">
        <v>81</v>
      </c>
      <c r="BN385" t="s" s="0">
        <v>381</v>
      </c>
      <c r="BO385" t="s" s="0">
        <v>296</v>
      </c>
      <c r="BP385" t="s" s="0">
        <v>297</v>
      </c>
      <c r="BQ385" t="s" s="0">
        <v>8819</v>
      </c>
      <c r="BR385" t="s" s="0">
        <v>81</v>
      </c>
      <c r="BS385" t="s" s="0">
        <v>8820</v>
      </c>
      <c r="BT385" t="s" s="764">
        <f>HYPERLINK("https://www.webofscience.com/wos/woscc/full-record/WOS:001046850300019","View Record in Web of Science")</f>
        <v>114</v>
      </c>
      <c r="BU385" t="s" s="0">
        <v>81</v>
      </c>
      <c r="BV385" t="s" s="0">
        <v>81</v>
      </c>
      <c r="BW385" t="s" s="0">
        <v>81</v>
      </c>
      <c r="BX385" t="s" s="0">
        <v>116</v>
      </c>
    </row>
    <row r="386">
      <c r="A386" t="s" s="0">
        <v>77</v>
      </c>
      <c r="B386" t="s" s="0">
        <v>77</v>
      </c>
      <c r="C386" t="s" s="0">
        <v>196</v>
      </c>
      <c r="D386" t="s" s="0">
        <v>77</v>
      </c>
      <c r="E386" t="s" s="0">
        <v>8821</v>
      </c>
      <c r="F386" t="s" s="0">
        <v>8822</v>
      </c>
      <c r="G386" t="s" s="0">
        <v>8823</v>
      </c>
      <c r="H386" t="s" s="0">
        <v>81</v>
      </c>
      <c r="I386" t="s" s="0">
        <v>82</v>
      </c>
      <c r="J386" t="s" s="0">
        <v>8824</v>
      </c>
      <c r="K386" t="s" s="0">
        <v>8825</v>
      </c>
      <c r="L386" t="s" s="0">
        <v>81</v>
      </c>
      <c r="M386" t="s" s="0">
        <v>81</v>
      </c>
      <c r="N386" t="s" s="0">
        <v>81</v>
      </c>
      <c r="O386" t="s" s="0">
        <v>8826</v>
      </c>
      <c r="P386" t="s" s="0">
        <v>8827</v>
      </c>
      <c r="Q386" t="s" s="0">
        <v>87</v>
      </c>
      <c r="R386" t="s" s="0">
        <v>81</v>
      </c>
      <c r="S386" t="s" s="0">
        <v>81</v>
      </c>
      <c r="T386" t="s" s="0">
        <v>81</v>
      </c>
      <c r="U386" t="s" s="0">
        <v>81</v>
      </c>
      <c r="V386" t="s" s="0">
        <v>8828</v>
      </c>
      <c r="W386" t="s" s="0">
        <v>8829</v>
      </c>
      <c r="X386" t="s" s="0">
        <v>81</v>
      </c>
      <c r="Y386" t="s" s="0">
        <v>81</v>
      </c>
      <c r="Z386" t="s" s="0">
        <v>90</v>
      </c>
      <c r="AA386" t="s" s="0">
        <v>91</v>
      </c>
      <c r="AB386" t="s" s="0">
        <v>81</v>
      </c>
      <c r="AC386" t="s" s="0">
        <v>81</v>
      </c>
      <c r="AD386" t="s" s="0">
        <v>81</v>
      </c>
      <c r="AE386" t="s" s="0">
        <v>81</v>
      </c>
      <c r="AF386" t="s" s="0">
        <v>81</v>
      </c>
      <c r="AG386" t="s" s="0">
        <v>8830</v>
      </c>
      <c r="AH386" t="s" s="0">
        <v>81</v>
      </c>
      <c r="AI386" t="s" s="0">
        <v>8831</v>
      </c>
      <c r="AJ386" t="s" s="0">
        <v>8832</v>
      </c>
      <c r="AK386" t="s" s="0">
        <v>81</v>
      </c>
      <c r="AL386" t="s" s="0">
        <v>664</v>
      </c>
      <c r="AM386" t="s" s="0">
        <v>671</v>
      </c>
      <c r="AN386" t="s" s="0">
        <v>150</v>
      </c>
      <c r="AO386" t="s" s="0">
        <v>196</v>
      </c>
      <c r="AP386" t="s" s="0">
        <v>210</v>
      </c>
      <c r="AQ386" t="s" s="0">
        <v>1809</v>
      </c>
      <c r="AR386" t="s" s="0">
        <v>1810</v>
      </c>
      <c r="AS386" t="s" s="0">
        <v>1811</v>
      </c>
      <c r="AT386" t="s" s="0">
        <v>8833</v>
      </c>
      <c r="AU386" t="s" s="0">
        <v>8834</v>
      </c>
      <c r="AV386" t="s" s="0">
        <v>81</v>
      </c>
      <c r="AW386" t="s" s="0">
        <v>8835</v>
      </c>
      <c r="AX386" t="s" s="0">
        <v>8836</v>
      </c>
      <c r="AY386" t="s" s="0">
        <v>1816</v>
      </c>
      <c r="AZ386" t="s" s="0">
        <v>185</v>
      </c>
      <c r="BA386" t="s" s="0">
        <v>3984</v>
      </c>
      <c r="BB386" t="s" s="0">
        <v>191</v>
      </c>
      <c r="BC386" t="s" s="0">
        <v>81</v>
      </c>
      <c r="BD386" t="s" s="0">
        <v>81</v>
      </c>
      <c r="BE386" t="s" s="0">
        <v>81</v>
      </c>
      <c r="BF386" t="s" s="0">
        <v>81</v>
      </c>
      <c r="BG386" t="s" s="0">
        <v>8837</v>
      </c>
      <c r="BH386" t="s" s="0">
        <v>8838</v>
      </c>
      <c r="BI386" t="s" s="0">
        <v>81</v>
      </c>
      <c r="BJ386" t="s" s="0">
        <v>8839</v>
      </c>
      <c r="BK386" t="s" s="765">
        <f>HYPERLINK("http://dx.doi.org/10.1177/00220345241271160","http://dx.doi.org/10.1177/00220345241271160")</f>
        <v>8840</v>
      </c>
      <c r="BL386" t="s" s="0">
        <v>81</v>
      </c>
      <c r="BM386" t="s" s="0">
        <v>6550</v>
      </c>
      <c r="BN386" t="s" s="0">
        <v>316</v>
      </c>
      <c r="BO386" t="s" s="0">
        <v>5166</v>
      </c>
      <c r="BP386" t="s" s="0">
        <v>5166</v>
      </c>
      <c r="BQ386" t="s" s="0">
        <v>8841</v>
      </c>
      <c r="BR386" t="s" s="0">
        <v>8842</v>
      </c>
      <c r="BS386" t="s" s="0">
        <v>8843</v>
      </c>
      <c r="BT386" t="s" s="766">
        <f>HYPERLINK("https://www.webofscience.com/wos/woscc/full-record/WOS:001320288000001","View Record in Web of Science")</f>
        <v>114</v>
      </c>
      <c r="BU386" t="s" s="0">
        <v>155</v>
      </c>
      <c r="BV386" t="s" s="0">
        <v>81</v>
      </c>
      <c r="BW386" t="s" s="0">
        <v>81</v>
      </c>
      <c r="BX386" t="s" s="0">
        <v>116</v>
      </c>
    </row>
    <row r="387">
      <c r="A387" t="s" s="0">
        <v>77</v>
      </c>
      <c r="B387" t="s" s="0">
        <v>77</v>
      </c>
      <c r="C387" t="s" s="0">
        <v>77</v>
      </c>
      <c r="D387" t="s" s="0">
        <v>77</v>
      </c>
      <c r="E387" t="s" s="0">
        <v>8844</v>
      </c>
      <c r="F387" t="s" s="0">
        <v>8845</v>
      </c>
      <c r="G387" t="s" s="0">
        <v>8846</v>
      </c>
      <c r="H387" t="s" s="0">
        <v>81</v>
      </c>
      <c r="I387" t="s" s="0">
        <v>82</v>
      </c>
      <c r="J387" t="s" s="0">
        <v>8847</v>
      </c>
      <c r="K387" t="s" s="0">
        <v>8848</v>
      </c>
      <c r="L387" t="s" s="0">
        <v>8849</v>
      </c>
      <c r="M387" t="s" s="0">
        <v>8850</v>
      </c>
      <c r="N387" t="s" s="0">
        <v>8851</v>
      </c>
      <c r="O387" t="s" s="0">
        <v>8852</v>
      </c>
      <c r="P387" t="s" s="0">
        <v>8853</v>
      </c>
      <c r="Q387" t="s" s="0">
        <v>87</v>
      </c>
      <c r="R387" t="s" s="0">
        <v>81</v>
      </c>
      <c r="S387" t="s" s="0">
        <v>81</v>
      </c>
      <c r="T387" t="s" s="0">
        <v>81</v>
      </c>
      <c r="U387" t="s" s="0">
        <v>81</v>
      </c>
      <c r="V387" t="s" s="0">
        <v>8854</v>
      </c>
      <c r="W387" t="s" s="0">
        <v>362</v>
      </c>
      <c r="X387" t="s" s="0">
        <v>81</v>
      </c>
      <c r="Y387" t="s" s="0">
        <v>81</v>
      </c>
      <c r="Z387" t="s" s="0">
        <v>90</v>
      </c>
      <c r="AA387" t="s" s="0">
        <v>91</v>
      </c>
      <c r="AB387" t="s" s="0">
        <v>81</v>
      </c>
      <c r="AC387" t="s" s="0">
        <v>81</v>
      </c>
      <c r="AD387" t="s" s="0">
        <v>81</v>
      </c>
      <c r="AE387" t="s" s="0">
        <v>81</v>
      </c>
      <c r="AF387" t="s" s="0">
        <v>81</v>
      </c>
      <c r="AG387" t="s" s="0">
        <v>8855</v>
      </c>
      <c r="AH387" t="s" s="0">
        <v>1342</v>
      </c>
      <c r="AI387" t="s" s="0">
        <v>8856</v>
      </c>
      <c r="AJ387" t="s" s="0">
        <v>8857</v>
      </c>
      <c r="AK387" t="s" s="0">
        <v>81</v>
      </c>
      <c r="AL387" t="s" s="0">
        <v>756</v>
      </c>
      <c r="AM387" t="s" s="0">
        <v>196</v>
      </c>
      <c r="AN387" t="s" s="0">
        <v>196</v>
      </c>
      <c r="AO387" t="s" s="0">
        <v>97</v>
      </c>
      <c r="AP387" t="s" s="0">
        <v>175</v>
      </c>
      <c r="AQ387" t="s" s="0">
        <v>368</v>
      </c>
      <c r="AR387" t="s" s="0">
        <v>369</v>
      </c>
      <c r="AS387" t="s" s="0">
        <v>370</v>
      </c>
      <c r="AT387" t="s" s="0">
        <v>81</v>
      </c>
      <c r="AU387" t="s" s="0">
        <v>371</v>
      </c>
      <c r="AV387" t="s" s="0">
        <v>81</v>
      </c>
      <c r="AW387" t="s" s="0">
        <v>372</v>
      </c>
      <c r="AX387" t="s" s="0">
        <v>373</v>
      </c>
      <c r="AY387" t="s" s="0">
        <v>6740</v>
      </c>
      <c r="AZ387" t="s" s="0">
        <v>290</v>
      </c>
      <c r="BA387" t="s" s="0">
        <v>134</v>
      </c>
      <c r="BB387" t="s" s="0">
        <v>81</v>
      </c>
      <c r="BC387" t="s" s="0">
        <v>81</v>
      </c>
      <c r="BD387" t="s" s="0">
        <v>81</v>
      </c>
      <c r="BE387" t="s" s="0">
        <v>81</v>
      </c>
      <c r="BF387" t="s" s="0">
        <v>81</v>
      </c>
      <c r="BG387" t="s" s="0">
        <v>81</v>
      </c>
      <c r="BH387" t="s" s="0">
        <v>81</v>
      </c>
      <c r="BI387" t="s" s="0">
        <v>8858</v>
      </c>
      <c r="BJ387" t="s" s="0">
        <v>8859</v>
      </c>
      <c r="BK387" t="s" s="767">
        <f>HYPERLINK("http://dx.doi.org/10.3389/fmed.2025.1596726","http://dx.doi.org/10.3389/fmed.2025.1596726")</f>
        <v>8860</v>
      </c>
      <c r="BL387" t="s" s="0">
        <v>81</v>
      </c>
      <c r="BM387" t="s" s="0">
        <v>81</v>
      </c>
      <c r="BN387" t="s" s="0">
        <v>210</v>
      </c>
      <c r="BO387" t="s" s="0">
        <v>296</v>
      </c>
      <c r="BP387" t="s" s="0">
        <v>297</v>
      </c>
      <c r="BQ387" t="s" s="0">
        <v>8861</v>
      </c>
      <c r="BR387" t="s" s="0">
        <v>8862</v>
      </c>
      <c r="BS387" t="s" s="0">
        <v>8863</v>
      </c>
      <c r="BT387" t="s" s="768">
        <f>HYPERLINK("https://www.webofscience.com/wos/woscc/full-record/WOS:001529333100001","View Record in Web of Science")</f>
        <v>114</v>
      </c>
      <c r="BU387" t="s" s="0">
        <v>301</v>
      </c>
      <c r="BV387" t="s" s="0">
        <v>81</v>
      </c>
      <c r="BW387" t="s" s="0">
        <v>81</v>
      </c>
      <c r="BX387" t="s" s="0">
        <v>116</v>
      </c>
    </row>
    <row r="388">
      <c r="A388" t="s" s="0">
        <v>77</v>
      </c>
      <c r="B388" t="s" s="0">
        <v>77</v>
      </c>
      <c r="C388" t="s" s="0">
        <v>77</v>
      </c>
      <c r="D388" t="s" s="0">
        <v>77</v>
      </c>
      <c r="E388" t="s" s="0">
        <v>8864</v>
      </c>
      <c r="F388" t="s" s="0">
        <v>8865</v>
      </c>
      <c r="G388" t="s" s="0">
        <v>8866</v>
      </c>
      <c r="H388" t="s" s="0">
        <v>81</v>
      </c>
      <c r="I388" t="s" s="0">
        <v>82</v>
      </c>
      <c r="J388" t="s" s="0">
        <v>8867</v>
      </c>
      <c r="K388" t="s" s="0">
        <v>8868</v>
      </c>
      <c r="L388" t="s" s="0">
        <v>81</v>
      </c>
      <c r="M388" t="s" s="0">
        <v>81</v>
      </c>
      <c r="N388" t="s" s="0">
        <v>81</v>
      </c>
      <c r="O388" t="s" s="0">
        <v>8869</v>
      </c>
      <c r="P388" t="s" s="0">
        <v>8870</v>
      </c>
      <c r="Q388" t="s" s="0">
        <v>87</v>
      </c>
      <c r="R388" t="s" s="0">
        <v>81</v>
      </c>
      <c r="S388" t="s" s="0">
        <v>81</v>
      </c>
      <c r="T388" t="s" s="0">
        <v>81</v>
      </c>
      <c r="U388" t="s" s="0">
        <v>81</v>
      </c>
      <c r="V388" t="s" s="0">
        <v>8871</v>
      </c>
      <c r="W388" t="s" s="0">
        <v>1954</v>
      </c>
      <c r="X388" t="s" s="0">
        <v>81</v>
      </c>
      <c r="Y388" t="s" s="0">
        <v>81</v>
      </c>
      <c r="Z388" t="s" s="0">
        <v>90</v>
      </c>
      <c r="AA388" t="s" s="0">
        <v>91</v>
      </c>
      <c r="AB388" t="s" s="0">
        <v>81</v>
      </c>
      <c r="AC388" t="s" s="0">
        <v>81</v>
      </c>
      <c r="AD388" t="s" s="0">
        <v>81</v>
      </c>
      <c r="AE388" t="s" s="0">
        <v>81</v>
      </c>
      <c r="AF388" t="s" s="0">
        <v>81</v>
      </c>
      <c r="AG388" t="s" s="0">
        <v>8872</v>
      </c>
      <c r="AH388" t="s" s="0">
        <v>8873</v>
      </c>
      <c r="AI388" t="s" s="0">
        <v>8874</v>
      </c>
      <c r="AJ388" t="s" s="0">
        <v>81</v>
      </c>
      <c r="AK388" t="s" s="0">
        <v>81</v>
      </c>
      <c r="AL388" t="s" s="0">
        <v>664</v>
      </c>
      <c r="AM388" t="s" s="0">
        <v>97</v>
      </c>
      <c r="AN388" t="s" s="0">
        <v>196</v>
      </c>
      <c r="AO388" t="s" s="0">
        <v>196</v>
      </c>
      <c r="AP388" t="s" s="0">
        <v>196</v>
      </c>
      <c r="AQ388" t="s" s="0">
        <v>665</v>
      </c>
      <c r="AR388" t="s" s="0">
        <v>546</v>
      </c>
      <c r="AS388" t="s" s="0">
        <v>666</v>
      </c>
      <c r="AT388" t="s" s="0">
        <v>81</v>
      </c>
      <c r="AU388" t="s" s="0">
        <v>1957</v>
      </c>
      <c r="AV388" t="s" s="0">
        <v>81</v>
      </c>
      <c r="AW388" t="s" s="0">
        <v>1958</v>
      </c>
      <c r="AX388" t="s" s="0">
        <v>1959</v>
      </c>
      <c r="AY388" t="s" s="0">
        <v>8875</v>
      </c>
      <c r="AZ388" t="s" s="0">
        <v>103</v>
      </c>
      <c r="BA388" t="s" s="0">
        <v>228</v>
      </c>
      <c r="BB388" t="s" s="0">
        <v>97</v>
      </c>
      <c r="BC388" t="s" s="0">
        <v>81</v>
      </c>
      <c r="BD388" t="s" s="0">
        <v>81</v>
      </c>
      <c r="BE388" t="s" s="0">
        <v>81</v>
      </c>
      <c r="BF388" t="s" s="0">
        <v>81</v>
      </c>
      <c r="BG388" t="s" s="0">
        <v>81</v>
      </c>
      <c r="BH388" t="s" s="0">
        <v>81</v>
      </c>
      <c r="BI388" t="s" s="0">
        <v>251</v>
      </c>
      <c r="BJ388" t="s" s="0">
        <v>8876</v>
      </c>
      <c r="BK388" t="s" s="769">
        <f>HYPERLINK("http://dx.doi.org/10.1186/s12911-026-03344-0","http://dx.doi.org/10.1186/s12911-026-03344-0")</f>
        <v>8877</v>
      </c>
      <c r="BL388" t="s" s="0">
        <v>81</v>
      </c>
      <c r="BM388" t="s" s="0">
        <v>81</v>
      </c>
      <c r="BN388" t="s" s="0">
        <v>134</v>
      </c>
      <c r="BO388" t="s" s="0">
        <v>1963</v>
      </c>
      <c r="BP388" t="s" s="0">
        <v>1963</v>
      </c>
      <c r="BQ388" t="s" s="0">
        <v>8878</v>
      </c>
      <c r="BR388" t="s" s="0">
        <v>8879</v>
      </c>
      <c r="BS388" t="s" s="0">
        <v>8880</v>
      </c>
      <c r="BT388" t="s" s="770">
        <f>HYPERLINK("https://www.webofscience.com/wos/woscc/full-record/WOS:001706236900001","View Record in Web of Science")</f>
        <v>114</v>
      </c>
      <c r="BU388" t="s" s="0">
        <v>301</v>
      </c>
      <c r="BV388" t="s" s="0">
        <v>81</v>
      </c>
      <c r="BW388" t="s" s="0">
        <v>81</v>
      </c>
      <c r="BX388" t="s" s="0">
        <v>116</v>
      </c>
    </row>
    <row r="389">
      <c r="A389" t="s" s="0">
        <v>77</v>
      </c>
      <c r="B389" t="s" s="0">
        <v>77</v>
      </c>
      <c r="C389" t="s" s="0">
        <v>77</v>
      </c>
      <c r="D389" t="s" s="0">
        <v>77</v>
      </c>
      <c r="E389" t="s" s="0">
        <v>8881</v>
      </c>
      <c r="F389" t="s" s="0">
        <v>8882</v>
      </c>
      <c r="G389" t="s" s="0">
        <v>8883</v>
      </c>
      <c r="H389" t="s" s="0">
        <v>81</v>
      </c>
      <c r="I389" t="s" s="0">
        <v>238</v>
      </c>
      <c r="J389" t="s" s="0">
        <v>8884</v>
      </c>
      <c r="K389" t="s" s="0">
        <v>8885</v>
      </c>
      <c r="L389" t="s" s="0">
        <v>81</v>
      </c>
      <c r="M389" t="s" s="0">
        <v>81</v>
      </c>
      <c r="N389" t="s" s="0">
        <v>81</v>
      </c>
      <c r="O389" t="s" s="0">
        <v>8886</v>
      </c>
      <c r="P389" t="s" s="0">
        <v>8887</v>
      </c>
      <c r="Q389" t="s" s="0">
        <v>87</v>
      </c>
      <c r="R389" t="s" s="0">
        <v>81</v>
      </c>
      <c r="S389" t="s" s="0">
        <v>81</v>
      </c>
      <c r="T389" t="s" s="0">
        <v>81</v>
      </c>
      <c r="U389" t="s" s="0">
        <v>81</v>
      </c>
      <c r="V389" t="s" s="0">
        <v>8888</v>
      </c>
      <c r="W389" t="s" s="0">
        <v>6143</v>
      </c>
      <c r="X389" t="s" s="0">
        <v>81</v>
      </c>
      <c r="Y389" t="s" s="0">
        <v>81</v>
      </c>
      <c r="Z389" t="s" s="0">
        <v>90</v>
      </c>
      <c r="AA389" t="s" s="0">
        <v>91</v>
      </c>
      <c r="AB389" t="s" s="0">
        <v>81</v>
      </c>
      <c r="AC389" t="s" s="0">
        <v>81</v>
      </c>
      <c r="AD389" t="s" s="0">
        <v>81</v>
      </c>
      <c r="AE389" t="s" s="0">
        <v>81</v>
      </c>
      <c r="AF389" t="s" s="0">
        <v>81</v>
      </c>
      <c r="AG389" t="s" s="0">
        <v>8889</v>
      </c>
      <c r="AH389" t="s" s="0">
        <v>8890</v>
      </c>
      <c r="AI389" t="s" s="0">
        <v>8891</v>
      </c>
      <c r="AJ389" t="s" s="0">
        <v>8892</v>
      </c>
      <c r="AK389" t="s" s="0">
        <v>81</v>
      </c>
      <c r="AL389" t="s" s="0">
        <v>295</v>
      </c>
      <c r="AM389" t="s" s="0">
        <v>77</v>
      </c>
      <c r="AN389" t="s" s="0">
        <v>77</v>
      </c>
      <c r="AO389" t="s" s="0">
        <v>77</v>
      </c>
      <c r="AP389" t="s" s="0">
        <v>77</v>
      </c>
      <c r="AQ389" t="s" s="0">
        <v>992</v>
      </c>
      <c r="AR389" t="s" s="0">
        <v>993</v>
      </c>
      <c r="AS389" t="s" s="0">
        <v>994</v>
      </c>
      <c r="AT389" t="s" s="0">
        <v>6148</v>
      </c>
      <c r="AU389" t="s" s="0">
        <v>81</v>
      </c>
      <c r="AV389" t="s" s="0">
        <v>81</v>
      </c>
      <c r="AW389" t="s" s="0">
        <v>6149</v>
      </c>
      <c r="AX389" t="s" s="0">
        <v>6150</v>
      </c>
      <c r="AY389" t="s" s="0">
        <v>8893</v>
      </c>
      <c r="AZ389" t="s" s="0">
        <v>290</v>
      </c>
      <c r="BA389" t="s" s="0">
        <v>191</v>
      </c>
      <c r="BB389" t="s" s="0">
        <v>316</v>
      </c>
      <c r="BC389" t="s" s="0">
        <v>81</v>
      </c>
      <c r="BD389" t="s" s="0">
        <v>81</v>
      </c>
      <c r="BE389" t="s" s="0">
        <v>81</v>
      </c>
      <c r="BF389" t="s" s="0">
        <v>81</v>
      </c>
      <c r="BG389" t="s" s="0">
        <v>81</v>
      </c>
      <c r="BH389" t="s" s="0">
        <v>81</v>
      </c>
      <c r="BI389" t="s" s="0">
        <v>8894</v>
      </c>
      <c r="BJ389" t="s" s="0">
        <v>8895</v>
      </c>
      <c r="BK389" t="s" s="771">
        <f>HYPERLINK("http://dx.doi.org/10.1088/2057-1976/ae1f21","http://dx.doi.org/10.1088/2057-1976/ae1f21")</f>
        <v>8896</v>
      </c>
      <c r="BL389" t="s" s="0">
        <v>81</v>
      </c>
      <c r="BM389" t="s" s="0">
        <v>81</v>
      </c>
      <c r="BN389" t="s" s="0">
        <v>104</v>
      </c>
      <c r="BO389" t="s" s="0">
        <v>738</v>
      </c>
      <c r="BP389" t="s" s="0">
        <v>738</v>
      </c>
      <c r="BQ389" t="s" s="0">
        <v>8897</v>
      </c>
      <c r="BR389" t="s" s="0">
        <v>8898</v>
      </c>
      <c r="BS389" t="s" s="0">
        <v>8899</v>
      </c>
      <c r="BT389" t="s" s="772">
        <f>HYPERLINK("https://www.webofscience.com/wos/woscc/full-record/WOS:001624844100001","View Record in Web of Science")</f>
        <v>114</v>
      </c>
      <c r="BU389" t="s" s="0">
        <v>1055</v>
      </c>
      <c r="BV389" t="s" s="0">
        <v>81</v>
      </c>
      <c r="BW389" t="s" s="0">
        <v>81</v>
      </c>
      <c r="BX389" t="s" s="0">
        <v>116</v>
      </c>
    </row>
    <row r="390">
      <c r="A390" t="s" s="0">
        <v>77</v>
      </c>
      <c r="B390" t="s" s="0">
        <v>77</v>
      </c>
      <c r="C390" t="s" s="0">
        <v>77</v>
      </c>
      <c r="D390" t="s" s="0">
        <v>77</v>
      </c>
      <c r="E390" t="s" s="0">
        <v>8900</v>
      </c>
      <c r="F390" t="s" s="0">
        <v>8901</v>
      </c>
      <c r="G390" t="s" s="0">
        <v>8902</v>
      </c>
      <c r="H390" t="s" s="0">
        <v>81</v>
      </c>
      <c r="I390" t="s" s="0">
        <v>82</v>
      </c>
      <c r="J390" t="s" s="0">
        <v>8903</v>
      </c>
      <c r="K390" t="s" s="0">
        <v>8904</v>
      </c>
      <c r="L390" t="s" s="0">
        <v>8905</v>
      </c>
      <c r="M390" t="s" s="0">
        <v>8906</v>
      </c>
      <c r="N390" t="s" s="0">
        <v>8907</v>
      </c>
      <c r="O390" t="s" s="0">
        <v>8908</v>
      </c>
      <c r="P390" t="s" s="0">
        <v>8909</v>
      </c>
      <c r="Q390" t="s" s="0">
        <v>87</v>
      </c>
      <c r="R390" t="s" s="0">
        <v>81</v>
      </c>
      <c r="S390" t="s" s="0">
        <v>81</v>
      </c>
      <c r="T390" t="s" s="0">
        <v>81</v>
      </c>
      <c r="U390" t="s" s="0">
        <v>81</v>
      </c>
      <c r="V390" t="s" s="0">
        <v>8910</v>
      </c>
      <c r="W390" t="s" s="0">
        <v>1369</v>
      </c>
      <c r="X390" t="s" s="0">
        <v>81</v>
      </c>
      <c r="Y390" t="s" s="0">
        <v>81</v>
      </c>
      <c r="Z390" t="s" s="0">
        <v>90</v>
      </c>
      <c r="AA390" t="s" s="0">
        <v>91</v>
      </c>
      <c r="AB390" t="s" s="0">
        <v>81</v>
      </c>
      <c r="AC390" t="s" s="0">
        <v>81</v>
      </c>
      <c r="AD390" t="s" s="0">
        <v>81</v>
      </c>
      <c r="AE390" t="s" s="0">
        <v>81</v>
      </c>
      <c r="AF390" t="s" s="0">
        <v>81</v>
      </c>
      <c r="AG390" t="s" s="0">
        <v>8911</v>
      </c>
      <c r="AH390" t="s" s="0">
        <v>8912</v>
      </c>
      <c r="AI390" t="s" s="0">
        <v>8913</v>
      </c>
      <c r="AJ390" t="s" s="0">
        <v>8914</v>
      </c>
      <c r="AK390" t="s" s="0">
        <v>81</v>
      </c>
      <c r="AL390" t="s" s="0">
        <v>542</v>
      </c>
      <c r="AM390" t="s" s="0">
        <v>97</v>
      </c>
      <c r="AN390" t="s" s="0">
        <v>97</v>
      </c>
      <c r="AO390" t="s" s="0">
        <v>77</v>
      </c>
      <c r="AP390" t="s" s="0">
        <v>196</v>
      </c>
      <c r="AQ390" t="s" s="0">
        <v>284</v>
      </c>
      <c r="AR390" t="s" s="0">
        <v>285</v>
      </c>
      <c r="AS390" t="s" s="0">
        <v>286</v>
      </c>
      <c r="AT390" t="s" s="0">
        <v>81</v>
      </c>
      <c r="AU390" t="s" s="0">
        <v>1375</v>
      </c>
      <c r="AV390" t="s" s="0">
        <v>81</v>
      </c>
      <c r="AW390" t="s" s="0">
        <v>1369</v>
      </c>
      <c r="AX390" t="s" s="0">
        <v>1376</v>
      </c>
      <c r="AY390" t="s" s="0">
        <v>8915</v>
      </c>
      <c r="AZ390" t="s" s="0">
        <v>290</v>
      </c>
      <c r="BA390" t="s" s="0">
        <v>222</v>
      </c>
      <c r="BB390" t="s" s="0">
        <v>485</v>
      </c>
      <c r="BC390" t="s" s="0">
        <v>81</v>
      </c>
      <c r="BD390" t="s" s="0">
        <v>81</v>
      </c>
      <c r="BE390" t="s" s="0">
        <v>81</v>
      </c>
      <c r="BF390" t="s" s="0">
        <v>81</v>
      </c>
      <c r="BG390" t="s" s="0">
        <v>81</v>
      </c>
      <c r="BH390" t="s" s="0">
        <v>81</v>
      </c>
      <c r="BI390" t="s" s="0">
        <v>8916</v>
      </c>
      <c r="BJ390" t="s" s="0">
        <v>8917</v>
      </c>
      <c r="BK390" t="s" s="773">
        <f>HYPERLINK("http://dx.doi.org/10.3390/cancers17193213","http://dx.doi.org/10.3390/cancers17193213")</f>
        <v>8918</v>
      </c>
      <c r="BL390" t="s" s="0">
        <v>81</v>
      </c>
      <c r="BM390" t="s" s="0">
        <v>81</v>
      </c>
      <c r="BN390" t="s" s="0">
        <v>890</v>
      </c>
      <c r="BO390" t="s" s="0">
        <v>1380</v>
      </c>
      <c r="BP390" t="s" s="0">
        <v>1380</v>
      </c>
      <c r="BQ390" t="s" s="0">
        <v>8919</v>
      </c>
      <c r="BR390" t="s" s="0">
        <v>8920</v>
      </c>
      <c r="BS390" t="s" s="0">
        <v>8921</v>
      </c>
      <c r="BT390" t="s" s="774">
        <f>HYPERLINK("https://www.webofscience.com/wos/woscc/full-record/WOS:001593472400001","View Record in Web of Science")</f>
        <v>114</v>
      </c>
      <c r="BU390" t="s" s="0">
        <v>301</v>
      </c>
      <c r="BV390" t="s" s="0">
        <v>81</v>
      </c>
      <c r="BW390" t="s" s="0">
        <v>81</v>
      </c>
      <c r="BX390" t="s" s="0">
        <v>116</v>
      </c>
    </row>
    <row r="391">
      <c r="A391" t="s" s="0">
        <v>77</v>
      </c>
      <c r="B391" t="s" s="0">
        <v>77</v>
      </c>
      <c r="C391" t="s" s="0">
        <v>77</v>
      </c>
      <c r="D391" t="s" s="0">
        <v>77</v>
      </c>
      <c r="E391" t="s" s="0">
        <v>8922</v>
      </c>
      <c r="F391" t="s" s="0">
        <v>8923</v>
      </c>
      <c r="G391" t="s" s="0">
        <v>8924</v>
      </c>
      <c r="H391" t="s" s="0">
        <v>81</v>
      </c>
      <c r="I391" t="s" s="0">
        <v>238</v>
      </c>
      <c r="J391" t="s" s="0">
        <v>8925</v>
      </c>
      <c r="K391" t="s" s="0">
        <v>8926</v>
      </c>
      <c r="L391" t="s" s="0">
        <v>81</v>
      </c>
      <c r="M391" t="s" s="0">
        <v>81</v>
      </c>
      <c r="N391" t="s" s="0">
        <v>81</v>
      </c>
      <c r="O391" t="s" s="0">
        <v>8927</v>
      </c>
      <c r="P391" t="s" s="0">
        <v>8928</v>
      </c>
      <c r="Q391" t="s" s="0">
        <v>87</v>
      </c>
      <c r="R391" t="s" s="0">
        <v>81</v>
      </c>
      <c r="S391" t="s" s="0">
        <v>81</v>
      </c>
      <c r="T391" t="s" s="0">
        <v>81</v>
      </c>
      <c r="U391" t="s" s="0">
        <v>81</v>
      </c>
      <c r="V391" t="s" s="0">
        <v>8929</v>
      </c>
      <c r="W391" t="s" s="0">
        <v>8930</v>
      </c>
      <c r="X391" t="s" s="0">
        <v>81</v>
      </c>
      <c r="Y391" t="s" s="0">
        <v>81</v>
      </c>
      <c r="Z391" t="s" s="0">
        <v>90</v>
      </c>
      <c r="AA391" t="s" s="0">
        <v>91</v>
      </c>
      <c r="AB391" t="s" s="0">
        <v>81</v>
      </c>
      <c r="AC391" t="s" s="0">
        <v>81</v>
      </c>
      <c r="AD391" t="s" s="0">
        <v>81</v>
      </c>
      <c r="AE391" t="s" s="0">
        <v>81</v>
      </c>
      <c r="AF391" t="s" s="0">
        <v>81</v>
      </c>
      <c r="AG391" t="s" s="0">
        <v>8931</v>
      </c>
      <c r="AH391" t="s" s="0">
        <v>81</v>
      </c>
      <c r="AI391" t="s" s="0">
        <v>8932</v>
      </c>
      <c r="AJ391" t="s" s="0">
        <v>81</v>
      </c>
      <c r="AK391" t="s" s="0">
        <v>81</v>
      </c>
      <c r="AL391" t="s" s="0">
        <v>434</v>
      </c>
      <c r="AM391" t="s" s="0">
        <v>77</v>
      </c>
      <c r="AN391" t="s" s="0">
        <v>77</v>
      </c>
      <c r="AO391" t="s" s="0">
        <v>97</v>
      </c>
      <c r="AP391" t="s" s="0">
        <v>97</v>
      </c>
      <c r="AQ391" t="s" s="0">
        <v>726</v>
      </c>
      <c r="AR391" t="s" s="0">
        <v>727</v>
      </c>
      <c r="AS391" t="s" s="0">
        <v>728</v>
      </c>
      <c r="AT391" t="s" s="0">
        <v>81</v>
      </c>
      <c r="AU391" t="s" s="0">
        <v>8933</v>
      </c>
      <c r="AV391" t="s" s="0">
        <v>81</v>
      </c>
      <c r="AW391" t="s" s="0">
        <v>8934</v>
      </c>
      <c r="AX391" t="s" s="0">
        <v>8935</v>
      </c>
      <c r="AY391" t="s" s="0">
        <v>2108</v>
      </c>
      <c r="AZ391" t="s" s="0">
        <v>103</v>
      </c>
      <c r="BA391" t="s" s="0">
        <v>261</v>
      </c>
      <c r="BB391" t="s" s="0">
        <v>156</v>
      </c>
      <c r="BC391" t="s" s="0">
        <v>81</v>
      </c>
      <c r="BD391" t="s" s="0">
        <v>81</v>
      </c>
      <c r="BE391" t="s" s="0">
        <v>81</v>
      </c>
      <c r="BF391" t="s" s="0">
        <v>81</v>
      </c>
      <c r="BG391" t="s" s="0">
        <v>81</v>
      </c>
      <c r="BH391" t="s" s="0">
        <v>81</v>
      </c>
      <c r="BI391" t="s" s="0">
        <v>8936</v>
      </c>
      <c r="BJ391" t="s" s="0">
        <v>8937</v>
      </c>
      <c r="BK391" t="s" s="775">
        <f>HYPERLINK("http://dx.doi.org/10.1002/jac5.70172","http://dx.doi.org/10.1002/jac5.70172")</f>
        <v>8938</v>
      </c>
      <c r="BL391" t="s" s="0">
        <v>81</v>
      </c>
      <c r="BM391" t="s" s="0">
        <v>81</v>
      </c>
      <c r="BN391" t="s" s="0">
        <v>191</v>
      </c>
      <c r="BO391" t="s" s="0">
        <v>973</v>
      </c>
      <c r="BP391" t="s" s="0">
        <v>973</v>
      </c>
      <c r="BQ391" t="s" s="0">
        <v>8939</v>
      </c>
      <c r="BR391" t="s" s="0">
        <v>8940</v>
      </c>
      <c r="BS391" t="s" s="0">
        <v>8941</v>
      </c>
      <c r="BT391" t="s" s="776">
        <f>HYPERLINK("https://www.webofscience.com/wos/woscc/full-record/WOS:001687363100007","View Record in Web of Science")</f>
        <v>114</v>
      </c>
      <c r="BU391" t="s" s="0">
        <v>2239</v>
      </c>
      <c r="BV391" t="s" s="0">
        <v>81</v>
      </c>
      <c r="BW391" t="s" s="0">
        <v>81</v>
      </c>
      <c r="BX391" t="s" s="0">
        <v>116</v>
      </c>
    </row>
    <row r="392">
      <c r="A392" t="s" s="0">
        <v>77</v>
      </c>
      <c r="B392" t="s" s="0">
        <v>77</v>
      </c>
      <c r="C392" t="s" s="0">
        <v>97</v>
      </c>
      <c r="D392" t="s" s="0">
        <v>77</v>
      </c>
      <c r="E392" t="s" s="0">
        <v>8942</v>
      </c>
      <c r="F392" t="s" s="0">
        <v>8943</v>
      </c>
      <c r="G392" t="s" s="0">
        <v>8944</v>
      </c>
      <c r="H392" t="s" s="0">
        <v>81</v>
      </c>
      <c r="I392" t="s" s="0">
        <v>82</v>
      </c>
      <c r="J392" t="s" s="0">
        <v>8945</v>
      </c>
      <c r="K392" t="s" s="0">
        <v>8946</v>
      </c>
      <c r="L392" t="s" s="0">
        <v>81</v>
      </c>
      <c r="M392" t="s" s="0">
        <v>81</v>
      </c>
      <c r="N392" t="s" s="0">
        <v>81</v>
      </c>
      <c r="O392" t="s" s="0">
        <v>8947</v>
      </c>
      <c r="P392" t="s" s="0">
        <v>8948</v>
      </c>
      <c r="Q392" t="s" s="0">
        <v>87</v>
      </c>
      <c r="R392" t="s" s="0">
        <v>81</v>
      </c>
      <c r="S392" t="s" s="0">
        <v>81</v>
      </c>
      <c r="T392" t="s" s="0">
        <v>81</v>
      </c>
      <c r="U392" t="s" s="0">
        <v>81</v>
      </c>
      <c r="V392" t="s" s="0">
        <v>8949</v>
      </c>
      <c r="W392" t="s" s="0">
        <v>2070</v>
      </c>
      <c r="X392" t="s" s="0">
        <v>81</v>
      </c>
      <c r="Y392" t="s" s="0">
        <v>81</v>
      </c>
      <c r="Z392" t="s" s="0">
        <v>90</v>
      </c>
      <c r="AA392" t="s" s="0">
        <v>91</v>
      </c>
      <c r="AB392" t="s" s="0">
        <v>81</v>
      </c>
      <c r="AC392" t="s" s="0">
        <v>81</v>
      </c>
      <c r="AD392" t="s" s="0">
        <v>81</v>
      </c>
      <c r="AE392" t="s" s="0">
        <v>81</v>
      </c>
      <c r="AF392" t="s" s="0">
        <v>81</v>
      </c>
      <c r="AG392" t="s" s="0">
        <v>8950</v>
      </c>
      <c r="AH392" t="s" s="0">
        <v>8951</v>
      </c>
      <c r="AI392" t="s" s="0">
        <v>8952</v>
      </c>
      <c r="AJ392" t="s" s="0">
        <v>8953</v>
      </c>
      <c r="AK392" t="s" s="0">
        <v>81</v>
      </c>
      <c r="AL392" t="s" s="0">
        <v>3518</v>
      </c>
      <c r="AM392" t="s" s="0">
        <v>211</v>
      </c>
      <c r="AN392" t="s" s="0">
        <v>134</v>
      </c>
      <c r="AO392" t="s" s="0">
        <v>77</v>
      </c>
      <c r="AP392" t="s" s="0">
        <v>211</v>
      </c>
      <c r="AQ392" t="s" s="0">
        <v>177</v>
      </c>
      <c r="AR392" t="s" s="0">
        <v>178</v>
      </c>
      <c r="AS392" t="s" s="0">
        <v>179</v>
      </c>
      <c r="AT392" t="s" s="0">
        <v>2073</v>
      </c>
      <c r="AU392" t="s" s="0">
        <v>2074</v>
      </c>
      <c r="AV392" t="s" s="0">
        <v>81</v>
      </c>
      <c r="AW392" t="s" s="0">
        <v>2075</v>
      </c>
      <c r="AX392" t="s" s="0">
        <v>2076</v>
      </c>
      <c r="AY392" t="s" s="0">
        <v>320</v>
      </c>
      <c r="AZ392" t="s" s="0">
        <v>185</v>
      </c>
      <c r="BA392" t="s" s="0">
        <v>2955</v>
      </c>
      <c r="BB392" t="s" s="0">
        <v>81</v>
      </c>
      <c r="BC392" t="s" s="0">
        <v>81</v>
      </c>
      <c r="BD392" t="s" s="0">
        <v>81</v>
      </c>
      <c r="BE392" t="s" s="0">
        <v>81</v>
      </c>
      <c r="BF392" t="s" s="0">
        <v>81</v>
      </c>
      <c r="BG392" t="s" s="0">
        <v>81</v>
      </c>
      <c r="BH392" t="s" s="0">
        <v>81</v>
      </c>
      <c r="BI392" t="s" s="0">
        <v>8954</v>
      </c>
      <c r="BJ392" t="s" s="0">
        <v>8955</v>
      </c>
      <c r="BK392" t="s" s="777">
        <f>HYPERLINK("http://dx.doi.org/10.1016/j.bspc.2024.106000","http://dx.doi.org/10.1016/j.bspc.2024.106000")</f>
        <v>8956</v>
      </c>
      <c r="BL392" t="s" s="0">
        <v>81</v>
      </c>
      <c r="BM392" t="s" s="0">
        <v>190</v>
      </c>
      <c r="BN392" t="s" s="0">
        <v>104</v>
      </c>
      <c r="BO392" t="s" s="0">
        <v>2082</v>
      </c>
      <c r="BP392" t="s" s="0">
        <v>1003</v>
      </c>
      <c r="BQ392" t="s" s="0">
        <v>8957</v>
      </c>
      <c r="BR392" t="s" s="0">
        <v>81</v>
      </c>
      <c r="BS392" t="s" s="0">
        <v>8958</v>
      </c>
      <c r="BT392" t="s" s="778">
        <f>HYPERLINK("https://www.webofscience.com/wos/woscc/full-record/WOS:001177597200001","View Record in Web of Science")</f>
        <v>114</v>
      </c>
      <c r="BU392" t="s" s="0">
        <v>81</v>
      </c>
      <c r="BV392" t="s" s="0">
        <v>81</v>
      </c>
      <c r="BW392" t="s" s="0">
        <v>81</v>
      </c>
      <c r="BX392" t="s" s="0">
        <v>116</v>
      </c>
    </row>
    <row r="393">
      <c r="A393" t="s" s="0">
        <v>77</v>
      </c>
      <c r="B393" t="s" s="0">
        <v>77</v>
      </c>
      <c r="C393" t="s" s="0">
        <v>97</v>
      </c>
      <c r="D393" t="s" s="0">
        <v>77</v>
      </c>
      <c r="E393" t="s" s="0">
        <v>8959</v>
      </c>
      <c r="F393" t="s" s="0">
        <v>8960</v>
      </c>
      <c r="G393" t="s" s="0">
        <v>8961</v>
      </c>
      <c r="H393" t="s" s="0">
        <v>81</v>
      </c>
      <c r="I393" t="s" s="0">
        <v>82</v>
      </c>
      <c r="J393" t="s" s="0">
        <v>8962</v>
      </c>
      <c r="K393" t="s" s="0">
        <v>8963</v>
      </c>
      <c r="L393" t="s" s="0">
        <v>8964</v>
      </c>
      <c r="M393" t="s" s="0">
        <v>8965</v>
      </c>
      <c r="N393" t="s" s="0">
        <v>8966</v>
      </c>
      <c r="O393" t="s" s="0">
        <v>8967</v>
      </c>
      <c r="P393" t="s" s="0">
        <v>8968</v>
      </c>
      <c r="Q393" t="s" s="0">
        <v>87</v>
      </c>
      <c r="R393" t="s" s="0">
        <v>81</v>
      </c>
      <c r="S393" t="s" s="0">
        <v>81</v>
      </c>
      <c r="T393" t="s" s="0">
        <v>81</v>
      </c>
      <c r="U393" t="s" s="0">
        <v>81</v>
      </c>
      <c r="V393" t="s" s="0">
        <v>8969</v>
      </c>
      <c r="W393" t="s" s="0">
        <v>5983</v>
      </c>
      <c r="X393" t="s" s="0">
        <v>81</v>
      </c>
      <c r="Y393" t="s" s="0">
        <v>81</v>
      </c>
      <c r="Z393" t="s" s="0">
        <v>90</v>
      </c>
      <c r="AA393" t="s" s="0">
        <v>91</v>
      </c>
      <c r="AB393" t="s" s="0">
        <v>81</v>
      </c>
      <c r="AC393" t="s" s="0">
        <v>81</v>
      </c>
      <c r="AD393" t="s" s="0">
        <v>81</v>
      </c>
      <c r="AE393" t="s" s="0">
        <v>81</v>
      </c>
      <c r="AF393" t="s" s="0">
        <v>81</v>
      </c>
      <c r="AG393" t="s" s="0">
        <v>8970</v>
      </c>
      <c r="AH393" t="s" s="0">
        <v>8971</v>
      </c>
      <c r="AI393" t="s" s="0">
        <v>8972</v>
      </c>
      <c r="AJ393" t="s" s="0">
        <v>8973</v>
      </c>
      <c r="AK393" t="s" s="0">
        <v>81</v>
      </c>
      <c r="AL393" t="s" s="0">
        <v>8974</v>
      </c>
      <c r="AM393" t="s" s="0">
        <v>211</v>
      </c>
      <c r="AN393" t="s" s="0">
        <v>191</v>
      </c>
      <c r="AO393" t="s" s="0">
        <v>97</v>
      </c>
      <c r="AP393" t="s" s="0">
        <v>97</v>
      </c>
      <c r="AQ393" t="s" s="0">
        <v>212</v>
      </c>
      <c r="AR393" t="s" s="0">
        <v>429</v>
      </c>
      <c r="AS393" t="s" s="0">
        <v>784</v>
      </c>
      <c r="AT393" t="s" s="0">
        <v>5987</v>
      </c>
      <c r="AU393" t="s" s="0">
        <v>5988</v>
      </c>
      <c r="AV393" t="s" s="0">
        <v>81</v>
      </c>
      <c r="AW393" t="s" s="0">
        <v>5989</v>
      </c>
      <c r="AX393" t="s" s="0">
        <v>5990</v>
      </c>
      <c r="AY393" t="s" s="0">
        <v>849</v>
      </c>
      <c r="AZ393" t="s" s="0">
        <v>103</v>
      </c>
      <c r="BA393" t="s" s="0">
        <v>664</v>
      </c>
      <c r="BB393" t="s" s="0">
        <v>196</v>
      </c>
      <c r="BC393" t="s" s="0">
        <v>81</v>
      </c>
      <c r="BD393" t="s" s="0">
        <v>81</v>
      </c>
      <c r="BE393" t="s" s="0">
        <v>81</v>
      </c>
      <c r="BF393" t="s" s="0">
        <v>81</v>
      </c>
      <c r="BG393" t="s" s="0">
        <v>8975</v>
      </c>
      <c r="BH393" t="s" s="0">
        <v>8976</v>
      </c>
      <c r="BI393" t="s" s="0">
        <v>81</v>
      </c>
      <c r="BJ393" t="s" s="0">
        <v>8977</v>
      </c>
      <c r="BK393" t="s" s="779">
        <f>HYPERLINK("http://dx.doi.org/10.1007/s10278-025-01585-5","http://dx.doi.org/10.1007/s10278-025-01585-5")</f>
        <v>8978</v>
      </c>
      <c r="BL393" t="s" s="0">
        <v>81</v>
      </c>
      <c r="BM393" t="s" s="0">
        <v>733</v>
      </c>
      <c r="BN393" t="s" s="0">
        <v>210</v>
      </c>
      <c r="BO393" t="s" s="0">
        <v>738</v>
      </c>
      <c r="BP393" t="s" s="0">
        <v>738</v>
      </c>
      <c r="BQ393" t="s" s="0">
        <v>8979</v>
      </c>
      <c r="BR393" t="s" s="0">
        <v>8980</v>
      </c>
      <c r="BS393" t="s" s="0">
        <v>8981</v>
      </c>
      <c r="BT393" t="s" s="780">
        <f>HYPERLINK("https://www.webofscience.com/wos/woscc/full-record/WOS:001522747600001","View Record in Web of Science")</f>
        <v>114</v>
      </c>
      <c r="BU393" t="s" s="0">
        <v>3140</v>
      </c>
      <c r="BV393" t="s" s="0">
        <v>81</v>
      </c>
      <c r="BW393" t="s" s="0">
        <v>81</v>
      </c>
      <c r="BX393" t="s" s="0">
        <v>116</v>
      </c>
    </row>
    <row r="394">
      <c r="A394" t="s" s="0">
        <v>97</v>
      </c>
      <c r="B394" t="s" s="0">
        <v>77</v>
      </c>
      <c r="C394" t="s" s="0">
        <v>196</v>
      </c>
      <c r="D394" t="s" s="0">
        <v>77</v>
      </c>
      <c r="E394" t="s" s="0">
        <v>8982</v>
      </c>
      <c r="F394" t="s" s="0">
        <v>8983</v>
      </c>
      <c r="G394" t="s" s="0">
        <v>8984</v>
      </c>
      <c r="H394" t="s" s="0">
        <v>81</v>
      </c>
      <c r="I394" t="s" s="0">
        <v>82</v>
      </c>
      <c r="J394" t="s" s="0">
        <v>8985</v>
      </c>
      <c r="K394" t="s" s="0">
        <v>8986</v>
      </c>
      <c r="L394" t="s" s="0">
        <v>8987</v>
      </c>
      <c r="M394" t="s" s="0">
        <v>8988</v>
      </c>
      <c r="N394" t="s" s="0">
        <v>8989</v>
      </c>
      <c r="O394" t="s" s="0">
        <v>8990</v>
      </c>
      <c r="P394" t="s" s="0">
        <v>8991</v>
      </c>
      <c r="Q394" t="s" s="0">
        <v>87</v>
      </c>
      <c r="R394" t="s" s="0">
        <v>81</v>
      </c>
      <c r="S394" t="s" s="0">
        <v>81</v>
      </c>
      <c r="T394" t="s" s="0">
        <v>81</v>
      </c>
      <c r="U394" t="s" s="0">
        <v>81</v>
      </c>
      <c r="V394" t="s" s="0">
        <v>8992</v>
      </c>
      <c r="W394" t="s" s="0">
        <v>8993</v>
      </c>
      <c r="X394" t="s" s="0">
        <v>81</v>
      </c>
      <c r="Y394" t="s" s="0">
        <v>81</v>
      </c>
      <c r="Z394" t="s" s="0">
        <v>90</v>
      </c>
      <c r="AA394" t="s" s="0">
        <v>91</v>
      </c>
      <c r="AB394" t="s" s="0">
        <v>81</v>
      </c>
      <c r="AC394" t="s" s="0">
        <v>81</v>
      </c>
      <c r="AD394" t="s" s="0">
        <v>81</v>
      </c>
      <c r="AE394" t="s" s="0">
        <v>81</v>
      </c>
      <c r="AF394" t="s" s="0">
        <v>81</v>
      </c>
      <c r="AG394" t="s" s="0">
        <v>81</v>
      </c>
      <c r="AH394" t="s" s="0">
        <v>81</v>
      </c>
      <c r="AI394" t="s" s="0">
        <v>8994</v>
      </c>
      <c r="AJ394" t="s" s="0">
        <v>8995</v>
      </c>
      <c r="AK394" t="s" s="0">
        <v>81</v>
      </c>
      <c r="AL394" t="s" s="0">
        <v>344</v>
      </c>
      <c r="AM394" t="s" s="0">
        <v>191</v>
      </c>
      <c r="AN394" t="s" s="0">
        <v>104</v>
      </c>
      <c r="AO394" t="s" s="0">
        <v>156</v>
      </c>
      <c r="AP394" t="s" s="0">
        <v>381</v>
      </c>
      <c r="AQ394" t="s" s="0">
        <v>8996</v>
      </c>
      <c r="AR394" t="s" s="0">
        <v>8997</v>
      </c>
      <c r="AS394" t="s" s="0">
        <v>8998</v>
      </c>
      <c r="AT394" t="s" s="0">
        <v>8999</v>
      </c>
      <c r="AU394" t="s" s="0">
        <v>9000</v>
      </c>
      <c r="AV394" t="s" s="0">
        <v>81</v>
      </c>
      <c r="AW394" t="s" s="0">
        <v>8993</v>
      </c>
      <c r="AX394" t="s" s="0">
        <v>9001</v>
      </c>
      <c r="AY394" t="s" s="0">
        <v>733</v>
      </c>
      <c r="AZ394" t="s" s="0">
        <v>290</v>
      </c>
      <c r="BA394" t="s" s="0">
        <v>292</v>
      </c>
      <c r="BB394" t="s" s="0">
        <v>97</v>
      </c>
      <c r="BC394" t="s" s="0">
        <v>81</v>
      </c>
      <c r="BD394" t="s" s="0">
        <v>81</v>
      </c>
      <c r="BE394" t="s" s="0">
        <v>81</v>
      </c>
      <c r="BF394" t="s" s="0">
        <v>81</v>
      </c>
      <c r="BG394" t="s" s="0">
        <v>81</v>
      </c>
      <c r="BH394" t="s" s="0">
        <v>81</v>
      </c>
      <c r="BI394" t="s" s="0">
        <v>9002</v>
      </c>
      <c r="BJ394" t="s" s="0">
        <v>9003</v>
      </c>
      <c r="BK394" t="s" s="781">
        <f>HYPERLINK("http://dx.doi.org/10.1148/radiol.241629","http://dx.doi.org/10.1148/radiol.241629")</f>
        <v>9004</v>
      </c>
      <c r="BL394" t="s" s="0">
        <v>81</v>
      </c>
      <c r="BM394" t="s" s="0">
        <v>81</v>
      </c>
      <c r="BN394" t="s" s="0">
        <v>486</v>
      </c>
      <c r="BO394" t="s" s="0">
        <v>738</v>
      </c>
      <c r="BP394" t="s" s="0">
        <v>738</v>
      </c>
      <c r="BQ394" t="s" s="0">
        <v>9005</v>
      </c>
      <c r="BR394" t="s" s="0">
        <v>9006</v>
      </c>
      <c r="BS394" t="s" s="0">
        <v>9007</v>
      </c>
      <c r="BT394" t="s" s="782">
        <f>HYPERLINK("https://www.webofscience.com/wos/woscc/full-record/WOS:001532656500007","View Record in Web of Science")</f>
        <v>114</v>
      </c>
      <c r="BU394" t="s" s="0">
        <v>155</v>
      </c>
      <c r="BV394" t="s" s="0">
        <v>81</v>
      </c>
      <c r="BW394" t="s" s="0">
        <v>81</v>
      </c>
      <c r="BX394" t="s" s="0">
        <v>116</v>
      </c>
    </row>
    <row r="395">
      <c r="A395" t="s" s="0">
        <v>77</v>
      </c>
      <c r="B395" t="s" s="0">
        <v>77</v>
      </c>
      <c r="C395" t="s" s="0">
        <v>77</v>
      </c>
      <c r="D395" t="s" s="0">
        <v>77</v>
      </c>
      <c r="E395" t="s" s="0">
        <v>9008</v>
      </c>
      <c r="F395" t="s" s="0">
        <v>9009</v>
      </c>
      <c r="G395" t="s" s="0">
        <v>9010</v>
      </c>
      <c r="H395" t="s" s="0">
        <v>81</v>
      </c>
      <c r="I395" t="s" s="0">
        <v>82</v>
      </c>
      <c r="J395" t="s" s="0">
        <v>9011</v>
      </c>
      <c r="K395" t="s" s="0">
        <v>9012</v>
      </c>
      <c r="L395" t="s" s="0">
        <v>9013</v>
      </c>
      <c r="M395" t="s" s="0">
        <v>9014</v>
      </c>
      <c r="N395" t="s" s="0">
        <v>1459</v>
      </c>
      <c r="O395" t="s" s="0">
        <v>9015</v>
      </c>
      <c r="P395" t="s" s="0">
        <v>9016</v>
      </c>
      <c r="Q395" t="s" s="0">
        <v>87</v>
      </c>
      <c r="R395" t="s" s="0">
        <v>81</v>
      </c>
      <c r="S395" t="s" s="0">
        <v>81</v>
      </c>
      <c r="T395" t="s" s="0">
        <v>81</v>
      </c>
      <c r="U395" t="s" s="0">
        <v>81</v>
      </c>
      <c r="V395" t="s" s="0">
        <v>9017</v>
      </c>
      <c r="W395" t="s" s="0">
        <v>910</v>
      </c>
      <c r="X395" t="s" s="0">
        <v>81</v>
      </c>
      <c r="Y395" t="s" s="0">
        <v>81</v>
      </c>
      <c r="Z395" t="s" s="0">
        <v>90</v>
      </c>
      <c r="AA395" t="s" s="0">
        <v>91</v>
      </c>
      <c r="AB395" t="s" s="0">
        <v>81</v>
      </c>
      <c r="AC395" t="s" s="0">
        <v>81</v>
      </c>
      <c r="AD395" t="s" s="0">
        <v>81</v>
      </c>
      <c r="AE395" t="s" s="0">
        <v>81</v>
      </c>
      <c r="AF395" t="s" s="0">
        <v>81</v>
      </c>
      <c r="AG395" t="s" s="0">
        <v>9018</v>
      </c>
      <c r="AH395" t="s" s="0">
        <v>81</v>
      </c>
      <c r="AI395" t="s" s="0">
        <v>9019</v>
      </c>
      <c r="AJ395" t="s" s="0">
        <v>9020</v>
      </c>
      <c r="AK395" t="s" s="0">
        <v>81</v>
      </c>
      <c r="AL395" t="s" s="0">
        <v>228</v>
      </c>
      <c r="AM395" t="s" s="0">
        <v>77</v>
      </c>
      <c r="AN395" t="s" s="0">
        <v>77</v>
      </c>
      <c r="AO395" t="s" s="0">
        <v>97</v>
      </c>
      <c r="AP395" t="s" s="0">
        <v>97</v>
      </c>
      <c r="AQ395" t="s" s="0">
        <v>915</v>
      </c>
      <c r="AR395" t="s" s="0">
        <v>916</v>
      </c>
      <c r="AS395" t="s" s="0">
        <v>917</v>
      </c>
      <c r="AT395" t="s" s="0">
        <v>918</v>
      </c>
      <c r="AU395" t="s" s="0">
        <v>81</v>
      </c>
      <c r="AV395" t="s" s="0">
        <v>81</v>
      </c>
      <c r="AW395" t="s" s="0">
        <v>919</v>
      </c>
      <c r="AX395" t="s" s="0">
        <v>920</v>
      </c>
      <c r="AY395" t="s" s="0">
        <v>9021</v>
      </c>
      <c r="AZ395" t="s" s="0">
        <v>103</v>
      </c>
      <c r="BA395" t="s" s="0">
        <v>925</v>
      </c>
      <c r="BB395" t="s" s="0">
        <v>97</v>
      </c>
      <c r="BC395" t="s" s="0">
        <v>81</v>
      </c>
      <c r="BD395" t="s" s="0">
        <v>81</v>
      </c>
      <c r="BE395" t="s" s="0">
        <v>81</v>
      </c>
      <c r="BF395" t="s" s="0">
        <v>81</v>
      </c>
      <c r="BG395" t="s" s="0">
        <v>81</v>
      </c>
      <c r="BH395" t="s" s="0">
        <v>81</v>
      </c>
      <c r="BI395" t="s" s="0">
        <v>9022</v>
      </c>
      <c r="BJ395" t="s" s="0">
        <v>9023</v>
      </c>
      <c r="BK395" t="s" s="783">
        <f>HYPERLINK("http://dx.doi.org/10.1038/s41598-026-47879-8","http://dx.doi.org/10.1038/s41598-026-47879-8")</f>
        <v>9024</v>
      </c>
      <c r="BL395" t="s" s="0">
        <v>81</v>
      </c>
      <c r="BM395" t="s" s="0">
        <v>675</v>
      </c>
      <c r="BN395" t="s" s="0">
        <v>222</v>
      </c>
      <c r="BO395" t="s" s="0">
        <v>926</v>
      </c>
      <c r="BP395" t="s" s="0">
        <v>927</v>
      </c>
      <c r="BQ395" t="s" s="0">
        <v>9025</v>
      </c>
      <c r="BR395" t="s" s="0">
        <v>9026</v>
      </c>
      <c r="BS395" t="s" s="0">
        <v>9027</v>
      </c>
      <c r="BT395" t="s" s="784">
        <f>HYPERLINK("https://www.webofscience.com/wos/woscc/full-record/WOS:001771023800015","View Record in Web of Science")</f>
        <v>114</v>
      </c>
      <c r="BU395" t="s" s="0">
        <v>301</v>
      </c>
      <c r="BV395" t="s" s="0">
        <v>81</v>
      </c>
      <c r="BW395" t="s" s="0">
        <v>81</v>
      </c>
      <c r="BX395" t="s" s="0">
        <v>116</v>
      </c>
    </row>
    <row r="396">
      <c r="A396" t="s" s="0">
        <v>77</v>
      </c>
      <c r="B396" t="s" s="0">
        <v>77</v>
      </c>
      <c r="C396" t="s" s="0">
        <v>77</v>
      </c>
      <c r="D396" t="s" s="0">
        <v>77</v>
      </c>
      <c r="E396" t="s" s="0">
        <v>9028</v>
      </c>
      <c r="F396" t="s" s="0">
        <v>9029</v>
      </c>
      <c r="G396" t="s" s="0">
        <v>9030</v>
      </c>
      <c r="H396" t="s" s="0">
        <v>81</v>
      </c>
      <c r="I396" t="s" s="0">
        <v>82</v>
      </c>
      <c r="J396" t="s" s="0">
        <v>9031</v>
      </c>
      <c r="K396" t="s" s="0">
        <v>9032</v>
      </c>
      <c r="L396" t="s" s="0">
        <v>81</v>
      </c>
      <c r="M396" t="s" s="0">
        <v>81</v>
      </c>
      <c r="N396" t="s" s="0">
        <v>81</v>
      </c>
      <c r="O396" t="s" s="0">
        <v>9033</v>
      </c>
      <c r="P396" t="s" s="0">
        <v>81</v>
      </c>
      <c r="Q396" t="s" s="0">
        <v>87</v>
      </c>
      <c r="R396" t="s" s="0">
        <v>81</v>
      </c>
      <c r="S396" t="s" s="0">
        <v>81</v>
      </c>
      <c r="T396" t="s" s="0">
        <v>81</v>
      </c>
      <c r="U396" t="s" s="0">
        <v>81</v>
      </c>
      <c r="V396" t="s" s="0">
        <v>9034</v>
      </c>
      <c r="W396" t="s" s="0">
        <v>9035</v>
      </c>
      <c r="X396" t="s" s="0">
        <v>81</v>
      </c>
      <c r="Y396" t="s" s="0">
        <v>81</v>
      </c>
      <c r="Z396" t="s" s="0">
        <v>90</v>
      </c>
      <c r="AA396" t="s" s="0">
        <v>91</v>
      </c>
      <c r="AB396" t="s" s="0">
        <v>81</v>
      </c>
      <c r="AC396" t="s" s="0">
        <v>81</v>
      </c>
      <c r="AD396" t="s" s="0">
        <v>81</v>
      </c>
      <c r="AE396" t="s" s="0">
        <v>81</v>
      </c>
      <c r="AF396" t="s" s="0">
        <v>81</v>
      </c>
      <c r="AG396" t="s" s="0">
        <v>9036</v>
      </c>
      <c r="AH396" t="s" s="0">
        <v>81</v>
      </c>
      <c r="AI396" t="s" s="0">
        <v>81</v>
      </c>
      <c r="AJ396" t="s" s="0">
        <v>81</v>
      </c>
      <c r="AK396" t="s" s="0">
        <v>81</v>
      </c>
      <c r="AL396" t="s" s="0">
        <v>176</v>
      </c>
      <c r="AM396" t="s" s="0">
        <v>97</v>
      </c>
      <c r="AN396" t="s" s="0">
        <v>97</v>
      </c>
      <c r="AO396" t="s" s="0">
        <v>97</v>
      </c>
      <c r="AP396" t="s" s="0">
        <v>97</v>
      </c>
      <c r="AQ396" t="s" s="0">
        <v>9037</v>
      </c>
      <c r="AR396" t="s" s="0">
        <v>9038</v>
      </c>
      <c r="AS396" t="s" s="0">
        <v>9039</v>
      </c>
      <c r="AT396" t="s" s="0">
        <v>9040</v>
      </c>
      <c r="AU396" t="s" s="0">
        <v>9041</v>
      </c>
      <c r="AV396" t="s" s="0">
        <v>81</v>
      </c>
      <c r="AW396" t="s" s="0">
        <v>9042</v>
      </c>
      <c r="AX396" t="s" s="0">
        <v>9043</v>
      </c>
      <c r="AY396" t="s" s="0">
        <v>143</v>
      </c>
      <c r="AZ396" t="s" s="0">
        <v>103</v>
      </c>
      <c r="BA396" t="s" s="0">
        <v>295</v>
      </c>
      <c r="BB396" t="s" s="0">
        <v>196</v>
      </c>
      <c r="BC396" t="s" s="0">
        <v>81</v>
      </c>
      <c r="BD396" t="s" s="0">
        <v>81</v>
      </c>
      <c r="BE396" t="s" s="0">
        <v>81</v>
      </c>
      <c r="BF396" t="s" s="0">
        <v>81</v>
      </c>
      <c r="BG396" t="s" s="0">
        <v>9044</v>
      </c>
      <c r="BH396" t="s" s="0">
        <v>9045</v>
      </c>
      <c r="BI396" t="s" s="0">
        <v>81</v>
      </c>
      <c r="BJ396" t="s" s="0">
        <v>9046</v>
      </c>
      <c r="BK396" t="s" s="785">
        <f>HYPERLINK("http://dx.doi.org/10.12989/anr.2026.20.3.361","http://dx.doi.org/10.12989/anr.2026.20.3.361")</f>
        <v>9047</v>
      </c>
      <c r="BL396" t="s" s="0">
        <v>81</v>
      </c>
      <c r="BM396" t="s" s="0">
        <v>81</v>
      </c>
      <c r="BN396" t="s" s="0">
        <v>367</v>
      </c>
      <c r="BO396" t="s" s="0">
        <v>9048</v>
      </c>
      <c r="BP396" t="s" s="0">
        <v>3368</v>
      </c>
      <c r="BQ396" t="s" s="0">
        <v>9049</v>
      </c>
      <c r="BR396" t="s" s="0">
        <v>81</v>
      </c>
      <c r="BS396" t="s" s="0">
        <v>9050</v>
      </c>
      <c r="BT396" t="s" s="786">
        <f>HYPERLINK("https://www.webofscience.com/wos/woscc/full-record/WOS:001733577200004","View Record in Web of Science")</f>
        <v>114</v>
      </c>
      <c r="BU396" t="s" s="0">
        <v>81</v>
      </c>
      <c r="BV396" t="s" s="0">
        <v>81</v>
      </c>
      <c r="BW396" t="s" s="0">
        <v>81</v>
      </c>
      <c r="BX396" t="s" s="0">
        <v>116</v>
      </c>
    </row>
    <row r="397">
      <c r="A397" t="s" s="0">
        <v>77</v>
      </c>
      <c r="B397" t="s" s="0">
        <v>77</v>
      </c>
      <c r="C397" t="s" s="0">
        <v>97</v>
      </c>
      <c r="D397" t="s" s="0">
        <v>77</v>
      </c>
      <c r="E397" t="s" s="0">
        <v>9051</v>
      </c>
      <c r="F397" t="s" s="0">
        <v>9052</v>
      </c>
      <c r="G397" t="s" s="0">
        <v>9053</v>
      </c>
      <c r="H397" t="s" s="0">
        <v>81</v>
      </c>
      <c r="I397" t="s" s="0">
        <v>238</v>
      </c>
      <c r="J397" t="s" s="0">
        <v>9054</v>
      </c>
      <c r="K397" t="s" s="0">
        <v>9055</v>
      </c>
      <c r="L397" t="s" s="0">
        <v>9056</v>
      </c>
      <c r="M397" t="s" s="0">
        <v>9056</v>
      </c>
      <c r="N397" t="s" s="0">
        <v>9057</v>
      </c>
      <c r="O397" t="s" s="0">
        <v>9058</v>
      </c>
      <c r="P397" t="s" s="0">
        <v>9059</v>
      </c>
      <c r="Q397" t="s" s="0">
        <v>87</v>
      </c>
      <c r="R397" t="s" s="0">
        <v>81</v>
      </c>
      <c r="S397" t="s" s="0">
        <v>81</v>
      </c>
      <c r="T397" t="s" s="0">
        <v>81</v>
      </c>
      <c r="U397" t="s" s="0">
        <v>81</v>
      </c>
      <c r="V397" t="s" s="0">
        <v>9060</v>
      </c>
      <c r="W397" t="s" s="0">
        <v>9061</v>
      </c>
      <c r="X397" t="s" s="0">
        <v>81</v>
      </c>
      <c r="Y397" t="s" s="0">
        <v>81</v>
      </c>
      <c r="Z397" t="s" s="0">
        <v>90</v>
      </c>
      <c r="AA397" t="s" s="0">
        <v>91</v>
      </c>
      <c r="AB397" t="s" s="0">
        <v>81</v>
      </c>
      <c r="AC397" t="s" s="0">
        <v>81</v>
      </c>
      <c r="AD397" t="s" s="0">
        <v>81</v>
      </c>
      <c r="AE397" t="s" s="0">
        <v>81</v>
      </c>
      <c r="AF397" t="s" s="0">
        <v>81</v>
      </c>
      <c r="AG397" t="s" s="0">
        <v>81</v>
      </c>
      <c r="AH397" t="s" s="0">
        <v>9062</v>
      </c>
      <c r="AI397" t="s" s="0">
        <v>9063</v>
      </c>
      <c r="AJ397" t="s" s="0">
        <v>9064</v>
      </c>
      <c r="AK397" t="s" s="0">
        <v>81</v>
      </c>
      <c r="AL397" t="s" s="0">
        <v>1047</v>
      </c>
      <c r="AM397" t="s" s="0">
        <v>295</v>
      </c>
      <c r="AN397" t="s" s="0">
        <v>210</v>
      </c>
      <c r="AO397" t="s" s="0">
        <v>77</v>
      </c>
      <c r="AP397" t="s" s="0">
        <v>316</v>
      </c>
      <c r="AQ397" t="s" s="0">
        <v>3016</v>
      </c>
      <c r="AR397" t="s" s="0">
        <v>546</v>
      </c>
      <c r="AS397" t="s" s="0">
        <v>3017</v>
      </c>
      <c r="AT397" t="s" s="0">
        <v>9065</v>
      </c>
      <c r="AU397" t="s" s="0">
        <v>81</v>
      </c>
      <c r="AV397" t="s" s="0">
        <v>81</v>
      </c>
      <c r="AW397" t="s" s="0">
        <v>9066</v>
      </c>
      <c r="AX397" t="s" s="0">
        <v>9067</v>
      </c>
      <c r="AY397" t="s" s="0">
        <v>9068</v>
      </c>
      <c r="AZ397" t="s" s="0">
        <v>290</v>
      </c>
      <c r="BA397" t="s" s="0">
        <v>133</v>
      </c>
      <c r="BB397" t="s" s="0">
        <v>97</v>
      </c>
      <c r="BC397" t="s" s="0">
        <v>81</v>
      </c>
      <c r="BD397" t="s" s="0">
        <v>81</v>
      </c>
      <c r="BE397" t="s" s="0">
        <v>81</v>
      </c>
      <c r="BF397" t="s" s="0">
        <v>81</v>
      </c>
      <c r="BG397" t="s" s="0">
        <v>81</v>
      </c>
      <c r="BH397" t="s" s="0">
        <v>81</v>
      </c>
      <c r="BI397" t="s" s="0">
        <v>97</v>
      </c>
      <c r="BJ397" t="s" s="0">
        <v>9069</v>
      </c>
      <c r="BK397" t="s" s="787">
        <f>HYPERLINK("http://dx.doi.org/10.1038/s43856-024-00726-1","http://dx.doi.org/10.1038/s43856-024-00726-1")</f>
        <v>9070</v>
      </c>
      <c r="BL397" t="s" s="0">
        <v>81</v>
      </c>
      <c r="BM397" t="s" s="0">
        <v>81</v>
      </c>
      <c r="BN397" t="s" s="0">
        <v>874</v>
      </c>
      <c r="BO397" t="s" s="0">
        <v>5125</v>
      </c>
      <c r="BP397" t="s" s="0">
        <v>5126</v>
      </c>
      <c r="BQ397" t="s" s="0">
        <v>9071</v>
      </c>
      <c r="BR397" t="s" s="0">
        <v>9072</v>
      </c>
      <c r="BS397" t="s" s="0">
        <v>9073</v>
      </c>
      <c r="BT397" t="s" s="788">
        <f>HYPERLINK("https://www.webofscience.com/wos/woscc/full-record/WOS:001389169600001","View Record in Web of Science")</f>
        <v>114</v>
      </c>
      <c r="BU397" t="s" s="0">
        <v>301</v>
      </c>
      <c r="BV397" t="s" s="0">
        <v>81</v>
      </c>
      <c r="BW397" t="s" s="0">
        <v>81</v>
      </c>
      <c r="BX397" t="s" s="0">
        <v>116</v>
      </c>
    </row>
    <row r="398">
      <c r="A398" t="s" s="0">
        <v>97</v>
      </c>
      <c r="B398" t="s" s="0">
        <v>77</v>
      </c>
      <c r="C398" t="s" s="0">
        <v>381</v>
      </c>
      <c r="D398" t="s" s="0">
        <v>77</v>
      </c>
      <c r="E398" t="s" s="0">
        <v>9074</v>
      </c>
      <c r="F398" t="s" s="0">
        <v>9075</v>
      </c>
      <c r="G398" t="s" s="0">
        <v>9076</v>
      </c>
      <c r="H398" t="s" s="0">
        <v>81</v>
      </c>
      <c r="I398" t="s" s="0">
        <v>82</v>
      </c>
      <c r="J398" t="s" s="0">
        <v>9077</v>
      </c>
      <c r="K398" t="s" s="0">
        <v>9078</v>
      </c>
      <c r="L398" t="s" s="0">
        <v>9079</v>
      </c>
      <c r="M398" t="s" s="0">
        <v>9080</v>
      </c>
      <c r="N398" t="s" s="0">
        <v>9081</v>
      </c>
      <c r="O398" t="s" s="0">
        <v>9082</v>
      </c>
      <c r="P398" t="s" s="0">
        <v>9083</v>
      </c>
      <c r="Q398" t="s" s="0">
        <v>87</v>
      </c>
      <c r="R398" t="s" s="0">
        <v>81</v>
      </c>
      <c r="S398" t="s" s="0">
        <v>81</v>
      </c>
      <c r="T398" t="s" s="0">
        <v>81</v>
      </c>
      <c r="U398" t="s" s="0">
        <v>81</v>
      </c>
      <c r="V398" t="s" s="0">
        <v>9084</v>
      </c>
      <c r="W398" t="s" s="0">
        <v>4424</v>
      </c>
      <c r="X398" t="s" s="0">
        <v>81</v>
      </c>
      <c r="Y398" t="s" s="0">
        <v>81</v>
      </c>
      <c r="Z398" t="s" s="0">
        <v>90</v>
      </c>
      <c r="AA398" t="s" s="0">
        <v>91</v>
      </c>
      <c r="AB398" t="s" s="0">
        <v>81</v>
      </c>
      <c r="AC398" t="s" s="0">
        <v>81</v>
      </c>
      <c r="AD398" t="s" s="0">
        <v>81</v>
      </c>
      <c r="AE398" t="s" s="0">
        <v>81</v>
      </c>
      <c r="AF398" t="s" s="0">
        <v>81</v>
      </c>
      <c r="AG398" t="s" s="0">
        <v>81</v>
      </c>
      <c r="AH398" t="s" s="0">
        <v>9085</v>
      </c>
      <c r="AI398" t="s" s="0">
        <v>9086</v>
      </c>
      <c r="AJ398" t="s" s="0">
        <v>9087</v>
      </c>
      <c r="AK398" t="s" s="0">
        <v>81</v>
      </c>
      <c r="AL398" t="s" s="0">
        <v>3518</v>
      </c>
      <c r="AM398" t="s" s="0">
        <v>222</v>
      </c>
      <c r="AN398" t="s" s="0">
        <v>874</v>
      </c>
      <c r="AO398" t="s" s="0">
        <v>316</v>
      </c>
      <c r="AP398" t="s" s="0">
        <v>295</v>
      </c>
      <c r="AQ398" t="s" s="0">
        <v>915</v>
      </c>
      <c r="AR398" t="s" s="0">
        <v>916</v>
      </c>
      <c r="AS398" t="s" s="0">
        <v>917</v>
      </c>
      <c r="AT398" t="s" s="0">
        <v>4426</v>
      </c>
      <c r="AU398" t="s" s="0">
        <v>81</v>
      </c>
      <c r="AV398" t="s" s="0">
        <v>81</v>
      </c>
      <c r="AW398" t="s" s="0">
        <v>4427</v>
      </c>
      <c r="AX398" t="s" s="0">
        <v>4428</v>
      </c>
      <c r="AY398" t="s" s="0">
        <v>9088</v>
      </c>
      <c r="AZ398" t="s" s="0">
        <v>290</v>
      </c>
      <c r="BA398" t="s" s="0">
        <v>381</v>
      </c>
      <c r="BB398" t="s" s="0">
        <v>97</v>
      </c>
      <c r="BC398" t="s" s="0">
        <v>81</v>
      </c>
      <c r="BD398" t="s" s="0">
        <v>81</v>
      </c>
      <c r="BE398" t="s" s="0">
        <v>81</v>
      </c>
      <c r="BF398" t="s" s="0">
        <v>81</v>
      </c>
      <c r="BG398" t="s" s="0">
        <v>81</v>
      </c>
      <c r="BH398" t="s" s="0">
        <v>81</v>
      </c>
      <c r="BI398" t="s" s="0">
        <v>109</v>
      </c>
      <c r="BJ398" t="s" s="0">
        <v>9089</v>
      </c>
      <c r="BK398" t="s" s="789">
        <f>HYPERLINK("http://dx.doi.org/10.1038/s41746-024-01428-7","http://dx.doi.org/10.1038/s41746-024-01428-7")</f>
        <v>9090</v>
      </c>
      <c r="BL398" t="s" s="0">
        <v>81</v>
      </c>
      <c r="BM398" t="s" s="0">
        <v>81</v>
      </c>
      <c r="BN398" t="s" s="0">
        <v>191</v>
      </c>
      <c r="BO398" t="s" s="0">
        <v>792</v>
      </c>
      <c r="BP398" t="s" s="0">
        <v>792</v>
      </c>
      <c r="BQ398" t="s" s="0">
        <v>9091</v>
      </c>
      <c r="BR398" t="s" s="0">
        <v>9092</v>
      </c>
      <c r="BS398" t="s" s="0">
        <v>9093</v>
      </c>
      <c r="BT398" t="s" s="790">
        <f>HYPERLINK("https://www.webofscience.com/wos/woscc/full-record/WOS:001395645100001","View Record in Web of Science")</f>
        <v>114</v>
      </c>
      <c r="BU398" t="s" s="0">
        <v>270</v>
      </c>
      <c r="BV398" t="s" s="0">
        <v>81</v>
      </c>
      <c r="BW398" t="s" s="0">
        <v>81</v>
      </c>
      <c r="BX398" t="s" s="0">
        <v>116</v>
      </c>
    </row>
    <row r="399">
      <c r="A399" t="s" s="0">
        <v>77</v>
      </c>
      <c r="B399" t="s" s="0">
        <v>77</v>
      </c>
      <c r="C399" t="s" s="0">
        <v>77</v>
      </c>
      <c r="D399" t="s" s="0">
        <v>77</v>
      </c>
      <c r="E399" t="s" s="0">
        <v>9094</v>
      </c>
      <c r="F399" t="s" s="0">
        <v>9095</v>
      </c>
      <c r="G399" t="s" s="0">
        <v>9096</v>
      </c>
      <c r="H399" t="s" s="0">
        <v>81</v>
      </c>
      <c r="I399" t="s" s="0">
        <v>82</v>
      </c>
      <c r="J399" t="s" s="0">
        <v>9097</v>
      </c>
      <c r="K399" t="s" s="0">
        <v>9098</v>
      </c>
      <c r="L399" t="s" s="0">
        <v>81</v>
      </c>
      <c r="M399" t="s" s="0">
        <v>81</v>
      </c>
      <c r="N399" t="s" s="0">
        <v>81</v>
      </c>
      <c r="O399" t="s" s="0">
        <v>9099</v>
      </c>
      <c r="P399" t="s" s="0">
        <v>9100</v>
      </c>
      <c r="Q399" t="s" s="0">
        <v>87</v>
      </c>
      <c r="R399" t="s" s="0">
        <v>81</v>
      </c>
      <c r="S399" t="s" s="0">
        <v>81</v>
      </c>
      <c r="T399" t="s" s="0">
        <v>81</v>
      </c>
      <c r="U399" t="s" s="0">
        <v>81</v>
      </c>
      <c r="V399" t="s" s="0">
        <v>9101</v>
      </c>
      <c r="W399" t="s" s="0">
        <v>89</v>
      </c>
      <c r="X399" t="s" s="0">
        <v>81</v>
      </c>
      <c r="Y399" t="s" s="0">
        <v>81</v>
      </c>
      <c r="Z399" t="s" s="0">
        <v>90</v>
      </c>
      <c r="AA399" t="s" s="0">
        <v>91</v>
      </c>
      <c r="AB399" t="s" s="0">
        <v>81</v>
      </c>
      <c r="AC399" t="s" s="0">
        <v>81</v>
      </c>
      <c r="AD399" t="s" s="0">
        <v>81</v>
      </c>
      <c r="AE399" t="s" s="0">
        <v>81</v>
      </c>
      <c r="AF399" t="s" s="0">
        <v>81</v>
      </c>
      <c r="AG399" t="s" s="0">
        <v>9102</v>
      </c>
      <c r="AH399" t="s" s="0">
        <v>81</v>
      </c>
      <c r="AI399" t="s" s="0">
        <v>9103</v>
      </c>
      <c r="AJ399" t="s" s="0">
        <v>81</v>
      </c>
      <c r="AK399" t="s" s="0">
        <v>81</v>
      </c>
      <c r="AL399" t="s" s="0">
        <v>5451</v>
      </c>
      <c r="AM399" t="s" s="0">
        <v>133</v>
      </c>
      <c r="AN399" t="s" s="0">
        <v>234</v>
      </c>
      <c r="AO399" t="s" s="0">
        <v>196</v>
      </c>
      <c r="AP399" t="s" s="0">
        <v>874</v>
      </c>
      <c r="AQ399" t="s" s="0">
        <v>98</v>
      </c>
      <c r="AR399" t="s" s="0">
        <v>99</v>
      </c>
      <c r="AS399" t="s" s="0">
        <v>100</v>
      </c>
      <c r="AT399" t="s" s="0">
        <v>101</v>
      </c>
      <c r="AU399" t="s" s="0">
        <v>81</v>
      </c>
      <c r="AV399" t="s" s="0">
        <v>81</v>
      </c>
      <c r="AW399" t="s" s="0">
        <v>89</v>
      </c>
      <c r="AX399" t="s" s="0">
        <v>102</v>
      </c>
      <c r="AY399" t="s" s="0">
        <v>185</v>
      </c>
      <c r="AZ399" t="s" s="0">
        <v>185</v>
      </c>
      <c r="BA399" t="s" s="0">
        <v>134</v>
      </c>
      <c r="BB399" t="s" s="0">
        <v>81</v>
      </c>
      <c r="BC399" t="s" s="0">
        <v>81</v>
      </c>
      <c r="BD399" t="s" s="0">
        <v>81</v>
      </c>
      <c r="BE399" t="s" s="0">
        <v>81</v>
      </c>
      <c r="BF399" t="s" s="0">
        <v>81</v>
      </c>
      <c r="BG399" t="s" s="0">
        <v>9104</v>
      </c>
      <c r="BH399" t="s" s="0">
        <v>9105</v>
      </c>
      <c r="BI399" t="s" s="0">
        <v>81</v>
      </c>
      <c r="BJ399" t="s" s="0">
        <v>9106</v>
      </c>
      <c r="BK399" t="s" s="791">
        <f>HYPERLINK("http://dx.doi.org/10.1109/ACCESS.2024.3375763","http://dx.doi.org/10.1109/ACCESS.2024.3375763")</f>
        <v>9107</v>
      </c>
      <c r="BL399" t="s" s="0">
        <v>81</v>
      </c>
      <c r="BM399" t="s" s="0">
        <v>81</v>
      </c>
      <c r="BN399" t="s" s="0">
        <v>291</v>
      </c>
      <c r="BO399" t="s" s="0">
        <v>110</v>
      </c>
      <c r="BP399" t="s" s="0">
        <v>111</v>
      </c>
      <c r="BQ399" t="s" s="0">
        <v>9108</v>
      </c>
      <c r="BR399" t="s" s="0">
        <v>81</v>
      </c>
      <c r="BS399" t="s" s="0">
        <v>9109</v>
      </c>
      <c r="BT399" t="s" s="792">
        <f>HYPERLINK("https://www.webofscience.com/wos/woscc/full-record/WOS:001189744100001","View Record in Web of Science")</f>
        <v>114</v>
      </c>
      <c r="BU399" t="s" s="0">
        <v>301</v>
      </c>
      <c r="BV399" t="s" s="0">
        <v>81</v>
      </c>
      <c r="BW399" t="s" s="0">
        <v>81</v>
      </c>
      <c r="BX399" t="s" s="0">
        <v>116</v>
      </c>
    </row>
    <row r="400">
      <c r="A400" t="s" s="0">
        <v>77</v>
      </c>
      <c r="B400" t="s" s="0">
        <v>77</v>
      </c>
      <c r="C400" t="s" s="0">
        <v>77</v>
      </c>
      <c r="D400" t="s" s="0">
        <v>77</v>
      </c>
      <c r="E400" t="s" s="0">
        <v>9110</v>
      </c>
      <c r="F400" t="s" s="0">
        <v>9111</v>
      </c>
      <c r="G400" t="s" s="0">
        <v>9112</v>
      </c>
      <c r="H400" t="s" s="0">
        <v>81</v>
      </c>
      <c r="I400" t="s" s="0">
        <v>82</v>
      </c>
      <c r="J400" t="s" s="0">
        <v>9113</v>
      </c>
      <c r="K400" t="s" s="0">
        <v>9114</v>
      </c>
      <c r="L400" t="s" s="0">
        <v>81</v>
      </c>
      <c r="M400" t="s" s="0">
        <v>81</v>
      </c>
      <c r="N400" t="s" s="0">
        <v>81</v>
      </c>
      <c r="O400" t="s" s="0">
        <v>9115</v>
      </c>
      <c r="P400" t="s" s="0">
        <v>9116</v>
      </c>
      <c r="Q400" t="s" s="0">
        <v>87</v>
      </c>
      <c r="R400" t="s" s="0">
        <v>81</v>
      </c>
      <c r="S400" t="s" s="0">
        <v>81</v>
      </c>
      <c r="T400" t="s" s="0">
        <v>81</v>
      </c>
      <c r="U400" t="s" s="0">
        <v>81</v>
      </c>
      <c r="V400" t="s" s="0">
        <v>9117</v>
      </c>
      <c r="W400" t="s" s="0">
        <v>9118</v>
      </c>
      <c r="X400" t="s" s="0">
        <v>81</v>
      </c>
      <c r="Y400" t="s" s="0">
        <v>81</v>
      </c>
      <c r="Z400" t="s" s="0">
        <v>90</v>
      </c>
      <c r="AA400" t="s" s="0">
        <v>91</v>
      </c>
      <c r="AB400" t="s" s="0">
        <v>81</v>
      </c>
      <c r="AC400" t="s" s="0">
        <v>81</v>
      </c>
      <c r="AD400" t="s" s="0">
        <v>81</v>
      </c>
      <c r="AE400" t="s" s="0">
        <v>81</v>
      </c>
      <c r="AF400" t="s" s="0">
        <v>81</v>
      </c>
      <c r="AG400" t="s" s="0">
        <v>9119</v>
      </c>
      <c r="AH400" t="s" s="0">
        <v>9120</v>
      </c>
      <c r="AI400" t="s" s="0">
        <v>9121</v>
      </c>
      <c r="AJ400" t="s" s="0">
        <v>9122</v>
      </c>
      <c r="AK400" t="s" s="0">
        <v>81</v>
      </c>
      <c r="AL400" t="s" s="0">
        <v>1374</v>
      </c>
      <c r="AM400" t="s" s="0">
        <v>77</v>
      </c>
      <c r="AN400" t="s" s="0">
        <v>77</v>
      </c>
      <c r="AO400" t="s" s="0">
        <v>97</v>
      </c>
      <c r="AP400" t="s" s="0">
        <v>97</v>
      </c>
      <c r="AQ400" t="s" s="0">
        <v>136</v>
      </c>
      <c r="AR400" t="s" s="0">
        <v>137</v>
      </c>
      <c r="AS400" t="s" s="0">
        <v>138</v>
      </c>
      <c r="AT400" t="s" s="0">
        <v>9123</v>
      </c>
      <c r="AU400" t="s" s="0">
        <v>9124</v>
      </c>
      <c r="AV400" t="s" s="0">
        <v>81</v>
      </c>
      <c r="AW400" t="s" s="0">
        <v>9125</v>
      </c>
      <c r="AX400" t="s" s="0">
        <v>9126</v>
      </c>
      <c r="AY400" t="s" s="0">
        <v>675</v>
      </c>
      <c r="AZ400" t="s" s="0">
        <v>103</v>
      </c>
      <c r="BA400" t="s" s="0">
        <v>9127</v>
      </c>
      <c r="BB400" t="s" s="0">
        <v>81</v>
      </c>
      <c r="BC400" t="s" s="0">
        <v>81</v>
      </c>
      <c r="BD400" t="s" s="0">
        <v>81</v>
      </c>
      <c r="BE400" t="s" s="0">
        <v>81</v>
      </c>
      <c r="BF400" t="s" s="0">
        <v>81</v>
      </c>
      <c r="BG400" t="s" s="0">
        <v>81</v>
      </c>
      <c r="BH400" t="s" s="0">
        <v>81</v>
      </c>
      <c r="BI400" t="s" s="0">
        <v>9128</v>
      </c>
      <c r="BJ400" t="s" s="0">
        <v>9129</v>
      </c>
      <c r="BK400" t="s" s="793">
        <f>HYPERLINK("http://dx.doi.org/10.1016/j.imavis.2026.105956","http://dx.doi.org/10.1016/j.imavis.2026.105956")</f>
        <v>9130</v>
      </c>
      <c r="BL400" t="s" s="0">
        <v>81</v>
      </c>
      <c r="BM400" t="s" s="0">
        <v>81</v>
      </c>
      <c r="BN400" t="s" s="0">
        <v>486</v>
      </c>
      <c r="BO400" t="s" s="0">
        <v>9131</v>
      </c>
      <c r="BP400" t="s" s="0">
        <v>9132</v>
      </c>
      <c r="BQ400" t="s" s="0">
        <v>9133</v>
      </c>
      <c r="BR400" t="s" s="0">
        <v>81</v>
      </c>
      <c r="BS400" t="s" s="0">
        <v>9134</v>
      </c>
      <c r="BT400" t="s" s="794">
        <f>HYPERLINK("https://www.webofscience.com/wos/woscc/full-record/WOS:001716670400001","View Record in Web of Science")</f>
        <v>114</v>
      </c>
      <c r="BU400" t="s" s="0">
        <v>81</v>
      </c>
      <c r="BV400" t="s" s="0">
        <v>81</v>
      </c>
      <c r="BW400" t="s" s="0">
        <v>81</v>
      </c>
      <c r="BX400" t="s" s="0">
        <v>116</v>
      </c>
    </row>
    <row r="401">
      <c r="A401" t="s" s="0">
        <v>77</v>
      </c>
      <c r="B401" t="s" s="0">
        <v>77</v>
      </c>
      <c r="C401" t="s" s="0">
        <v>77</v>
      </c>
      <c r="D401" t="s" s="0">
        <v>77</v>
      </c>
      <c r="E401" t="s" s="0">
        <v>9135</v>
      </c>
      <c r="F401" t="s" s="0">
        <v>9136</v>
      </c>
      <c r="G401" t="s" s="0">
        <v>9137</v>
      </c>
      <c r="H401" t="s" s="0">
        <v>81</v>
      </c>
      <c r="I401" t="s" s="0">
        <v>82</v>
      </c>
      <c r="J401" t="s" s="0">
        <v>9138</v>
      </c>
      <c r="K401" t="s" s="0">
        <v>9139</v>
      </c>
      <c r="L401" t="s" s="0">
        <v>9140</v>
      </c>
      <c r="M401" t="s" s="0">
        <v>9141</v>
      </c>
      <c r="N401" t="s" s="0">
        <v>9142</v>
      </c>
      <c r="O401" t="s" s="0">
        <v>9143</v>
      </c>
      <c r="P401" t="s" s="0">
        <v>9144</v>
      </c>
      <c r="Q401" t="s" s="0">
        <v>87</v>
      </c>
      <c r="R401" t="s" s="0">
        <v>81</v>
      </c>
      <c r="S401" t="s" s="0">
        <v>81</v>
      </c>
      <c r="T401" t="s" s="0">
        <v>81</v>
      </c>
      <c r="U401" t="s" s="0">
        <v>81</v>
      </c>
      <c r="V401" t="s" s="0">
        <v>9145</v>
      </c>
      <c r="W401" t="s" s="0">
        <v>89</v>
      </c>
      <c r="X401" t="s" s="0">
        <v>81</v>
      </c>
      <c r="Y401" t="s" s="0">
        <v>81</v>
      </c>
      <c r="Z401" t="s" s="0">
        <v>90</v>
      </c>
      <c r="AA401" t="s" s="0">
        <v>91</v>
      </c>
      <c r="AB401" t="s" s="0">
        <v>81</v>
      </c>
      <c r="AC401" t="s" s="0">
        <v>81</v>
      </c>
      <c r="AD401" t="s" s="0">
        <v>81</v>
      </c>
      <c r="AE401" t="s" s="0">
        <v>81</v>
      </c>
      <c r="AF401" t="s" s="0">
        <v>81</v>
      </c>
      <c r="AG401" t="s" s="0">
        <v>9146</v>
      </c>
      <c r="AH401" t="s" s="0">
        <v>9147</v>
      </c>
      <c r="AI401" t="s" s="0">
        <v>9148</v>
      </c>
      <c r="AJ401" t="s" s="0">
        <v>9149</v>
      </c>
      <c r="AK401" t="s" s="0">
        <v>81</v>
      </c>
      <c r="AL401" t="s" s="0">
        <v>1762</v>
      </c>
      <c r="AM401" t="s" s="0">
        <v>77</v>
      </c>
      <c r="AN401" t="s" s="0">
        <v>77</v>
      </c>
      <c r="AO401" t="s" s="0">
        <v>97</v>
      </c>
      <c r="AP401" t="s" s="0">
        <v>97</v>
      </c>
      <c r="AQ401" t="s" s="0">
        <v>98</v>
      </c>
      <c r="AR401" t="s" s="0">
        <v>99</v>
      </c>
      <c r="AS401" t="s" s="0">
        <v>100</v>
      </c>
      <c r="AT401" t="s" s="0">
        <v>101</v>
      </c>
      <c r="AU401" t="s" s="0">
        <v>81</v>
      </c>
      <c r="AV401" t="s" s="0">
        <v>81</v>
      </c>
      <c r="AW401" t="s" s="0">
        <v>89</v>
      </c>
      <c r="AX401" t="s" s="0">
        <v>102</v>
      </c>
      <c r="AY401" t="s" s="0">
        <v>103</v>
      </c>
      <c r="AZ401" t="s" s="0">
        <v>103</v>
      </c>
      <c r="BA401" t="s" s="0">
        <v>104</v>
      </c>
      <c r="BB401" t="s" s="0">
        <v>81</v>
      </c>
      <c r="BC401" t="s" s="0">
        <v>81</v>
      </c>
      <c r="BD401" t="s" s="0">
        <v>81</v>
      </c>
      <c r="BE401" t="s" s="0">
        <v>81</v>
      </c>
      <c r="BF401" t="s" s="0">
        <v>81</v>
      </c>
      <c r="BG401" t="s" s="0">
        <v>9150</v>
      </c>
      <c r="BH401" t="s" s="0">
        <v>9151</v>
      </c>
      <c r="BI401" t="s" s="0">
        <v>81</v>
      </c>
      <c r="BJ401" t="s" s="0">
        <v>9152</v>
      </c>
      <c r="BK401" t="s" s="795">
        <f>HYPERLINK("http://dx.doi.org/10.1109/ACCESS.2026.3659151","http://dx.doi.org/10.1109/ACCESS.2026.3659151")</f>
        <v>9153</v>
      </c>
      <c r="BL401" t="s" s="0">
        <v>81</v>
      </c>
      <c r="BM401" t="s" s="0">
        <v>81</v>
      </c>
      <c r="BN401" t="s" s="0">
        <v>485</v>
      </c>
      <c r="BO401" t="s" s="0">
        <v>110</v>
      </c>
      <c r="BP401" t="s" s="0">
        <v>111</v>
      </c>
      <c r="BQ401" t="s" s="0">
        <v>9154</v>
      </c>
      <c r="BR401" t="s" s="0">
        <v>81</v>
      </c>
      <c r="BS401" t="s" s="0">
        <v>9155</v>
      </c>
      <c r="BT401" t="s" s="796">
        <f>HYPERLINK("https://www.webofscience.com/wos/woscc/full-record/WOS:001687453200005","View Record in Web of Science")</f>
        <v>114</v>
      </c>
      <c r="BU401" t="s" s="0">
        <v>301</v>
      </c>
      <c r="BV401" t="s" s="0">
        <v>81</v>
      </c>
      <c r="BW401" t="s" s="0">
        <v>81</v>
      </c>
      <c r="BX401" t="s" s="0">
        <v>116</v>
      </c>
    </row>
    <row r="402">
      <c r="A402" t="s" s="0">
        <v>77</v>
      </c>
      <c r="B402" t="s" s="0">
        <v>77</v>
      </c>
      <c r="C402" t="s" s="0">
        <v>77</v>
      </c>
      <c r="D402" t="s" s="0">
        <v>77</v>
      </c>
      <c r="E402" t="s" s="0">
        <v>9156</v>
      </c>
      <c r="F402" t="s" s="0">
        <v>9157</v>
      </c>
      <c r="G402" t="s" s="0">
        <v>9158</v>
      </c>
      <c r="H402" t="s" s="0">
        <v>81</v>
      </c>
      <c r="I402" t="s" s="0">
        <v>528</v>
      </c>
      <c r="J402" t="s" s="0">
        <v>9159</v>
      </c>
      <c r="K402" t="s" s="0">
        <v>9160</v>
      </c>
      <c r="L402" t="s" s="0">
        <v>81</v>
      </c>
      <c r="M402" t="s" s="0">
        <v>81</v>
      </c>
      <c r="N402" t="s" s="0">
        <v>81</v>
      </c>
      <c r="O402" t="s" s="0">
        <v>9161</v>
      </c>
      <c r="P402" t="s" s="0">
        <v>9162</v>
      </c>
      <c r="Q402" t="s" s="0">
        <v>87</v>
      </c>
      <c r="R402" t="s" s="0">
        <v>81</v>
      </c>
      <c r="S402" t="s" s="0">
        <v>81</v>
      </c>
      <c r="T402" t="s" s="0">
        <v>81</v>
      </c>
      <c r="U402" t="s" s="0">
        <v>81</v>
      </c>
      <c r="V402" t="s" s="0">
        <v>9163</v>
      </c>
      <c r="W402" t="s" s="0">
        <v>9164</v>
      </c>
      <c r="X402" t="s" s="0">
        <v>81</v>
      </c>
      <c r="Y402" t="s" s="0">
        <v>81</v>
      </c>
      <c r="Z402" t="s" s="0">
        <v>90</v>
      </c>
      <c r="AA402" t="s" s="0">
        <v>91</v>
      </c>
      <c r="AB402" t="s" s="0">
        <v>81</v>
      </c>
      <c r="AC402" t="s" s="0">
        <v>81</v>
      </c>
      <c r="AD402" t="s" s="0">
        <v>81</v>
      </c>
      <c r="AE402" t="s" s="0">
        <v>81</v>
      </c>
      <c r="AF402" t="s" s="0">
        <v>81</v>
      </c>
      <c r="AG402" t="s" s="0">
        <v>9165</v>
      </c>
      <c r="AH402" t="s" s="0">
        <v>81</v>
      </c>
      <c r="AI402" t="s" s="0">
        <v>9166</v>
      </c>
      <c r="AJ402" t="s" s="0">
        <v>81</v>
      </c>
      <c r="AK402" t="s" s="0">
        <v>81</v>
      </c>
      <c r="AL402" t="s" s="0">
        <v>173</v>
      </c>
      <c r="AM402" t="s" s="0">
        <v>156</v>
      </c>
      <c r="AN402" t="s" s="0">
        <v>156</v>
      </c>
      <c r="AO402" t="s" s="0">
        <v>156</v>
      </c>
      <c r="AP402" t="s" s="0">
        <v>156</v>
      </c>
      <c r="AQ402" t="s" s="0">
        <v>177</v>
      </c>
      <c r="AR402" t="s" s="0">
        <v>178</v>
      </c>
      <c r="AS402" t="s" s="0">
        <v>179</v>
      </c>
      <c r="AT402" t="s" s="0">
        <v>9167</v>
      </c>
      <c r="AU402" t="s" s="0">
        <v>9168</v>
      </c>
      <c r="AV402" t="s" s="0">
        <v>81</v>
      </c>
      <c r="AW402" t="s" s="0">
        <v>9169</v>
      </c>
      <c r="AX402" t="s" s="0">
        <v>9170</v>
      </c>
      <c r="AY402" t="s" s="0">
        <v>143</v>
      </c>
      <c r="AZ402" t="s" s="0">
        <v>103</v>
      </c>
      <c r="BA402" t="s" s="0">
        <v>2296</v>
      </c>
      <c r="BB402" t="s" s="0">
        <v>81</v>
      </c>
      <c r="BC402" t="s" s="0">
        <v>81</v>
      </c>
      <c r="BD402" t="s" s="0">
        <v>81</v>
      </c>
      <c r="BE402" t="s" s="0">
        <v>81</v>
      </c>
      <c r="BF402" t="s" s="0">
        <v>81</v>
      </c>
      <c r="BG402" t="s" s="0">
        <v>81</v>
      </c>
      <c r="BH402" t="s" s="0">
        <v>81</v>
      </c>
      <c r="BI402" t="s" s="0">
        <v>9171</v>
      </c>
      <c r="BJ402" t="s" s="0">
        <v>9172</v>
      </c>
      <c r="BK402" t="s" s="797">
        <f>HYPERLINK("http://dx.doi.org/10.1016/j.nepr.2026.104737","http://dx.doi.org/10.1016/j.nepr.2026.104737")</f>
        <v>9173</v>
      </c>
      <c r="BL402" t="s" s="0">
        <v>81</v>
      </c>
      <c r="BM402" t="s" s="0">
        <v>1940</v>
      </c>
      <c r="BN402" t="s" s="0">
        <v>211</v>
      </c>
      <c r="BO402" t="s" s="0">
        <v>5034</v>
      </c>
      <c r="BP402" t="s" s="0">
        <v>5034</v>
      </c>
      <c r="BQ402" t="s" s="0">
        <v>9174</v>
      </c>
      <c r="BR402" t="s" s="0">
        <v>9175</v>
      </c>
      <c r="BS402" t="s" s="0">
        <v>9176</v>
      </c>
      <c r="BT402" t="s" s="798">
        <f>HYPERLINK("https://www.webofscience.com/wos/woscc/full-record/WOS:001677734300001","View Record in Web of Science")</f>
        <v>114</v>
      </c>
      <c r="BU402" t="s" s="0">
        <v>81</v>
      </c>
      <c r="BV402" t="s" s="0">
        <v>81</v>
      </c>
      <c r="BW402" t="s" s="0">
        <v>81</v>
      </c>
      <c r="BX402" t="s" s="0">
        <v>116</v>
      </c>
    </row>
    <row r="403">
      <c r="A403" t="s" s="0">
        <v>77</v>
      </c>
      <c r="B403" t="s" s="0">
        <v>77</v>
      </c>
      <c r="C403" t="s" s="0">
        <v>77</v>
      </c>
      <c r="D403" t="s" s="0">
        <v>77</v>
      </c>
      <c r="E403" t="s" s="0">
        <v>9177</v>
      </c>
      <c r="F403" t="s" s="0">
        <v>9178</v>
      </c>
      <c r="G403" t="s" s="0">
        <v>9179</v>
      </c>
      <c r="H403" t="s" s="0">
        <v>81</v>
      </c>
      <c r="I403" t="s" s="0">
        <v>82</v>
      </c>
      <c r="J403" t="s" s="0">
        <v>9180</v>
      </c>
      <c r="K403" t="s" s="0">
        <v>9181</v>
      </c>
      <c r="L403" t="s" s="0">
        <v>9182</v>
      </c>
      <c r="M403" t="s" s="0">
        <v>833</v>
      </c>
      <c r="N403" t="s" s="0">
        <v>9183</v>
      </c>
      <c r="O403" t="s" s="0">
        <v>9184</v>
      </c>
      <c r="P403" t="s" s="0">
        <v>9185</v>
      </c>
      <c r="Q403" t="s" s="0">
        <v>87</v>
      </c>
      <c r="R403" t="s" s="0">
        <v>81</v>
      </c>
      <c r="S403" t="s" s="0">
        <v>81</v>
      </c>
      <c r="T403" t="s" s="0">
        <v>81</v>
      </c>
      <c r="U403" t="s" s="0">
        <v>81</v>
      </c>
      <c r="V403" t="s" s="0">
        <v>9186</v>
      </c>
      <c r="W403" t="s" s="0">
        <v>9187</v>
      </c>
      <c r="X403" t="s" s="0">
        <v>81</v>
      </c>
      <c r="Y403" t="s" s="0">
        <v>81</v>
      </c>
      <c r="Z403" t="s" s="0">
        <v>90</v>
      </c>
      <c r="AA403" t="s" s="0">
        <v>91</v>
      </c>
      <c r="AB403" t="s" s="0">
        <v>81</v>
      </c>
      <c r="AC403" t="s" s="0">
        <v>81</v>
      </c>
      <c r="AD403" t="s" s="0">
        <v>81</v>
      </c>
      <c r="AE403" t="s" s="0">
        <v>81</v>
      </c>
      <c r="AF403" t="s" s="0">
        <v>81</v>
      </c>
      <c r="AG403" t="s" s="0">
        <v>9188</v>
      </c>
      <c r="AH403" t="s" s="0">
        <v>9189</v>
      </c>
      <c r="AI403" t="s" s="0">
        <v>9190</v>
      </c>
      <c r="AJ403" t="s" s="0">
        <v>9191</v>
      </c>
      <c r="AK403" t="s" s="0">
        <v>81</v>
      </c>
      <c r="AL403" t="s" s="0">
        <v>97</v>
      </c>
      <c r="AM403" t="s" s="0">
        <v>175</v>
      </c>
      <c r="AN403" t="s" s="0">
        <v>133</v>
      </c>
      <c r="AO403" t="s" s="0">
        <v>156</v>
      </c>
      <c r="AP403" t="s" s="0">
        <v>261</v>
      </c>
      <c r="AQ403" t="s" s="0">
        <v>9192</v>
      </c>
      <c r="AR403" t="s" s="0">
        <v>9193</v>
      </c>
      <c r="AS403" t="s" s="0">
        <v>9194</v>
      </c>
      <c r="AT403" t="s" s="0">
        <v>9195</v>
      </c>
      <c r="AU403" t="s" s="0">
        <v>9196</v>
      </c>
      <c r="AV403" t="s" s="0">
        <v>81</v>
      </c>
      <c r="AW403" t="s" s="0">
        <v>9197</v>
      </c>
      <c r="AX403" t="s" s="0">
        <v>9198</v>
      </c>
      <c r="AY403" t="s" s="0">
        <v>185</v>
      </c>
      <c r="AZ403" t="s" s="0">
        <v>185</v>
      </c>
      <c r="BA403" t="s" s="0">
        <v>1762</v>
      </c>
      <c r="BB403" t="s" s="0">
        <v>97</v>
      </c>
      <c r="BC403" t="s" s="0">
        <v>81</v>
      </c>
      <c r="BD403" t="s" s="0">
        <v>81</v>
      </c>
      <c r="BE403" t="s" s="0">
        <v>81</v>
      </c>
      <c r="BF403" t="s" s="0">
        <v>81</v>
      </c>
      <c r="BG403" t="s" s="0">
        <v>9199</v>
      </c>
      <c r="BH403" t="s" s="0">
        <v>9200</v>
      </c>
      <c r="BI403" t="s" s="0">
        <v>81</v>
      </c>
      <c r="BJ403" t="s" s="0">
        <v>9201</v>
      </c>
      <c r="BK403" t="s" s="799">
        <f>HYPERLINK("http://dx.doi.org/10.32604/cmc.2024.050913","http://dx.doi.org/10.32604/cmc.2024.050913")</f>
        <v>9202</v>
      </c>
      <c r="BL403" t="s" s="0">
        <v>81</v>
      </c>
      <c r="BM403" t="s" s="0">
        <v>81</v>
      </c>
      <c r="BN403" t="s" s="0">
        <v>252</v>
      </c>
      <c r="BO403" t="s" s="0">
        <v>9203</v>
      </c>
      <c r="BP403" t="s" s="0">
        <v>9204</v>
      </c>
      <c r="BQ403" t="s" s="0">
        <v>9205</v>
      </c>
      <c r="BR403" t="s" s="0">
        <v>81</v>
      </c>
      <c r="BS403" t="s" s="0">
        <v>9206</v>
      </c>
      <c r="BT403" t="s" s="800">
        <f>HYPERLINK("https://www.webofscience.com/wos/woscc/full-record/WOS:001290839400012","View Record in Web of Science")</f>
        <v>114</v>
      </c>
      <c r="BU403" t="s" s="0">
        <v>115</v>
      </c>
      <c r="BV403" t="s" s="0">
        <v>81</v>
      </c>
      <c r="BW403" t="s" s="0">
        <v>81</v>
      </c>
      <c r="BX403" t="s" s="0">
        <v>116</v>
      </c>
    </row>
    <row r="404">
      <c r="A404" t="s" s="0">
        <v>77</v>
      </c>
      <c r="B404" t="s" s="0">
        <v>77</v>
      </c>
      <c r="C404" t="s" s="0">
        <v>175</v>
      </c>
      <c r="D404" t="s" s="0">
        <v>77</v>
      </c>
      <c r="E404" t="s" s="0">
        <v>9207</v>
      </c>
      <c r="F404" t="s" s="0">
        <v>9208</v>
      </c>
      <c r="G404" t="s" s="0">
        <v>9209</v>
      </c>
      <c r="H404" t="s" s="0">
        <v>81</v>
      </c>
      <c r="I404" t="s" s="0">
        <v>82</v>
      </c>
      <c r="J404" t="s" s="0">
        <v>9210</v>
      </c>
      <c r="K404" t="s" s="0">
        <v>9211</v>
      </c>
      <c r="L404" t="s" s="0">
        <v>9212</v>
      </c>
      <c r="M404" t="s" s="0">
        <v>9212</v>
      </c>
      <c r="N404" t="s" s="0">
        <v>9213</v>
      </c>
      <c r="O404" t="s" s="0">
        <v>9214</v>
      </c>
      <c r="P404" t="s" s="0">
        <v>9215</v>
      </c>
      <c r="Q404" t="s" s="0">
        <v>87</v>
      </c>
      <c r="R404" t="s" s="0">
        <v>81</v>
      </c>
      <c r="S404" t="s" s="0">
        <v>81</v>
      </c>
      <c r="T404" t="s" s="0">
        <v>81</v>
      </c>
      <c r="U404" t="s" s="0">
        <v>81</v>
      </c>
      <c r="V404" t="s" s="0">
        <v>9216</v>
      </c>
      <c r="W404" t="s" s="0">
        <v>89</v>
      </c>
      <c r="X404" t="s" s="0">
        <v>81</v>
      </c>
      <c r="Y404" t="s" s="0">
        <v>81</v>
      </c>
      <c r="Z404" t="s" s="0">
        <v>90</v>
      </c>
      <c r="AA404" t="s" s="0">
        <v>91</v>
      </c>
      <c r="AB404" t="s" s="0">
        <v>81</v>
      </c>
      <c r="AC404" t="s" s="0">
        <v>81</v>
      </c>
      <c r="AD404" t="s" s="0">
        <v>81</v>
      </c>
      <c r="AE404" t="s" s="0">
        <v>81</v>
      </c>
      <c r="AF404" t="s" s="0">
        <v>81</v>
      </c>
      <c r="AG404" t="s" s="0">
        <v>9217</v>
      </c>
      <c r="AH404" t="s" s="0">
        <v>9218</v>
      </c>
      <c r="AI404" t="s" s="0">
        <v>9219</v>
      </c>
      <c r="AJ404" t="s" s="0">
        <v>9220</v>
      </c>
      <c r="AK404" t="s" s="0">
        <v>81</v>
      </c>
      <c r="AL404" t="s" s="0">
        <v>8214</v>
      </c>
      <c r="AM404" t="s" s="0">
        <v>1635</v>
      </c>
      <c r="AN404" t="s" s="0">
        <v>399</v>
      </c>
      <c r="AO404" t="s" s="0">
        <v>77</v>
      </c>
      <c r="AP404" t="s" s="0">
        <v>295</v>
      </c>
      <c r="AQ404" t="s" s="0">
        <v>98</v>
      </c>
      <c r="AR404" t="s" s="0">
        <v>99</v>
      </c>
      <c r="AS404" t="s" s="0">
        <v>100</v>
      </c>
      <c r="AT404" t="s" s="0">
        <v>101</v>
      </c>
      <c r="AU404" t="s" s="0">
        <v>81</v>
      </c>
      <c r="AV404" t="s" s="0">
        <v>81</v>
      </c>
      <c r="AW404" t="s" s="0">
        <v>89</v>
      </c>
      <c r="AX404" t="s" s="0">
        <v>102</v>
      </c>
      <c r="AY404" t="s" s="0">
        <v>260</v>
      </c>
      <c r="AZ404" t="s" s="0">
        <v>260</v>
      </c>
      <c r="BA404" t="s" s="0">
        <v>191</v>
      </c>
      <c r="BB404" t="s" s="0">
        <v>81</v>
      </c>
      <c r="BC404" t="s" s="0">
        <v>81</v>
      </c>
      <c r="BD404" t="s" s="0">
        <v>81</v>
      </c>
      <c r="BE404" t="s" s="0">
        <v>81</v>
      </c>
      <c r="BF404" t="s" s="0">
        <v>81</v>
      </c>
      <c r="BG404" t="s" s="0">
        <v>9221</v>
      </c>
      <c r="BH404" t="s" s="0">
        <v>9222</v>
      </c>
      <c r="BI404" t="s" s="0">
        <v>81</v>
      </c>
      <c r="BJ404" t="s" s="0">
        <v>9223</v>
      </c>
      <c r="BK404" t="s" s="801">
        <f>HYPERLINK("http://dx.doi.org/10.1109/ACCESS.2023.3328331","http://dx.doi.org/10.1109/ACCESS.2023.3328331")</f>
        <v>9224</v>
      </c>
      <c r="BL404" t="s" s="0">
        <v>81</v>
      </c>
      <c r="BM404" t="s" s="0">
        <v>81</v>
      </c>
      <c r="BN404" t="s" s="0">
        <v>874</v>
      </c>
      <c r="BO404" t="s" s="0">
        <v>110</v>
      </c>
      <c r="BP404" t="s" s="0">
        <v>111</v>
      </c>
      <c r="BQ404" t="s" s="0">
        <v>9225</v>
      </c>
      <c r="BR404" t="s" s="0">
        <v>81</v>
      </c>
      <c r="BS404" t="s" s="0">
        <v>9226</v>
      </c>
      <c r="BT404" t="s" s="802">
        <f>HYPERLINK("https://www.webofscience.com/wos/woscc/full-record/WOS:001105538000001","View Record in Web of Science")</f>
        <v>114</v>
      </c>
      <c r="BU404" t="s" s="0">
        <v>301</v>
      </c>
      <c r="BV404" t="s" s="0">
        <v>81</v>
      </c>
      <c r="BW404" t="s" s="0">
        <v>81</v>
      </c>
      <c r="BX404" t="s" s="0">
        <v>116</v>
      </c>
    </row>
    <row r="405">
      <c r="A405" t="s" s="0">
        <v>77</v>
      </c>
      <c r="B405" t="s" s="0">
        <v>77</v>
      </c>
      <c r="C405" t="s" s="0">
        <v>77</v>
      </c>
      <c r="D405" t="s" s="0">
        <v>77</v>
      </c>
      <c r="E405" t="s" s="0">
        <v>9227</v>
      </c>
      <c r="F405" t="s" s="0">
        <v>9228</v>
      </c>
      <c r="G405" t="s" s="0">
        <v>9229</v>
      </c>
      <c r="H405" t="s" s="0">
        <v>81</v>
      </c>
      <c r="I405" t="s" s="0">
        <v>82</v>
      </c>
      <c r="J405" t="s" s="0">
        <v>9230</v>
      </c>
      <c r="K405" t="s" s="0">
        <v>9231</v>
      </c>
      <c r="L405" t="s" s="0">
        <v>81</v>
      </c>
      <c r="M405" t="s" s="0">
        <v>81</v>
      </c>
      <c r="N405" t="s" s="0">
        <v>81</v>
      </c>
      <c r="O405" t="s" s="0">
        <v>9232</v>
      </c>
      <c r="P405" t="s" s="0">
        <v>9233</v>
      </c>
      <c r="Q405" t="s" s="0">
        <v>87</v>
      </c>
      <c r="R405" t="s" s="0">
        <v>81</v>
      </c>
      <c r="S405" t="s" s="0">
        <v>81</v>
      </c>
      <c r="T405" t="s" s="0">
        <v>81</v>
      </c>
      <c r="U405" t="s" s="0">
        <v>81</v>
      </c>
      <c r="V405" t="s" s="0">
        <v>9234</v>
      </c>
      <c r="W405" t="s" s="0">
        <v>9235</v>
      </c>
      <c r="X405" t="s" s="0">
        <v>81</v>
      </c>
      <c r="Y405" t="s" s="0">
        <v>81</v>
      </c>
      <c r="Z405" t="s" s="0">
        <v>90</v>
      </c>
      <c r="AA405" t="s" s="0">
        <v>1581</v>
      </c>
      <c r="AB405" t="s" s="0">
        <v>81</v>
      </c>
      <c r="AC405" t="s" s="0">
        <v>81</v>
      </c>
      <c r="AD405" t="s" s="0">
        <v>81</v>
      </c>
      <c r="AE405" t="s" s="0">
        <v>81</v>
      </c>
      <c r="AF405" t="s" s="0">
        <v>81</v>
      </c>
      <c r="AG405" t="s" s="0">
        <v>9236</v>
      </c>
      <c r="AH405" t="s" s="0">
        <v>9237</v>
      </c>
      <c r="AI405" t="s" s="0">
        <v>9238</v>
      </c>
      <c r="AJ405" t="s" s="0">
        <v>81</v>
      </c>
      <c r="AK405" t="s" s="0">
        <v>81</v>
      </c>
      <c r="AL405" t="s" s="0">
        <v>543</v>
      </c>
      <c r="AM405" t="s" s="0">
        <v>156</v>
      </c>
      <c r="AN405" t="s" s="0">
        <v>156</v>
      </c>
      <c r="AO405" t="s" s="0">
        <v>175</v>
      </c>
      <c r="AP405" t="s" s="0">
        <v>175</v>
      </c>
      <c r="AQ405" t="s" s="0">
        <v>636</v>
      </c>
      <c r="AR405" t="s" s="0">
        <v>637</v>
      </c>
      <c r="AS405" t="s" s="0">
        <v>638</v>
      </c>
      <c r="AT405" t="s" s="0">
        <v>9239</v>
      </c>
      <c r="AU405" t="s" s="0">
        <v>9240</v>
      </c>
      <c r="AV405" t="s" s="0">
        <v>81</v>
      </c>
      <c r="AW405" t="s" s="0">
        <v>9241</v>
      </c>
      <c r="AX405" t="s" s="0">
        <v>9242</v>
      </c>
      <c r="AY405" t="s" s="0">
        <v>81</v>
      </c>
      <c r="AZ405" t="s" s="0">
        <v>103</v>
      </c>
      <c r="BA405" t="s" s="0">
        <v>81</v>
      </c>
      <c r="BB405" t="s" s="0">
        <v>81</v>
      </c>
      <c r="BC405" t="s" s="0">
        <v>81</v>
      </c>
      <c r="BD405" t="s" s="0">
        <v>81</v>
      </c>
      <c r="BE405" t="s" s="0">
        <v>81</v>
      </c>
      <c r="BF405" t="s" s="0">
        <v>81</v>
      </c>
      <c r="BG405" t="s" s="0">
        <v>81</v>
      </c>
      <c r="BH405" t="s" s="0">
        <v>81</v>
      </c>
      <c r="BI405" t="s" s="0">
        <v>81</v>
      </c>
      <c r="BJ405" t="s" s="0">
        <v>9243</v>
      </c>
      <c r="BK405" t="s" s="803">
        <f>HYPERLINK("http://dx.doi.org/10.1080/10589759.2026.2644404","http://dx.doi.org/10.1080/10589759.2026.2644404")</f>
        <v>9244</v>
      </c>
      <c r="BL405" t="s" s="0">
        <v>81</v>
      </c>
      <c r="BM405" t="s" s="0">
        <v>143</v>
      </c>
      <c r="BN405" t="s" s="0">
        <v>228</v>
      </c>
      <c r="BO405" t="s" s="0">
        <v>9245</v>
      </c>
      <c r="BP405" t="s" s="0">
        <v>9246</v>
      </c>
      <c r="BQ405" t="s" s="0">
        <v>9247</v>
      </c>
      <c r="BR405" t="s" s="0">
        <v>81</v>
      </c>
      <c r="BS405" t="s" s="0">
        <v>9248</v>
      </c>
      <c r="BT405" t="s" s="804">
        <f>HYPERLINK("https://www.webofscience.com/wos/woscc/full-record/WOS:001719817700001","View Record in Web of Science")</f>
        <v>114</v>
      </c>
      <c r="BU405" t="s" s="0">
        <v>81</v>
      </c>
      <c r="BV405" t="s" s="0">
        <v>81</v>
      </c>
      <c r="BW405" t="s" s="0">
        <v>81</v>
      </c>
      <c r="BX405" t="s" s="0">
        <v>116</v>
      </c>
    </row>
    <row r="406">
      <c r="A406" t="s" s="0">
        <v>77</v>
      </c>
      <c r="B406" t="s" s="0">
        <v>77</v>
      </c>
      <c r="C406" t="s" s="0">
        <v>77</v>
      </c>
      <c r="D406" t="s" s="0">
        <v>77</v>
      </c>
      <c r="E406" t="s" s="0">
        <v>9249</v>
      </c>
      <c r="F406" t="s" s="0">
        <v>9250</v>
      </c>
      <c r="G406" t="s" s="0">
        <v>9251</v>
      </c>
      <c r="H406" t="s" s="0">
        <v>81</v>
      </c>
      <c r="I406" t="s" s="0">
        <v>82</v>
      </c>
      <c r="J406" t="s" s="0">
        <v>9252</v>
      </c>
      <c r="K406" t="s" s="0">
        <v>9253</v>
      </c>
      <c r="L406" t="s" s="0">
        <v>9254</v>
      </c>
      <c r="M406" t="s" s="0">
        <v>9255</v>
      </c>
      <c r="N406" t="s" s="0">
        <v>9256</v>
      </c>
      <c r="O406" t="s" s="0">
        <v>9257</v>
      </c>
      <c r="P406" t="s" s="0">
        <v>8784</v>
      </c>
      <c r="Q406" t="s" s="0">
        <v>87</v>
      </c>
      <c r="R406" t="s" s="0">
        <v>81</v>
      </c>
      <c r="S406" t="s" s="0">
        <v>81</v>
      </c>
      <c r="T406" t="s" s="0">
        <v>81</v>
      </c>
      <c r="U406" t="s" s="0">
        <v>81</v>
      </c>
      <c r="V406" t="s" s="0">
        <v>9258</v>
      </c>
      <c r="W406" t="s" s="0">
        <v>9259</v>
      </c>
      <c r="X406" t="s" s="0">
        <v>81</v>
      </c>
      <c r="Y406" t="s" s="0">
        <v>81</v>
      </c>
      <c r="Z406" t="s" s="0">
        <v>90</v>
      </c>
      <c r="AA406" t="s" s="0">
        <v>91</v>
      </c>
      <c r="AB406" t="s" s="0">
        <v>81</v>
      </c>
      <c r="AC406" t="s" s="0">
        <v>81</v>
      </c>
      <c r="AD406" t="s" s="0">
        <v>81</v>
      </c>
      <c r="AE406" t="s" s="0">
        <v>81</v>
      </c>
      <c r="AF406" t="s" s="0">
        <v>81</v>
      </c>
      <c r="AG406" t="s" s="0">
        <v>9260</v>
      </c>
      <c r="AH406" t="s" s="0">
        <v>81</v>
      </c>
      <c r="AI406" t="s" s="0">
        <v>9261</v>
      </c>
      <c r="AJ406" t="s" s="0">
        <v>9262</v>
      </c>
      <c r="AK406" t="s" s="0">
        <v>81</v>
      </c>
      <c r="AL406" t="s" s="0">
        <v>324</v>
      </c>
      <c r="AM406" t="s" s="0">
        <v>156</v>
      </c>
      <c r="AN406" t="s" s="0">
        <v>156</v>
      </c>
      <c r="AO406" t="s" s="0">
        <v>191</v>
      </c>
      <c r="AP406" t="s" s="0">
        <v>291</v>
      </c>
      <c r="AQ406" t="s" s="0">
        <v>284</v>
      </c>
      <c r="AR406" t="s" s="0">
        <v>285</v>
      </c>
      <c r="AS406" t="s" s="0">
        <v>286</v>
      </c>
      <c r="AT406" t="s" s="0">
        <v>81</v>
      </c>
      <c r="AU406" t="s" s="0">
        <v>9263</v>
      </c>
      <c r="AV406" t="s" s="0">
        <v>81</v>
      </c>
      <c r="AW406" t="s" s="0">
        <v>9264</v>
      </c>
      <c r="AX406" t="s" s="0">
        <v>3693</v>
      </c>
      <c r="AY406" t="s" s="0">
        <v>6991</v>
      </c>
      <c r="AZ406" t="s" s="0">
        <v>290</v>
      </c>
      <c r="BA406" t="s" s="0">
        <v>486</v>
      </c>
      <c r="BB406" t="s" s="0">
        <v>135</v>
      </c>
      <c r="BC406" t="s" s="0">
        <v>81</v>
      </c>
      <c r="BD406" t="s" s="0">
        <v>81</v>
      </c>
      <c r="BE406" t="s" s="0">
        <v>81</v>
      </c>
      <c r="BF406" t="s" s="0">
        <v>81</v>
      </c>
      <c r="BG406" t="s" s="0">
        <v>81</v>
      </c>
      <c r="BH406" t="s" s="0">
        <v>81</v>
      </c>
      <c r="BI406" t="s" s="0">
        <v>9265</v>
      </c>
      <c r="BJ406" t="s" s="0">
        <v>9266</v>
      </c>
      <c r="BK406" t="s" s="805">
        <f>HYPERLINK("http://dx.doi.org/10.3390/math13233805","http://dx.doi.org/10.3390/math13233805")</f>
        <v>9267</v>
      </c>
      <c r="BL406" t="s" s="0">
        <v>81</v>
      </c>
      <c r="BM406" t="s" s="0">
        <v>81</v>
      </c>
      <c r="BN406" t="s" s="0">
        <v>135</v>
      </c>
      <c r="BO406" t="s" s="0">
        <v>3693</v>
      </c>
      <c r="BP406" t="s" s="0">
        <v>3693</v>
      </c>
      <c r="BQ406" t="s" s="0">
        <v>9268</v>
      </c>
      <c r="BR406" t="s" s="0">
        <v>81</v>
      </c>
      <c r="BS406" t="s" s="0">
        <v>9269</v>
      </c>
      <c r="BT406" t="s" s="806">
        <f>HYPERLINK("https://www.webofscience.com/wos/woscc/full-record/WOS:001635035600001","View Record in Web of Science")</f>
        <v>114</v>
      </c>
      <c r="BU406" t="s" s="0">
        <v>301</v>
      </c>
      <c r="BV406" t="s" s="0">
        <v>81</v>
      </c>
      <c r="BW406" t="s" s="0">
        <v>81</v>
      </c>
      <c r="BX406" t="s" s="0">
        <v>116</v>
      </c>
    </row>
    <row r="407">
      <c r="A407" t="s" s="0">
        <v>77</v>
      </c>
      <c r="B407" t="s" s="0">
        <v>77</v>
      </c>
      <c r="C407" t="s" s="0">
        <v>156</v>
      </c>
      <c r="D407" t="s" s="0">
        <v>77</v>
      </c>
      <c r="E407" t="s" s="0">
        <v>9270</v>
      </c>
      <c r="F407" t="s" s="0">
        <v>9271</v>
      </c>
      <c r="G407" t="s" s="0">
        <v>9272</v>
      </c>
      <c r="H407" t="s" s="0">
        <v>81</v>
      </c>
      <c r="I407" t="s" s="0">
        <v>82</v>
      </c>
      <c r="J407" t="s" s="0">
        <v>9273</v>
      </c>
      <c r="K407" t="s" s="0">
        <v>9274</v>
      </c>
      <c r="L407" t="s" s="0">
        <v>9275</v>
      </c>
      <c r="M407" t="s" s="0">
        <v>9276</v>
      </c>
      <c r="N407" t="s" s="0">
        <v>9277</v>
      </c>
      <c r="O407" t="s" s="0">
        <v>9278</v>
      </c>
      <c r="P407" t="s" s="0">
        <v>360</v>
      </c>
      <c r="Q407" t="s" s="0">
        <v>87</v>
      </c>
      <c r="R407" t="s" s="0">
        <v>81</v>
      </c>
      <c r="S407" t="s" s="0">
        <v>81</v>
      </c>
      <c r="T407" t="s" s="0">
        <v>81</v>
      </c>
      <c r="U407" t="s" s="0">
        <v>81</v>
      </c>
      <c r="V407" t="s" s="0">
        <v>9279</v>
      </c>
      <c r="W407" t="s" s="0">
        <v>1226</v>
      </c>
      <c r="X407" t="s" s="0">
        <v>81</v>
      </c>
      <c r="Y407" t="s" s="0">
        <v>81</v>
      </c>
      <c r="Z407" t="s" s="0">
        <v>90</v>
      </c>
      <c r="AA407" t="s" s="0">
        <v>91</v>
      </c>
      <c r="AB407" t="s" s="0">
        <v>81</v>
      </c>
      <c r="AC407" t="s" s="0">
        <v>81</v>
      </c>
      <c r="AD407" t="s" s="0">
        <v>81</v>
      </c>
      <c r="AE407" t="s" s="0">
        <v>81</v>
      </c>
      <c r="AF407" t="s" s="0">
        <v>81</v>
      </c>
      <c r="AG407" t="s" s="0">
        <v>9280</v>
      </c>
      <c r="AH407" t="s" s="0">
        <v>81</v>
      </c>
      <c r="AI407" t="s" s="0">
        <v>9281</v>
      </c>
      <c r="AJ407" t="s" s="0">
        <v>9282</v>
      </c>
      <c r="AK407" t="s" s="0">
        <v>81</v>
      </c>
      <c r="AL407" t="s" s="0">
        <v>1442</v>
      </c>
      <c r="AM407" t="s" s="0">
        <v>196</v>
      </c>
      <c r="AN407" t="s" s="0">
        <v>196</v>
      </c>
      <c r="AO407" t="s" s="0">
        <v>196</v>
      </c>
      <c r="AP407" t="s" s="0">
        <v>211</v>
      </c>
      <c r="AQ407" t="s" s="0">
        <v>284</v>
      </c>
      <c r="AR407" t="s" s="0">
        <v>285</v>
      </c>
      <c r="AS407" t="s" s="0">
        <v>286</v>
      </c>
      <c r="AT407" t="s" s="0">
        <v>81</v>
      </c>
      <c r="AU407" t="s" s="0">
        <v>1230</v>
      </c>
      <c r="AV407" t="s" s="0">
        <v>81</v>
      </c>
      <c r="AW407" t="s" s="0">
        <v>1226</v>
      </c>
      <c r="AX407" t="s" s="0">
        <v>1231</v>
      </c>
      <c r="AY407" t="s" s="0">
        <v>9283</v>
      </c>
      <c r="AZ407" t="s" s="0">
        <v>290</v>
      </c>
      <c r="BA407" t="s" s="0">
        <v>134</v>
      </c>
      <c r="BB407" t="s" s="0">
        <v>316</v>
      </c>
      <c r="BC407" t="s" s="0">
        <v>81</v>
      </c>
      <c r="BD407" t="s" s="0">
        <v>81</v>
      </c>
      <c r="BE407" t="s" s="0">
        <v>81</v>
      </c>
      <c r="BF407" t="s" s="0">
        <v>81</v>
      </c>
      <c r="BG407" t="s" s="0">
        <v>81</v>
      </c>
      <c r="BH407" t="s" s="0">
        <v>81</v>
      </c>
      <c r="BI407" t="s" s="0">
        <v>7052</v>
      </c>
      <c r="BJ407" t="s" s="0">
        <v>9284</v>
      </c>
      <c r="BK407" t="s" s="807">
        <f>HYPERLINK("http://dx.doi.org/10.3390/bioengineering12060558","http://dx.doi.org/10.3390/bioengineering12060558")</f>
        <v>9285</v>
      </c>
      <c r="BL407" t="s" s="0">
        <v>81</v>
      </c>
      <c r="BM407" t="s" s="0">
        <v>81</v>
      </c>
      <c r="BN407" t="s" s="0">
        <v>253</v>
      </c>
      <c r="BO407" t="s" s="0">
        <v>1236</v>
      </c>
      <c r="BP407" t="s" s="0">
        <v>1237</v>
      </c>
      <c r="BQ407" t="s" s="0">
        <v>9286</v>
      </c>
      <c r="BR407" t="s" s="0">
        <v>9287</v>
      </c>
      <c r="BS407" t="s" s="0">
        <v>9288</v>
      </c>
      <c r="BT407" t="s" s="808">
        <f>HYPERLINK("https://www.webofscience.com/wos/woscc/full-record/WOS:001517630200001","View Record in Web of Science")</f>
        <v>114</v>
      </c>
      <c r="BU407" t="s" s="0">
        <v>301</v>
      </c>
      <c r="BV407" t="s" s="0">
        <v>81</v>
      </c>
      <c r="BW407" t="s" s="0">
        <v>81</v>
      </c>
      <c r="BX407" t="s" s="0">
        <v>116</v>
      </c>
    </row>
    <row r="408">
      <c r="A408" t="s" s="0">
        <v>77</v>
      </c>
      <c r="B408" t="s" s="0">
        <v>77</v>
      </c>
      <c r="C408" t="s" s="0">
        <v>77</v>
      </c>
      <c r="D408" t="s" s="0">
        <v>77</v>
      </c>
      <c r="E408" t="s" s="0">
        <v>9289</v>
      </c>
      <c r="F408" t="s" s="0">
        <v>9290</v>
      </c>
      <c r="G408" t="s" s="0">
        <v>9291</v>
      </c>
      <c r="H408" t="s" s="0">
        <v>81</v>
      </c>
      <c r="I408" t="s" s="0">
        <v>82</v>
      </c>
      <c r="J408" t="s" s="0">
        <v>9292</v>
      </c>
      <c r="K408" t="s" s="0">
        <v>1195</v>
      </c>
      <c r="L408" t="s" s="0">
        <v>9293</v>
      </c>
      <c r="M408" t="s" s="0">
        <v>9294</v>
      </c>
      <c r="N408" t="s" s="0">
        <v>9295</v>
      </c>
      <c r="O408" t="s" s="0">
        <v>9296</v>
      </c>
      <c r="P408" t="s" s="0">
        <v>9297</v>
      </c>
      <c r="Q408" t="s" s="0">
        <v>87</v>
      </c>
      <c r="R408" t="s" s="0">
        <v>81</v>
      </c>
      <c r="S408" t="s" s="0">
        <v>81</v>
      </c>
      <c r="T408" t="s" s="0">
        <v>81</v>
      </c>
      <c r="U408" t="s" s="0">
        <v>81</v>
      </c>
      <c r="V408" t="s" s="0">
        <v>9298</v>
      </c>
      <c r="W408" t="s" s="0">
        <v>9299</v>
      </c>
      <c r="X408" t="s" s="0">
        <v>81</v>
      </c>
      <c r="Y408" t="s" s="0">
        <v>81</v>
      </c>
      <c r="Z408" t="s" s="0">
        <v>90</v>
      </c>
      <c r="AA408" t="s" s="0">
        <v>91</v>
      </c>
      <c r="AB408" t="s" s="0">
        <v>81</v>
      </c>
      <c r="AC408" t="s" s="0">
        <v>81</v>
      </c>
      <c r="AD408" t="s" s="0">
        <v>81</v>
      </c>
      <c r="AE408" t="s" s="0">
        <v>81</v>
      </c>
      <c r="AF408" t="s" s="0">
        <v>81</v>
      </c>
      <c r="AG408" t="s" s="0">
        <v>9300</v>
      </c>
      <c r="AH408" t="s" s="0">
        <v>81</v>
      </c>
      <c r="AI408" t="s" s="0">
        <v>9301</v>
      </c>
      <c r="AJ408" t="s" s="0">
        <v>81</v>
      </c>
      <c r="AK408" t="s" s="0">
        <v>81</v>
      </c>
      <c r="AL408" t="s" s="0">
        <v>543</v>
      </c>
      <c r="AM408" t="s" s="0">
        <v>77</v>
      </c>
      <c r="AN408" t="s" s="0">
        <v>77</v>
      </c>
      <c r="AO408" t="s" s="0">
        <v>196</v>
      </c>
      <c r="AP408" t="s" s="0">
        <v>196</v>
      </c>
      <c r="AQ408" t="s" s="0">
        <v>284</v>
      </c>
      <c r="AR408" t="s" s="0">
        <v>285</v>
      </c>
      <c r="AS408" t="s" s="0">
        <v>286</v>
      </c>
      <c r="AT408" t="s" s="0">
        <v>81</v>
      </c>
      <c r="AU408" t="s" s="0">
        <v>9302</v>
      </c>
      <c r="AV408" t="s" s="0">
        <v>81</v>
      </c>
      <c r="AW408" t="s" s="0">
        <v>9299</v>
      </c>
      <c r="AX408" t="s" s="0">
        <v>9303</v>
      </c>
      <c r="AY408" t="s" s="0">
        <v>6947</v>
      </c>
      <c r="AZ408" t="s" s="0">
        <v>103</v>
      </c>
      <c r="BA408" t="s" s="0">
        <v>104</v>
      </c>
      <c r="BB408" t="s" s="0">
        <v>316</v>
      </c>
      <c r="BC408" t="s" s="0">
        <v>81</v>
      </c>
      <c r="BD408" t="s" s="0">
        <v>81</v>
      </c>
      <c r="BE408" t="s" s="0">
        <v>81</v>
      </c>
      <c r="BF408" t="s" s="0">
        <v>81</v>
      </c>
      <c r="BG408" t="s" s="0">
        <v>81</v>
      </c>
      <c r="BH408" t="s" s="0">
        <v>81</v>
      </c>
      <c r="BI408" t="s" s="0">
        <v>9304</v>
      </c>
      <c r="BJ408" t="s" s="0">
        <v>9305</v>
      </c>
      <c r="BK408" t="s" s="809">
        <f>HYPERLINK("http://dx.doi.org/10.3390/biomedicines14061304","http://dx.doi.org/10.3390/biomedicines14061304")</f>
        <v>9306</v>
      </c>
      <c r="BL408" t="s" s="0">
        <v>81</v>
      </c>
      <c r="BM408" t="s" s="0">
        <v>849</v>
      </c>
      <c r="BN408" t="s" s="0">
        <v>135</v>
      </c>
      <c r="BO408" t="s" s="0">
        <v>9307</v>
      </c>
      <c r="BP408" t="s" s="0">
        <v>9308</v>
      </c>
      <c r="BQ408" t="s" s="0">
        <v>9309</v>
      </c>
      <c r="BR408" t="s" s="0">
        <v>9310</v>
      </c>
      <c r="BS408" t="s" s="0">
        <v>9311</v>
      </c>
      <c r="BT408" t="s" s="810">
        <f>HYPERLINK("https://www.webofscience.com/wos/woscc/full-record/WOS:001802717400001","View Record in Web of Science")</f>
        <v>114</v>
      </c>
      <c r="BU408" t="s" s="0">
        <v>301</v>
      </c>
      <c r="BV408" t="s" s="0">
        <v>81</v>
      </c>
      <c r="BW408" t="s" s="0">
        <v>81</v>
      </c>
      <c r="BX408" t="s" s="0">
        <v>116</v>
      </c>
    </row>
    <row r="409">
      <c r="A409" t="s" s="0">
        <v>77</v>
      </c>
      <c r="B409" t="s" s="0">
        <v>77</v>
      </c>
      <c r="C409" t="s" s="0">
        <v>97</v>
      </c>
      <c r="D409" t="s" s="0">
        <v>77</v>
      </c>
      <c r="E409" t="s" s="0">
        <v>9312</v>
      </c>
      <c r="F409" t="s" s="0">
        <v>9313</v>
      </c>
      <c r="G409" t="s" s="0">
        <v>9314</v>
      </c>
      <c r="H409" t="s" s="0">
        <v>81</v>
      </c>
      <c r="I409" t="s" s="0">
        <v>82</v>
      </c>
      <c r="J409" t="s" s="0">
        <v>9315</v>
      </c>
      <c r="K409" t="s" s="0">
        <v>1527</v>
      </c>
      <c r="L409" t="s" s="0">
        <v>9316</v>
      </c>
      <c r="M409" t="s" s="0">
        <v>9317</v>
      </c>
      <c r="N409" t="s" s="0">
        <v>9318</v>
      </c>
      <c r="O409" t="s" s="0">
        <v>9319</v>
      </c>
      <c r="P409" t="s" s="0">
        <v>9320</v>
      </c>
      <c r="Q409" t="s" s="0">
        <v>87</v>
      </c>
      <c r="R409" t="s" s="0">
        <v>81</v>
      </c>
      <c r="S409" t="s" s="0">
        <v>81</v>
      </c>
      <c r="T409" t="s" s="0">
        <v>81</v>
      </c>
      <c r="U409" t="s" s="0">
        <v>81</v>
      </c>
      <c r="V409" t="s" s="0">
        <v>9321</v>
      </c>
      <c r="W409" t="s" s="0">
        <v>6415</v>
      </c>
      <c r="X409" t="s" s="0">
        <v>81</v>
      </c>
      <c r="Y409" t="s" s="0">
        <v>81</v>
      </c>
      <c r="Z409" t="s" s="0">
        <v>90</v>
      </c>
      <c r="AA409" t="s" s="0">
        <v>91</v>
      </c>
      <c r="AB409" t="s" s="0">
        <v>81</v>
      </c>
      <c r="AC409" t="s" s="0">
        <v>81</v>
      </c>
      <c r="AD409" t="s" s="0">
        <v>81</v>
      </c>
      <c r="AE409" t="s" s="0">
        <v>81</v>
      </c>
      <c r="AF409" t="s" s="0">
        <v>81</v>
      </c>
      <c r="AG409" t="s" s="0">
        <v>9322</v>
      </c>
      <c r="AH409" t="s" s="0">
        <v>9323</v>
      </c>
      <c r="AI409" t="s" s="0">
        <v>9324</v>
      </c>
      <c r="AJ409" t="s" s="0">
        <v>9325</v>
      </c>
      <c r="AK409" t="s" s="0">
        <v>81</v>
      </c>
      <c r="AL409" t="s" s="0">
        <v>664</v>
      </c>
      <c r="AM409" t="s" s="0">
        <v>97</v>
      </c>
      <c r="AN409" t="s" s="0">
        <v>97</v>
      </c>
      <c r="AO409" t="s" s="0">
        <v>196</v>
      </c>
      <c r="AP409" t="s" s="0">
        <v>234</v>
      </c>
      <c r="AQ409" t="s" s="0">
        <v>284</v>
      </c>
      <c r="AR409" t="s" s="0">
        <v>285</v>
      </c>
      <c r="AS409" t="s" s="0">
        <v>286</v>
      </c>
      <c r="AT409" t="s" s="0">
        <v>81</v>
      </c>
      <c r="AU409" t="s" s="0">
        <v>6420</v>
      </c>
      <c r="AV409" t="s" s="0">
        <v>81</v>
      </c>
      <c r="AW409" t="s" s="0">
        <v>6415</v>
      </c>
      <c r="AX409" t="s" s="0">
        <v>6421</v>
      </c>
      <c r="AY409" t="s" s="0">
        <v>1542</v>
      </c>
      <c r="AZ409" t="s" s="0">
        <v>290</v>
      </c>
      <c r="BA409" t="s" s="0">
        <v>291</v>
      </c>
      <c r="BB409" t="s" s="0">
        <v>191</v>
      </c>
      <c r="BC409" t="s" s="0">
        <v>81</v>
      </c>
      <c r="BD409" t="s" s="0">
        <v>81</v>
      </c>
      <c r="BE409" t="s" s="0">
        <v>81</v>
      </c>
      <c r="BF409" t="s" s="0">
        <v>81</v>
      </c>
      <c r="BG409" t="s" s="0">
        <v>81</v>
      </c>
      <c r="BH409" t="s" s="0">
        <v>81</v>
      </c>
      <c r="BI409" t="s" s="0">
        <v>9326</v>
      </c>
      <c r="BJ409" t="s" s="0">
        <v>9327</v>
      </c>
      <c r="BK409" t="s" s="811">
        <f>HYPERLINK("http://dx.doi.org/10.3390/metabo15110716","http://dx.doi.org/10.3390/metabo15110716")</f>
        <v>9328</v>
      </c>
      <c r="BL409" t="s" s="0">
        <v>81</v>
      </c>
      <c r="BM409" t="s" s="0">
        <v>81</v>
      </c>
      <c r="BN409" t="s" s="0">
        <v>291</v>
      </c>
      <c r="BO409" t="s" s="0">
        <v>6425</v>
      </c>
      <c r="BP409" t="s" s="0">
        <v>6425</v>
      </c>
      <c r="BQ409" t="s" s="0">
        <v>9329</v>
      </c>
      <c r="BR409" t="s" s="0">
        <v>9330</v>
      </c>
      <c r="BS409" t="s" s="0">
        <v>9331</v>
      </c>
      <c r="BT409" t="s" s="812">
        <f>HYPERLINK("https://www.webofscience.com/wos/woscc/full-record/WOS:001624176700001","View Record in Web of Science")</f>
        <v>114</v>
      </c>
      <c r="BU409" t="s" s="0">
        <v>301</v>
      </c>
      <c r="BV409" t="s" s="0">
        <v>81</v>
      </c>
      <c r="BW409" t="s" s="0">
        <v>81</v>
      </c>
      <c r="BX409" t="s" s="0">
        <v>116</v>
      </c>
    </row>
    <row r="410">
      <c r="A410" t="s" s="0">
        <v>77</v>
      </c>
      <c r="B410" t="s" s="0">
        <v>77</v>
      </c>
      <c r="C410" t="s" s="0">
        <v>77</v>
      </c>
      <c r="D410" t="s" s="0">
        <v>77</v>
      </c>
      <c r="E410" t="s" s="0">
        <v>9332</v>
      </c>
      <c r="F410" t="s" s="0">
        <v>9333</v>
      </c>
      <c r="G410" t="s" s="0">
        <v>9334</v>
      </c>
      <c r="H410" t="s" s="0">
        <v>81</v>
      </c>
      <c r="I410" t="s" s="0">
        <v>528</v>
      </c>
      <c r="J410" t="s" s="0">
        <v>9335</v>
      </c>
      <c r="K410" t="s" s="0">
        <v>9336</v>
      </c>
      <c r="L410" t="s" s="0">
        <v>9337</v>
      </c>
      <c r="M410" t="s" s="0">
        <v>9337</v>
      </c>
      <c r="N410" t="s" s="0">
        <v>9338</v>
      </c>
      <c r="O410" t="s" s="0">
        <v>9339</v>
      </c>
      <c r="P410" t="s" s="0">
        <v>9340</v>
      </c>
      <c r="Q410" t="s" s="0">
        <v>87</v>
      </c>
      <c r="R410" t="s" s="0">
        <v>81</v>
      </c>
      <c r="S410" t="s" s="0">
        <v>81</v>
      </c>
      <c r="T410" t="s" s="0">
        <v>81</v>
      </c>
      <c r="U410" t="s" s="0">
        <v>81</v>
      </c>
      <c r="V410" t="s" s="0">
        <v>9341</v>
      </c>
      <c r="W410" t="s" s="0">
        <v>5023</v>
      </c>
      <c r="X410" t="s" s="0">
        <v>81</v>
      </c>
      <c r="Y410" t="s" s="0">
        <v>81</v>
      </c>
      <c r="Z410" t="s" s="0">
        <v>90</v>
      </c>
      <c r="AA410" t="s" s="0">
        <v>91</v>
      </c>
      <c r="AB410" t="s" s="0">
        <v>81</v>
      </c>
      <c r="AC410" t="s" s="0">
        <v>81</v>
      </c>
      <c r="AD410" t="s" s="0">
        <v>81</v>
      </c>
      <c r="AE410" t="s" s="0">
        <v>81</v>
      </c>
      <c r="AF410" t="s" s="0">
        <v>81</v>
      </c>
      <c r="AG410" t="s" s="0">
        <v>9342</v>
      </c>
      <c r="AH410" t="s" s="0">
        <v>9343</v>
      </c>
      <c r="AI410" t="s" s="0">
        <v>9344</v>
      </c>
      <c r="AJ410" t="s" s="0">
        <v>9345</v>
      </c>
      <c r="AK410" t="s" s="0">
        <v>81</v>
      </c>
      <c r="AL410" t="s" s="0">
        <v>1684</v>
      </c>
      <c r="AM410" t="s" s="0">
        <v>97</v>
      </c>
      <c r="AN410" t="s" s="0">
        <v>156</v>
      </c>
      <c r="AO410" t="s" s="0">
        <v>196</v>
      </c>
      <c r="AP410" t="s" s="0">
        <v>196</v>
      </c>
      <c r="AQ410" t="s" s="0">
        <v>1344</v>
      </c>
      <c r="AR410" t="s" s="0">
        <v>1345</v>
      </c>
      <c r="AS410" t="s" s="0">
        <v>1346</v>
      </c>
      <c r="AT410" t="s" s="0">
        <v>5026</v>
      </c>
      <c r="AU410" t="s" s="0">
        <v>5027</v>
      </c>
      <c r="AV410" t="s" s="0">
        <v>81</v>
      </c>
      <c r="AW410" t="s" s="0">
        <v>5028</v>
      </c>
      <c r="AX410" t="s" s="0">
        <v>5029</v>
      </c>
      <c r="AY410" t="s" s="0">
        <v>849</v>
      </c>
      <c r="AZ410" t="s" s="0">
        <v>103</v>
      </c>
      <c r="BA410" t="s" s="0">
        <v>4174</v>
      </c>
      <c r="BB410" t="s" s="0">
        <v>81</v>
      </c>
      <c r="BC410" t="s" s="0">
        <v>81</v>
      </c>
      <c r="BD410" t="s" s="0">
        <v>81</v>
      </c>
      <c r="BE410" t="s" s="0">
        <v>81</v>
      </c>
      <c r="BF410" t="s" s="0">
        <v>81</v>
      </c>
      <c r="BG410" t="s" s="0">
        <v>81</v>
      </c>
      <c r="BH410" t="s" s="0">
        <v>81</v>
      </c>
      <c r="BI410" t="s" s="0">
        <v>9346</v>
      </c>
      <c r="BJ410" t="s" s="0">
        <v>9347</v>
      </c>
      <c r="BK410" t="s" s="813">
        <f>HYPERLINK("http://dx.doi.org/10.1016/j.ijnurstu.2026.105386","http://dx.doi.org/10.1016/j.ijnurstu.2026.105386")</f>
        <v>9348</v>
      </c>
      <c r="BL410" t="s" s="0">
        <v>81</v>
      </c>
      <c r="BM410" t="s" s="0">
        <v>81</v>
      </c>
      <c r="BN410" t="s" s="0">
        <v>211</v>
      </c>
      <c r="BO410" t="s" s="0">
        <v>5034</v>
      </c>
      <c r="BP410" t="s" s="0">
        <v>5034</v>
      </c>
      <c r="BQ410" t="s" s="0">
        <v>9349</v>
      </c>
      <c r="BR410" t="s" s="0">
        <v>9350</v>
      </c>
      <c r="BS410" t="s" s="0">
        <v>9351</v>
      </c>
      <c r="BT410" t="s" s="814">
        <f>HYPERLINK("https://www.webofscience.com/wos/woscc/full-record/WOS:001707620800001","View Record in Web of Science")</f>
        <v>114</v>
      </c>
      <c r="BU410" t="s" s="0">
        <v>1360</v>
      </c>
      <c r="BV410" t="s" s="0">
        <v>81</v>
      </c>
      <c r="BW410" t="s" s="0">
        <v>81</v>
      </c>
      <c r="BX410" t="s" s="0">
        <v>116</v>
      </c>
    </row>
    <row r="411">
      <c r="A411" t="s" s="0">
        <v>77</v>
      </c>
      <c r="B411" t="s" s="0">
        <v>77</v>
      </c>
      <c r="C411" t="s" s="0">
        <v>77</v>
      </c>
      <c r="D411" t="s" s="0">
        <v>77</v>
      </c>
      <c r="E411" t="s" s="0">
        <v>9352</v>
      </c>
      <c r="F411" t="s" s="0">
        <v>9353</v>
      </c>
      <c r="G411" t="s" s="0">
        <v>9354</v>
      </c>
      <c r="H411" t="s" s="0">
        <v>81</v>
      </c>
      <c r="I411" t="s" s="0">
        <v>82</v>
      </c>
      <c r="J411" t="s" s="0">
        <v>9355</v>
      </c>
      <c r="K411" t="s" s="0">
        <v>9356</v>
      </c>
      <c r="L411" t="s" s="0">
        <v>9357</v>
      </c>
      <c r="M411" t="s" s="0">
        <v>9358</v>
      </c>
      <c r="N411" t="s" s="0">
        <v>9359</v>
      </c>
      <c r="O411" t="s" s="0">
        <v>9360</v>
      </c>
      <c r="P411" t="s" s="0">
        <v>9361</v>
      </c>
      <c r="Q411" t="s" s="0">
        <v>87</v>
      </c>
      <c r="R411" t="s" s="0">
        <v>81</v>
      </c>
      <c r="S411" t="s" s="0">
        <v>81</v>
      </c>
      <c r="T411" t="s" s="0">
        <v>81</v>
      </c>
      <c r="U411" t="s" s="0">
        <v>81</v>
      </c>
      <c r="V411" t="s" s="0">
        <v>9362</v>
      </c>
      <c r="W411" t="s" s="0">
        <v>1369</v>
      </c>
      <c r="X411" t="s" s="0">
        <v>81</v>
      </c>
      <c r="Y411" t="s" s="0">
        <v>81</v>
      </c>
      <c r="Z411" t="s" s="0">
        <v>90</v>
      </c>
      <c r="AA411" t="s" s="0">
        <v>91</v>
      </c>
      <c r="AB411" t="s" s="0">
        <v>81</v>
      </c>
      <c r="AC411" t="s" s="0">
        <v>81</v>
      </c>
      <c r="AD411" t="s" s="0">
        <v>81</v>
      </c>
      <c r="AE411" t="s" s="0">
        <v>81</v>
      </c>
      <c r="AF411" t="s" s="0">
        <v>81</v>
      </c>
      <c r="AG411" t="s" s="0">
        <v>9363</v>
      </c>
      <c r="AH411" t="s" s="0">
        <v>9364</v>
      </c>
      <c r="AI411" t="s" s="0">
        <v>81</v>
      </c>
      <c r="AJ411" t="s" s="0">
        <v>9365</v>
      </c>
      <c r="AK411" t="s" s="0">
        <v>81</v>
      </c>
      <c r="AL411" t="s" s="0">
        <v>1207</v>
      </c>
      <c r="AM411" t="s" s="0">
        <v>97</v>
      </c>
      <c r="AN411" t="s" s="0">
        <v>97</v>
      </c>
      <c r="AO411" t="s" s="0">
        <v>77</v>
      </c>
      <c r="AP411" t="s" s="0">
        <v>97</v>
      </c>
      <c r="AQ411" t="s" s="0">
        <v>284</v>
      </c>
      <c r="AR411" t="s" s="0">
        <v>285</v>
      </c>
      <c r="AS411" t="s" s="0">
        <v>286</v>
      </c>
      <c r="AT411" t="s" s="0">
        <v>81</v>
      </c>
      <c r="AU411" t="s" s="0">
        <v>1375</v>
      </c>
      <c r="AV411" t="s" s="0">
        <v>81</v>
      </c>
      <c r="AW411" t="s" s="0">
        <v>1369</v>
      </c>
      <c r="AX411" t="s" s="0">
        <v>1376</v>
      </c>
      <c r="AY411" t="s" s="0">
        <v>1232</v>
      </c>
      <c r="AZ411" t="s" s="0">
        <v>290</v>
      </c>
      <c r="BA411" t="s" s="0">
        <v>222</v>
      </c>
      <c r="BB411" t="s" s="0">
        <v>874</v>
      </c>
      <c r="BC411" t="s" s="0">
        <v>81</v>
      </c>
      <c r="BD411" t="s" s="0">
        <v>81</v>
      </c>
      <c r="BE411" t="s" s="0">
        <v>81</v>
      </c>
      <c r="BF411" t="s" s="0">
        <v>81</v>
      </c>
      <c r="BG411" t="s" s="0">
        <v>81</v>
      </c>
      <c r="BH411" t="s" s="0">
        <v>81</v>
      </c>
      <c r="BI411" t="s" s="0">
        <v>9366</v>
      </c>
      <c r="BJ411" t="s" s="0">
        <v>9367</v>
      </c>
      <c r="BK411" t="s" s="815">
        <f>HYPERLINK("http://dx.doi.org/10.3390/cancers17213454","http://dx.doi.org/10.3390/cancers17213454")</f>
        <v>9368</v>
      </c>
      <c r="BL411" t="s" s="0">
        <v>81</v>
      </c>
      <c r="BM411" t="s" s="0">
        <v>81</v>
      </c>
      <c r="BN411" t="s" s="0">
        <v>135</v>
      </c>
      <c r="BO411" t="s" s="0">
        <v>1380</v>
      </c>
      <c r="BP411" t="s" s="0">
        <v>1380</v>
      </c>
      <c r="BQ411" t="s" s="0">
        <v>9369</v>
      </c>
      <c r="BR411" t="s" s="0">
        <v>9370</v>
      </c>
      <c r="BS411" t="s" s="0">
        <v>9371</v>
      </c>
      <c r="BT411" t="s" s="816">
        <f>HYPERLINK("https://www.webofscience.com/wos/woscc/full-record/WOS:001614915000001","View Record in Web of Science")</f>
        <v>114</v>
      </c>
      <c r="BU411" t="s" s="0">
        <v>301</v>
      </c>
      <c r="BV411" t="s" s="0">
        <v>81</v>
      </c>
      <c r="BW411" t="s" s="0">
        <v>81</v>
      </c>
      <c r="BX411" t="s" s="0">
        <v>116</v>
      </c>
    </row>
    <row r="412">
      <c r="A412" t="s" s="0">
        <v>77</v>
      </c>
      <c r="B412" t="s" s="0">
        <v>77</v>
      </c>
      <c r="C412" t="s" s="0">
        <v>196</v>
      </c>
      <c r="D412" t="s" s="0">
        <v>77</v>
      </c>
      <c r="E412" t="s" s="0">
        <v>9372</v>
      </c>
      <c r="F412" t="s" s="0">
        <v>9373</v>
      </c>
      <c r="G412" t="s" s="0">
        <v>9374</v>
      </c>
      <c r="H412" t="s" s="0">
        <v>81</v>
      </c>
      <c r="I412" t="s" s="0">
        <v>82</v>
      </c>
      <c r="J412" t="s" s="0">
        <v>9375</v>
      </c>
      <c r="K412" t="s" s="0">
        <v>9376</v>
      </c>
      <c r="L412" t="s" s="0">
        <v>81</v>
      </c>
      <c r="M412" t="s" s="0">
        <v>81</v>
      </c>
      <c r="N412" t="s" s="0">
        <v>81</v>
      </c>
      <c r="O412" t="s" s="0">
        <v>9377</v>
      </c>
      <c r="P412" t="s" s="0">
        <v>9378</v>
      </c>
      <c r="Q412" t="s" s="0">
        <v>87</v>
      </c>
      <c r="R412" t="s" s="0">
        <v>81</v>
      </c>
      <c r="S412" t="s" s="0">
        <v>81</v>
      </c>
      <c r="T412" t="s" s="0">
        <v>81</v>
      </c>
      <c r="U412" t="s" s="0">
        <v>81</v>
      </c>
      <c r="V412" t="s" s="0">
        <v>9379</v>
      </c>
      <c r="W412" t="s" s="0">
        <v>1855</v>
      </c>
      <c r="X412" t="s" s="0">
        <v>81</v>
      </c>
      <c r="Y412" t="s" s="0">
        <v>81</v>
      </c>
      <c r="Z412" t="s" s="0">
        <v>90</v>
      </c>
      <c r="AA412" t="s" s="0">
        <v>91</v>
      </c>
      <c r="AB412" t="s" s="0">
        <v>81</v>
      </c>
      <c r="AC412" t="s" s="0">
        <v>81</v>
      </c>
      <c r="AD412" t="s" s="0">
        <v>81</v>
      </c>
      <c r="AE412" t="s" s="0">
        <v>81</v>
      </c>
      <c r="AF412" t="s" s="0">
        <v>81</v>
      </c>
      <c r="AG412" t="s" s="0">
        <v>9380</v>
      </c>
      <c r="AH412" t="s" s="0">
        <v>9381</v>
      </c>
      <c r="AI412" t="s" s="0">
        <v>9382</v>
      </c>
      <c r="AJ412" t="s" s="0">
        <v>9383</v>
      </c>
      <c r="AK412" t="s" s="0">
        <v>81</v>
      </c>
      <c r="AL412" t="s" s="0">
        <v>4518</v>
      </c>
      <c r="AM412" t="s" s="0">
        <v>150</v>
      </c>
      <c r="AN412" t="s" s="0">
        <v>756</v>
      </c>
      <c r="AO412" t="s" s="0">
        <v>175</v>
      </c>
      <c r="AP412" t="s" s="0">
        <v>324</v>
      </c>
      <c r="AQ412" t="s" s="0">
        <v>136</v>
      </c>
      <c r="AR412" t="s" s="0">
        <v>137</v>
      </c>
      <c r="AS412" t="s" s="0">
        <v>138</v>
      </c>
      <c r="AT412" t="s" s="0">
        <v>1860</v>
      </c>
      <c r="AU412" t="s" s="0">
        <v>1861</v>
      </c>
      <c r="AV412" t="s" s="0">
        <v>81</v>
      </c>
      <c r="AW412" t="s" s="0">
        <v>1862</v>
      </c>
      <c r="AX412" t="s" s="0">
        <v>1863</v>
      </c>
      <c r="AY412" t="s" s="0">
        <v>9384</v>
      </c>
      <c r="AZ412" t="s" s="0">
        <v>260</v>
      </c>
      <c r="BA412" t="s" s="0">
        <v>9385</v>
      </c>
      <c r="BB412" t="s" s="0">
        <v>81</v>
      </c>
      <c r="BC412" t="s" s="0">
        <v>81</v>
      </c>
      <c r="BD412" t="s" s="0">
        <v>81</v>
      </c>
      <c r="BE412" t="s" s="0">
        <v>81</v>
      </c>
      <c r="BF412" t="s" s="0">
        <v>81</v>
      </c>
      <c r="BG412" t="s" s="0">
        <v>81</v>
      </c>
      <c r="BH412" t="s" s="0">
        <v>81</v>
      </c>
      <c r="BI412" t="s" s="0">
        <v>9386</v>
      </c>
      <c r="BJ412" t="s" s="0">
        <v>9387</v>
      </c>
      <c r="BK412" t="s" s="817">
        <f>HYPERLINK("http://dx.doi.org/10.1016/j.knosys.2023.110866","http://dx.doi.org/10.1016/j.knosys.2023.110866")</f>
        <v>9388</v>
      </c>
      <c r="BL412" t="s" s="0">
        <v>81</v>
      </c>
      <c r="BM412" t="s" s="0">
        <v>2077</v>
      </c>
      <c r="BN412" t="s" s="0">
        <v>135</v>
      </c>
      <c r="BO412" t="s" s="0">
        <v>409</v>
      </c>
      <c r="BP412" t="s" s="0">
        <v>152</v>
      </c>
      <c r="BQ412" t="s" s="0">
        <v>9389</v>
      </c>
      <c r="BR412" t="s" s="0">
        <v>81</v>
      </c>
      <c r="BS412" t="s" s="0">
        <v>9390</v>
      </c>
      <c r="BT412" t="s" s="818">
        <f>HYPERLINK("https://www.webofscience.com/wos/woscc/full-record/WOS:001065670900001","View Record in Web of Science")</f>
        <v>114</v>
      </c>
      <c r="BU412" t="s" s="0">
        <v>233</v>
      </c>
      <c r="BV412" t="s" s="0">
        <v>81</v>
      </c>
      <c r="BW412" t="s" s="0">
        <v>81</v>
      </c>
      <c r="BX412" t="s" s="0">
        <v>116</v>
      </c>
    </row>
    <row r="413">
      <c r="A413" t="s" s="0">
        <v>77</v>
      </c>
      <c r="B413" t="s" s="0">
        <v>77</v>
      </c>
      <c r="C413" t="s" s="0">
        <v>77</v>
      </c>
      <c r="D413" t="s" s="0">
        <v>77</v>
      </c>
      <c r="E413" t="s" s="0">
        <v>9391</v>
      </c>
      <c r="F413" t="s" s="0">
        <v>9392</v>
      </c>
      <c r="G413" t="s" s="0">
        <v>9393</v>
      </c>
      <c r="H413" t="s" s="0">
        <v>81</v>
      </c>
      <c r="I413" t="s" s="0">
        <v>82</v>
      </c>
      <c r="J413" t="s" s="0">
        <v>9394</v>
      </c>
      <c r="K413" t="s" s="0">
        <v>9395</v>
      </c>
      <c r="L413" t="s" s="0">
        <v>9396</v>
      </c>
      <c r="M413" t="s" s="0">
        <v>9397</v>
      </c>
      <c r="N413" t="s" s="0">
        <v>9398</v>
      </c>
      <c r="O413" t="s" s="0">
        <v>9399</v>
      </c>
      <c r="P413" t="s" s="0">
        <v>9400</v>
      </c>
      <c r="Q413" t="s" s="0">
        <v>87</v>
      </c>
      <c r="R413" t="s" s="0">
        <v>81</v>
      </c>
      <c r="S413" t="s" s="0">
        <v>81</v>
      </c>
      <c r="T413" t="s" s="0">
        <v>81</v>
      </c>
      <c r="U413" t="s" s="0">
        <v>81</v>
      </c>
      <c r="V413" t="s" s="0">
        <v>9401</v>
      </c>
      <c r="W413" t="s" s="0">
        <v>9402</v>
      </c>
      <c r="X413" t="s" s="0">
        <v>81</v>
      </c>
      <c r="Y413" t="s" s="0">
        <v>81</v>
      </c>
      <c r="Z413" t="s" s="0">
        <v>90</v>
      </c>
      <c r="AA413" t="s" s="0">
        <v>91</v>
      </c>
      <c r="AB413" t="s" s="0">
        <v>81</v>
      </c>
      <c r="AC413" t="s" s="0">
        <v>81</v>
      </c>
      <c r="AD413" t="s" s="0">
        <v>81</v>
      </c>
      <c r="AE413" t="s" s="0">
        <v>81</v>
      </c>
      <c r="AF413" t="s" s="0">
        <v>81</v>
      </c>
      <c r="AG413" t="s" s="0">
        <v>9403</v>
      </c>
      <c r="AH413" t="s" s="0">
        <v>9404</v>
      </c>
      <c r="AI413" t="s" s="0">
        <v>9405</v>
      </c>
      <c r="AJ413" t="s" s="0">
        <v>81</v>
      </c>
      <c r="AK413" t="s" s="0">
        <v>81</v>
      </c>
      <c r="AL413" t="s" s="0">
        <v>890</v>
      </c>
      <c r="AM413" t="s" s="0">
        <v>97</v>
      </c>
      <c r="AN413" t="s" s="0">
        <v>97</v>
      </c>
      <c r="AO413" t="s" s="0">
        <v>156</v>
      </c>
      <c r="AP413" t="s" s="0">
        <v>196</v>
      </c>
      <c r="AQ413" t="s" s="0">
        <v>1654</v>
      </c>
      <c r="AR413" t="s" s="0">
        <v>1345</v>
      </c>
      <c r="AS413" t="s" s="0">
        <v>1655</v>
      </c>
      <c r="AT413" t="s" s="0">
        <v>9406</v>
      </c>
      <c r="AU413" t="s" s="0">
        <v>9407</v>
      </c>
      <c r="AV413" t="s" s="0">
        <v>81</v>
      </c>
      <c r="AW413" t="s" s="0">
        <v>9408</v>
      </c>
      <c r="AX413" t="s" s="0">
        <v>9409</v>
      </c>
      <c r="AY413" t="s" s="0">
        <v>578</v>
      </c>
      <c r="AZ413" t="s" s="0">
        <v>290</v>
      </c>
      <c r="BA413" t="s" s="0">
        <v>228</v>
      </c>
      <c r="BB413" t="s" s="0">
        <v>133</v>
      </c>
      <c r="BC413" t="s" s="0">
        <v>81</v>
      </c>
      <c r="BD413" t="s" s="0">
        <v>81</v>
      </c>
      <c r="BE413" t="s" s="0">
        <v>81</v>
      </c>
      <c r="BF413" t="s" s="0">
        <v>81</v>
      </c>
      <c r="BG413" t="s" s="0">
        <v>81</v>
      </c>
      <c r="BH413" t="s" s="0">
        <v>81</v>
      </c>
      <c r="BI413" t="s" s="0">
        <v>9410</v>
      </c>
      <c r="BJ413" t="s" s="0">
        <v>9411</v>
      </c>
      <c r="BK413" t="s" s="819">
        <f>HYPERLINK("http://dx.doi.org/10.1093/bib/bbaf455","http://dx.doi.org/10.1093/bib/bbaf455")</f>
        <v>9412</v>
      </c>
      <c r="BL413" t="s" s="0">
        <v>81</v>
      </c>
      <c r="BM413" t="s" s="0">
        <v>81</v>
      </c>
      <c r="BN413" t="s" s="0">
        <v>222</v>
      </c>
      <c r="BO413" t="s" s="0">
        <v>9413</v>
      </c>
      <c r="BP413" t="s" s="0">
        <v>9414</v>
      </c>
      <c r="BQ413" t="s" s="0">
        <v>9415</v>
      </c>
      <c r="BR413" t="s" s="0">
        <v>9416</v>
      </c>
      <c r="BS413" t="s" s="0">
        <v>9417</v>
      </c>
      <c r="BT413" t="s" s="820">
        <f>HYPERLINK("https://www.webofscience.com/wos/woscc/full-record/WOS:001565630700001","View Record in Web of Science")</f>
        <v>114</v>
      </c>
      <c r="BU413" t="s" s="0">
        <v>301</v>
      </c>
      <c r="BV413" t="s" s="0">
        <v>81</v>
      </c>
      <c r="BW413" t="s" s="0">
        <v>81</v>
      </c>
      <c r="BX413" t="s" s="0">
        <v>116</v>
      </c>
    </row>
    <row r="414">
      <c r="A414" t="s" s="0">
        <v>77</v>
      </c>
      <c r="B414" t="s" s="0">
        <v>77</v>
      </c>
      <c r="C414" t="s" s="0">
        <v>77</v>
      </c>
      <c r="D414" t="s" s="0">
        <v>77</v>
      </c>
      <c r="E414" t="s" s="0">
        <v>9418</v>
      </c>
      <c r="F414" t="s" s="0">
        <v>9419</v>
      </c>
      <c r="G414" t="s" s="0">
        <v>9420</v>
      </c>
      <c r="H414" t="s" s="0">
        <v>81</v>
      </c>
      <c r="I414" t="s" s="0">
        <v>82</v>
      </c>
      <c r="J414" t="s" s="0">
        <v>9421</v>
      </c>
      <c r="K414" t="s" s="0">
        <v>9422</v>
      </c>
      <c r="L414" t="s" s="0">
        <v>9423</v>
      </c>
      <c r="M414" t="s" s="0">
        <v>9255</v>
      </c>
      <c r="N414" t="s" s="0">
        <v>9424</v>
      </c>
      <c r="O414" t="s" s="0">
        <v>9425</v>
      </c>
      <c r="P414" t="s" s="0">
        <v>9426</v>
      </c>
      <c r="Q414" t="s" s="0">
        <v>87</v>
      </c>
      <c r="R414" t="s" s="0">
        <v>81</v>
      </c>
      <c r="S414" t="s" s="0">
        <v>81</v>
      </c>
      <c r="T414" t="s" s="0">
        <v>81</v>
      </c>
      <c r="U414" t="s" s="0">
        <v>81</v>
      </c>
      <c r="V414" t="s" s="0">
        <v>9427</v>
      </c>
      <c r="W414" t="s" s="0">
        <v>910</v>
      </c>
      <c r="X414" t="s" s="0">
        <v>81</v>
      </c>
      <c r="Y414" t="s" s="0">
        <v>81</v>
      </c>
      <c r="Z414" t="s" s="0">
        <v>90</v>
      </c>
      <c r="AA414" t="s" s="0">
        <v>91</v>
      </c>
      <c r="AB414" t="s" s="0">
        <v>81</v>
      </c>
      <c r="AC414" t="s" s="0">
        <v>81</v>
      </c>
      <c r="AD414" t="s" s="0">
        <v>81</v>
      </c>
      <c r="AE414" t="s" s="0">
        <v>81</v>
      </c>
      <c r="AF414" t="s" s="0">
        <v>81</v>
      </c>
      <c r="AG414" t="s" s="0">
        <v>9428</v>
      </c>
      <c r="AH414" t="s" s="0">
        <v>9429</v>
      </c>
      <c r="AI414" t="s" s="0">
        <v>81</v>
      </c>
      <c r="AJ414" t="s" s="0">
        <v>81</v>
      </c>
      <c r="AK414" t="s" s="0">
        <v>81</v>
      </c>
      <c r="AL414" t="s" s="0">
        <v>1684</v>
      </c>
      <c r="AM414" t="s" s="0">
        <v>77</v>
      </c>
      <c r="AN414" t="s" s="0">
        <v>77</v>
      </c>
      <c r="AO414" t="s" s="0">
        <v>77</v>
      </c>
      <c r="AP414" t="s" s="0">
        <v>77</v>
      </c>
      <c r="AQ414" t="s" s="0">
        <v>915</v>
      </c>
      <c r="AR414" t="s" s="0">
        <v>916</v>
      </c>
      <c r="AS414" t="s" s="0">
        <v>917</v>
      </c>
      <c r="AT414" t="s" s="0">
        <v>918</v>
      </c>
      <c r="AU414" t="s" s="0">
        <v>81</v>
      </c>
      <c r="AV414" t="s" s="0">
        <v>81</v>
      </c>
      <c r="AW414" t="s" s="0">
        <v>919</v>
      </c>
      <c r="AX414" t="s" s="0">
        <v>920</v>
      </c>
      <c r="AY414" t="s" s="0">
        <v>9430</v>
      </c>
      <c r="AZ414" t="s" s="0">
        <v>103</v>
      </c>
      <c r="BA414" t="s" s="0">
        <v>925</v>
      </c>
      <c r="BB414" t="s" s="0">
        <v>97</v>
      </c>
      <c r="BC414" t="s" s="0">
        <v>81</v>
      </c>
      <c r="BD414" t="s" s="0">
        <v>81</v>
      </c>
      <c r="BE414" t="s" s="0">
        <v>81</v>
      </c>
      <c r="BF414" t="s" s="0">
        <v>81</v>
      </c>
      <c r="BG414" t="s" s="0">
        <v>81</v>
      </c>
      <c r="BH414" t="s" s="0">
        <v>81</v>
      </c>
      <c r="BI414" t="s" s="0">
        <v>9431</v>
      </c>
      <c r="BJ414" t="s" s="0">
        <v>9432</v>
      </c>
      <c r="BK414" t="s" s="821">
        <f>HYPERLINK("http://dx.doi.org/10.1038/s41598-026-55415-x","http://dx.doi.org/10.1038/s41598-026-55415-x")</f>
        <v>9433</v>
      </c>
      <c r="BL414" t="s" s="0">
        <v>81</v>
      </c>
      <c r="BM414" t="s" s="0">
        <v>81</v>
      </c>
      <c r="BN414" t="s" s="0">
        <v>176</v>
      </c>
      <c r="BO414" t="s" s="0">
        <v>926</v>
      </c>
      <c r="BP414" t="s" s="0">
        <v>927</v>
      </c>
      <c r="BQ414" t="s" s="0">
        <v>9434</v>
      </c>
      <c r="BR414" t="s" s="0">
        <v>9435</v>
      </c>
      <c r="BS414" t="s" s="0">
        <v>9436</v>
      </c>
      <c r="BT414" t="s" s="822">
        <f>HYPERLINK("https://www.webofscience.com/wos/woscc/full-record/WOS:001844163900005","View Record in Web of Science")</f>
        <v>114</v>
      </c>
      <c r="BU414" t="s" s="0">
        <v>115</v>
      </c>
      <c r="BV414" t="s" s="0">
        <v>81</v>
      </c>
      <c r="BW414" t="s" s="0">
        <v>81</v>
      </c>
      <c r="BX414" t="s" s="0">
        <v>116</v>
      </c>
    </row>
    <row r="415">
      <c r="A415" t="s" s="0">
        <v>77</v>
      </c>
      <c r="B415" t="s" s="0">
        <v>77</v>
      </c>
      <c r="C415" t="s" s="0">
        <v>97</v>
      </c>
      <c r="D415" t="s" s="0">
        <v>77</v>
      </c>
      <c r="E415" t="s" s="0">
        <v>9437</v>
      </c>
      <c r="F415" t="s" s="0">
        <v>9438</v>
      </c>
      <c r="G415" t="s" s="0">
        <v>9439</v>
      </c>
      <c r="H415" t="s" s="0">
        <v>81</v>
      </c>
      <c r="I415" t="s" s="0">
        <v>82</v>
      </c>
      <c r="J415" t="s" s="0">
        <v>9440</v>
      </c>
      <c r="K415" t="s" s="0">
        <v>9441</v>
      </c>
      <c r="L415" t="s" s="0">
        <v>9442</v>
      </c>
      <c r="M415" t="s" s="0">
        <v>9443</v>
      </c>
      <c r="N415" t="s" s="0">
        <v>9444</v>
      </c>
      <c r="O415" t="s" s="0">
        <v>9445</v>
      </c>
      <c r="P415" t="s" s="0">
        <v>9446</v>
      </c>
      <c r="Q415" t="s" s="0">
        <v>87</v>
      </c>
      <c r="R415" t="s" s="0">
        <v>81</v>
      </c>
      <c r="S415" t="s" s="0">
        <v>81</v>
      </c>
      <c r="T415" t="s" s="0">
        <v>81</v>
      </c>
      <c r="U415" t="s" s="0">
        <v>81</v>
      </c>
      <c r="V415" t="s" s="0">
        <v>9447</v>
      </c>
      <c r="W415" t="s" s="0">
        <v>9448</v>
      </c>
      <c r="X415" t="s" s="0">
        <v>81</v>
      </c>
      <c r="Y415" t="s" s="0">
        <v>81</v>
      </c>
      <c r="Z415" t="s" s="0">
        <v>90</v>
      </c>
      <c r="AA415" t="s" s="0">
        <v>91</v>
      </c>
      <c r="AB415" t="s" s="0">
        <v>81</v>
      </c>
      <c r="AC415" t="s" s="0">
        <v>81</v>
      </c>
      <c r="AD415" t="s" s="0">
        <v>81</v>
      </c>
      <c r="AE415" t="s" s="0">
        <v>81</v>
      </c>
      <c r="AF415" t="s" s="0">
        <v>81</v>
      </c>
      <c r="AG415" t="s" s="0">
        <v>81</v>
      </c>
      <c r="AH415" t="s" s="0">
        <v>81</v>
      </c>
      <c r="AI415" t="s" s="0">
        <v>9449</v>
      </c>
      <c r="AJ415" t="s" s="0">
        <v>9450</v>
      </c>
      <c r="AK415" t="s" s="0">
        <v>81</v>
      </c>
      <c r="AL415" t="s" s="0">
        <v>4311</v>
      </c>
      <c r="AM415" t="s" s="0">
        <v>156</v>
      </c>
      <c r="AN415" t="s" s="0">
        <v>196</v>
      </c>
      <c r="AO415" t="s" s="0">
        <v>291</v>
      </c>
      <c r="AP415" t="s" s="0">
        <v>291</v>
      </c>
      <c r="AQ415" t="s" s="0">
        <v>254</v>
      </c>
      <c r="AR415" t="s" s="0">
        <v>255</v>
      </c>
      <c r="AS415" t="s" s="0">
        <v>256</v>
      </c>
      <c r="AT415" t="s" s="0">
        <v>81</v>
      </c>
      <c r="AU415" t="s" s="0">
        <v>9451</v>
      </c>
      <c r="AV415" t="s" s="0">
        <v>81</v>
      </c>
      <c r="AW415" t="s" s="0">
        <v>9448</v>
      </c>
      <c r="AX415" t="s" s="0">
        <v>9452</v>
      </c>
      <c r="AY415" t="s" s="0">
        <v>9453</v>
      </c>
      <c r="AZ415" t="s" s="0">
        <v>103</v>
      </c>
      <c r="BA415" t="s" s="0">
        <v>890</v>
      </c>
      <c r="BB415" t="s" s="0">
        <v>196</v>
      </c>
      <c r="BC415" t="s" s="0">
        <v>81</v>
      </c>
      <c r="BD415" t="s" s="0">
        <v>81</v>
      </c>
      <c r="BE415" t="s" s="0">
        <v>81</v>
      </c>
      <c r="BF415" t="s" s="0">
        <v>81</v>
      </c>
      <c r="BG415" t="s" s="0">
        <v>81</v>
      </c>
      <c r="BH415" t="s" s="0">
        <v>81</v>
      </c>
      <c r="BI415" t="s" s="0">
        <v>9454</v>
      </c>
      <c r="BJ415" t="s" s="0">
        <v>9455</v>
      </c>
      <c r="BK415" t="s" s="823">
        <f>HYPERLINK("http://dx.doi.org/10.1016/j.isci.2026.115134","http://dx.doi.org/10.1016/j.isci.2026.115134")</f>
        <v>9456</v>
      </c>
      <c r="BL415" t="s" s="0">
        <v>81</v>
      </c>
      <c r="BM415" t="s" s="0">
        <v>81</v>
      </c>
      <c r="BN415" t="s" s="0">
        <v>104</v>
      </c>
      <c r="BO415" t="s" s="0">
        <v>926</v>
      </c>
      <c r="BP415" t="s" s="0">
        <v>927</v>
      </c>
      <c r="BQ415" t="s" s="0">
        <v>9457</v>
      </c>
      <c r="BR415" t="s" s="0">
        <v>9458</v>
      </c>
      <c r="BS415" t="s" s="0">
        <v>9459</v>
      </c>
      <c r="BT415" t="s" s="824">
        <f>HYPERLINK("https://www.webofscience.com/wos/woscc/full-record/WOS:001715817500001","View Record in Web of Science")</f>
        <v>114</v>
      </c>
      <c r="BU415" t="s" s="0">
        <v>301</v>
      </c>
      <c r="BV415" t="s" s="0">
        <v>81</v>
      </c>
      <c r="BW415" t="s" s="0">
        <v>81</v>
      </c>
      <c r="BX415" t="s" s="0">
        <v>116</v>
      </c>
    </row>
    <row r="416">
      <c r="A416" t="s" s="0">
        <v>77</v>
      </c>
      <c r="B416" t="s" s="0">
        <v>77</v>
      </c>
      <c r="C416" t="s" s="0">
        <v>77</v>
      </c>
      <c r="D416" t="s" s="0">
        <v>77</v>
      </c>
      <c r="E416" t="s" s="0">
        <v>9460</v>
      </c>
      <c r="F416" t="s" s="0">
        <v>9461</v>
      </c>
      <c r="G416" t="s" s="0">
        <v>9462</v>
      </c>
      <c r="H416" t="s" s="0">
        <v>81</v>
      </c>
      <c r="I416" t="s" s="0">
        <v>82</v>
      </c>
      <c r="J416" t="s" s="0">
        <v>9463</v>
      </c>
      <c r="K416" t="s" s="0">
        <v>9464</v>
      </c>
      <c r="L416" t="s" s="0">
        <v>9465</v>
      </c>
      <c r="M416" t="s" s="0">
        <v>9465</v>
      </c>
      <c r="N416" t="s" s="0">
        <v>9466</v>
      </c>
      <c r="O416" t="s" s="0">
        <v>9467</v>
      </c>
      <c r="P416" t="s" s="0">
        <v>9468</v>
      </c>
      <c r="Q416" t="s" s="0">
        <v>87</v>
      </c>
      <c r="R416" t="s" s="0">
        <v>81</v>
      </c>
      <c r="S416" t="s" s="0">
        <v>81</v>
      </c>
      <c r="T416" t="s" s="0">
        <v>81</v>
      </c>
      <c r="U416" t="s" s="0">
        <v>81</v>
      </c>
      <c r="V416" t="s" s="0">
        <v>9469</v>
      </c>
      <c r="W416" t="s" s="0">
        <v>9470</v>
      </c>
      <c r="X416" t="s" s="0">
        <v>81</v>
      </c>
      <c r="Y416" t="s" s="0">
        <v>81</v>
      </c>
      <c r="Z416" t="s" s="0">
        <v>90</v>
      </c>
      <c r="AA416" t="s" s="0">
        <v>91</v>
      </c>
      <c r="AB416" t="s" s="0">
        <v>81</v>
      </c>
      <c r="AC416" t="s" s="0">
        <v>81</v>
      </c>
      <c r="AD416" t="s" s="0">
        <v>81</v>
      </c>
      <c r="AE416" t="s" s="0">
        <v>81</v>
      </c>
      <c r="AF416" t="s" s="0">
        <v>81</v>
      </c>
      <c r="AG416" t="s" s="0">
        <v>9471</v>
      </c>
      <c r="AH416" t="s" s="0">
        <v>9472</v>
      </c>
      <c r="AI416" t="s" s="0">
        <v>9473</v>
      </c>
      <c r="AJ416" t="s" s="0">
        <v>81</v>
      </c>
      <c r="AK416" t="s" s="0">
        <v>81</v>
      </c>
      <c r="AL416" t="s" s="0">
        <v>1442</v>
      </c>
      <c r="AM416" t="s" s="0">
        <v>77</v>
      </c>
      <c r="AN416" t="s" s="0">
        <v>77</v>
      </c>
      <c r="AO416" t="s" s="0">
        <v>97</v>
      </c>
      <c r="AP416" t="s" s="0">
        <v>97</v>
      </c>
      <c r="AQ416" t="s" s="0">
        <v>212</v>
      </c>
      <c r="AR416" t="s" s="0">
        <v>429</v>
      </c>
      <c r="AS416" t="s" s="0">
        <v>784</v>
      </c>
      <c r="AT416" t="s" s="0">
        <v>9474</v>
      </c>
      <c r="AU416" t="s" s="0">
        <v>9475</v>
      </c>
      <c r="AV416" t="s" s="0">
        <v>81</v>
      </c>
      <c r="AW416" t="s" s="0">
        <v>9476</v>
      </c>
      <c r="AX416" t="s" s="0">
        <v>9477</v>
      </c>
      <c r="AY416" t="s" s="0">
        <v>9478</v>
      </c>
      <c r="AZ416" t="s" s="0">
        <v>103</v>
      </c>
      <c r="BA416" t="s" s="0">
        <v>890</v>
      </c>
      <c r="BB416" t="s" s="0">
        <v>381</v>
      </c>
      <c r="BC416" t="s" s="0">
        <v>81</v>
      </c>
      <c r="BD416" t="s" s="0">
        <v>81</v>
      </c>
      <c r="BE416" t="s" s="0">
        <v>81</v>
      </c>
      <c r="BF416" t="s" s="0">
        <v>81</v>
      </c>
      <c r="BG416" t="s" s="0">
        <v>81</v>
      </c>
      <c r="BH416" t="s" s="0">
        <v>81</v>
      </c>
      <c r="BI416" t="s" s="0">
        <v>9479</v>
      </c>
      <c r="BJ416" t="s" s="0">
        <v>9480</v>
      </c>
      <c r="BK416" t="s" s="825">
        <f>HYPERLINK("http://dx.doi.org/10.1007/s10586-026-06334-z","http://dx.doi.org/10.1007/s10586-026-06334-z")</f>
        <v>9481</v>
      </c>
      <c r="BL416" t="s" s="0">
        <v>81</v>
      </c>
      <c r="BM416" t="s" s="0">
        <v>81</v>
      </c>
      <c r="BN416" t="s" s="0">
        <v>434</v>
      </c>
      <c r="BO416" t="s" s="0">
        <v>4151</v>
      </c>
      <c r="BP416" t="s" s="0">
        <v>152</v>
      </c>
      <c r="BQ416" t="s" s="0">
        <v>9482</v>
      </c>
      <c r="BR416" t="s" s="0">
        <v>81</v>
      </c>
      <c r="BS416" t="s" s="0">
        <v>9483</v>
      </c>
      <c r="BT416" t="s" s="826">
        <f>HYPERLINK("https://www.webofscience.com/wos/woscc/full-record/WOS:001826886300002","View Record in Web of Science")</f>
        <v>114</v>
      </c>
      <c r="BU416" t="s" s="0">
        <v>81</v>
      </c>
      <c r="BV416" t="s" s="0">
        <v>81</v>
      </c>
      <c r="BW416" t="s" s="0">
        <v>81</v>
      </c>
      <c r="BX416" t="s" s="0">
        <v>116</v>
      </c>
    </row>
    <row r="417">
      <c r="A417" t="s" s="0">
        <v>77</v>
      </c>
      <c r="B417" t="s" s="0">
        <v>77</v>
      </c>
      <c r="C417" t="s" s="0">
        <v>316</v>
      </c>
      <c r="D417" t="s" s="0">
        <v>77</v>
      </c>
      <c r="E417" t="s" s="0">
        <v>9484</v>
      </c>
      <c r="F417" t="s" s="0">
        <v>9485</v>
      </c>
      <c r="G417" t="s" s="0">
        <v>9486</v>
      </c>
      <c r="H417" t="s" s="0">
        <v>81</v>
      </c>
      <c r="I417" t="s" s="0">
        <v>82</v>
      </c>
      <c r="J417" t="s" s="0">
        <v>9487</v>
      </c>
      <c r="K417" t="s" s="0">
        <v>9488</v>
      </c>
      <c r="L417" t="s" s="0">
        <v>9489</v>
      </c>
      <c r="M417" t="s" s="0">
        <v>9489</v>
      </c>
      <c r="N417" t="s" s="0">
        <v>9490</v>
      </c>
      <c r="O417" t="s" s="0">
        <v>9491</v>
      </c>
      <c r="P417" t="s" s="0">
        <v>9492</v>
      </c>
      <c r="Q417" t="s" s="0">
        <v>87</v>
      </c>
      <c r="R417" t="s" s="0">
        <v>81</v>
      </c>
      <c r="S417" t="s" s="0">
        <v>81</v>
      </c>
      <c r="T417" t="s" s="0">
        <v>81</v>
      </c>
      <c r="U417" t="s" s="0">
        <v>81</v>
      </c>
      <c r="V417" t="s" s="0">
        <v>9493</v>
      </c>
      <c r="W417" t="s" s="0">
        <v>5647</v>
      </c>
      <c r="X417" t="s" s="0">
        <v>81</v>
      </c>
      <c r="Y417" t="s" s="0">
        <v>81</v>
      </c>
      <c r="Z417" t="s" s="0">
        <v>90</v>
      </c>
      <c r="AA417" t="s" s="0">
        <v>91</v>
      </c>
      <c r="AB417" t="s" s="0">
        <v>81</v>
      </c>
      <c r="AC417" t="s" s="0">
        <v>81</v>
      </c>
      <c r="AD417" t="s" s="0">
        <v>81</v>
      </c>
      <c r="AE417" t="s" s="0">
        <v>81</v>
      </c>
      <c r="AF417" t="s" s="0">
        <v>81</v>
      </c>
      <c r="AG417" t="s" s="0">
        <v>9494</v>
      </c>
      <c r="AH417" t="s" s="0">
        <v>9495</v>
      </c>
      <c r="AI417" t="s" s="0">
        <v>9496</v>
      </c>
      <c r="AJ417" t="s" s="0">
        <v>9497</v>
      </c>
      <c r="AK417" t="s" s="0">
        <v>81</v>
      </c>
      <c r="AL417" t="s" s="0">
        <v>756</v>
      </c>
      <c r="AM417" t="s" s="0">
        <v>150</v>
      </c>
      <c r="AN417" t="s" s="0">
        <v>399</v>
      </c>
      <c r="AO417" t="s" s="0">
        <v>925</v>
      </c>
      <c r="AP417" t="s" s="0">
        <v>222</v>
      </c>
      <c r="AQ417" t="s" s="0">
        <v>665</v>
      </c>
      <c r="AR417" t="s" s="0">
        <v>546</v>
      </c>
      <c r="AS417" t="s" s="0">
        <v>666</v>
      </c>
      <c r="AT417" t="s" s="0">
        <v>81</v>
      </c>
      <c r="AU417" t="s" s="0">
        <v>5652</v>
      </c>
      <c r="AV417" t="s" s="0">
        <v>81</v>
      </c>
      <c r="AW417" t="s" s="0">
        <v>5647</v>
      </c>
      <c r="AX417" t="s" s="0">
        <v>5653</v>
      </c>
      <c r="AY417" t="s" s="0">
        <v>9498</v>
      </c>
      <c r="AZ417" t="s" s="0">
        <v>290</v>
      </c>
      <c r="BA417" t="s" s="0">
        <v>109</v>
      </c>
      <c r="BB417" t="s" s="0">
        <v>97</v>
      </c>
      <c r="BC417" t="s" s="0">
        <v>81</v>
      </c>
      <c r="BD417" t="s" s="0">
        <v>81</v>
      </c>
      <c r="BE417" t="s" s="0">
        <v>81</v>
      </c>
      <c r="BF417" t="s" s="0">
        <v>81</v>
      </c>
      <c r="BG417" t="s" s="0">
        <v>81</v>
      </c>
      <c r="BH417" t="s" s="0">
        <v>81</v>
      </c>
      <c r="BI417" t="s" s="0">
        <v>9499</v>
      </c>
      <c r="BJ417" t="s" s="0">
        <v>9500</v>
      </c>
      <c r="BK417" t="s" s="827">
        <f>HYPERLINK("http://dx.doi.org/10.1186/s12889-025-24953-w","http://dx.doi.org/10.1186/s12889-025-24953-w")</f>
        <v>9501</v>
      </c>
      <c r="BL417" t="s" s="0">
        <v>81</v>
      </c>
      <c r="BM417" t="s" s="0">
        <v>81</v>
      </c>
      <c r="BN417" t="s" s="0">
        <v>222</v>
      </c>
      <c r="BO417" t="s" s="0">
        <v>850</v>
      </c>
      <c r="BP417" t="s" s="0">
        <v>850</v>
      </c>
      <c r="BQ417" t="s" s="0">
        <v>9502</v>
      </c>
      <c r="BR417" t="s" s="0">
        <v>9503</v>
      </c>
      <c r="BS417" t="s" s="0">
        <v>9504</v>
      </c>
      <c r="BT417" t="s" s="828">
        <f>HYPERLINK("https://www.webofscience.com/wos/woscc/full-record/WOS:001606922700037","View Record in Web of Science")</f>
        <v>114</v>
      </c>
      <c r="BU417" t="s" s="0">
        <v>301</v>
      </c>
      <c r="BV417" t="s" s="0">
        <v>2886</v>
      </c>
      <c r="BW417" t="s" s="0">
        <v>2887</v>
      </c>
      <c r="BX417" t="s" s="0">
        <v>116</v>
      </c>
    </row>
    <row r="418">
      <c r="A418" t="s" s="0">
        <v>77</v>
      </c>
      <c r="B418" t="s" s="0">
        <v>77</v>
      </c>
      <c r="C418" t="s" s="0">
        <v>381</v>
      </c>
      <c r="D418" t="s" s="0">
        <v>77</v>
      </c>
      <c r="E418" t="s" s="0">
        <v>9505</v>
      </c>
      <c r="F418" t="s" s="0">
        <v>9506</v>
      </c>
      <c r="G418" t="s" s="0">
        <v>9507</v>
      </c>
      <c r="H418" t="s" s="0">
        <v>81</v>
      </c>
      <c r="I418" t="s" s="0">
        <v>82</v>
      </c>
      <c r="J418" t="s" s="0">
        <v>9508</v>
      </c>
      <c r="K418" t="s" s="0">
        <v>9509</v>
      </c>
      <c r="L418" t="s" s="0">
        <v>9510</v>
      </c>
      <c r="M418" t="s" s="0">
        <v>9510</v>
      </c>
      <c r="N418" t="s" s="0">
        <v>335</v>
      </c>
      <c r="O418" t="s" s="0">
        <v>9511</v>
      </c>
      <c r="P418" t="s" s="0">
        <v>9512</v>
      </c>
      <c r="Q418" t="s" s="0">
        <v>87</v>
      </c>
      <c r="R418" t="s" s="0">
        <v>81</v>
      </c>
      <c r="S418" t="s" s="0">
        <v>81</v>
      </c>
      <c r="T418" t="s" s="0">
        <v>81</v>
      </c>
      <c r="U418" t="s" s="0">
        <v>81</v>
      </c>
      <c r="V418" t="s" s="0">
        <v>9513</v>
      </c>
      <c r="W418" t="s" s="0">
        <v>89</v>
      </c>
      <c r="X418" t="s" s="0">
        <v>81</v>
      </c>
      <c r="Y418" t="s" s="0">
        <v>81</v>
      </c>
      <c r="Z418" t="s" s="0">
        <v>90</v>
      </c>
      <c r="AA418" t="s" s="0">
        <v>91</v>
      </c>
      <c r="AB418" t="s" s="0">
        <v>81</v>
      </c>
      <c r="AC418" t="s" s="0">
        <v>81</v>
      </c>
      <c r="AD418" t="s" s="0">
        <v>81</v>
      </c>
      <c r="AE418" t="s" s="0">
        <v>81</v>
      </c>
      <c r="AF418" t="s" s="0">
        <v>81</v>
      </c>
      <c r="AG418" t="s" s="0">
        <v>9514</v>
      </c>
      <c r="AH418" t="s" s="0">
        <v>9515</v>
      </c>
      <c r="AI418" t="s" s="0">
        <v>9516</v>
      </c>
      <c r="AJ418" t="s" s="0">
        <v>9517</v>
      </c>
      <c r="AK418" t="s" s="0">
        <v>81</v>
      </c>
      <c r="AL418" t="s" s="0">
        <v>228</v>
      </c>
      <c r="AM418" t="s" s="0">
        <v>5424</v>
      </c>
      <c r="AN418" t="s" s="0">
        <v>5496</v>
      </c>
      <c r="AO418" t="s" s="0">
        <v>211</v>
      </c>
      <c r="AP418" t="s" s="0">
        <v>664</v>
      </c>
      <c r="AQ418" t="s" s="0">
        <v>98</v>
      </c>
      <c r="AR418" t="s" s="0">
        <v>99</v>
      </c>
      <c r="AS418" t="s" s="0">
        <v>100</v>
      </c>
      <c r="AT418" t="s" s="0">
        <v>101</v>
      </c>
      <c r="AU418" t="s" s="0">
        <v>81</v>
      </c>
      <c r="AV418" t="s" s="0">
        <v>81</v>
      </c>
      <c r="AW418" t="s" s="0">
        <v>89</v>
      </c>
      <c r="AX418" t="s" s="0">
        <v>102</v>
      </c>
      <c r="AY418" t="s" s="0">
        <v>185</v>
      </c>
      <c r="AZ418" t="s" s="0">
        <v>185</v>
      </c>
      <c r="BA418" t="s" s="0">
        <v>134</v>
      </c>
      <c r="BB418" t="s" s="0">
        <v>81</v>
      </c>
      <c r="BC418" t="s" s="0">
        <v>81</v>
      </c>
      <c r="BD418" t="s" s="0">
        <v>81</v>
      </c>
      <c r="BE418" t="s" s="0">
        <v>81</v>
      </c>
      <c r="BF418" t="s" s="0">
        <v>81</v>
      </c>
      <c r="BG418" t="s" s="0">
        <v>9518</v>
      </c>
      <c r="BH418" t="s" s="0">
        <v>9519</v>
      </c>
      <c r="BI418" t="s" s="0">
        <v>81</v>
      </c>
      <c r="BJ418" t="s" s="0">
        <v>9520</v>
      </c>
      <c r="BK418" t="s" s="829">
        <f>HYPERLINK("http://dx.doi.org/10.1109/ACCESS.2024.3368377","http://dx.doi.org/10.1109/ACCESS.2024.3368377")</f>
        <v>9521</v>
      </c>
      <c r="BL418" t="s" s="0">
        <v>81</v>
      </c>
      <c r="BM418" t="s" s="0">
        <v>81</v>
      </c>
      <c r="BN418" t="s" s="0">
        <v>134</v>
      </c>
      <c r="BO418" t="s" s="0">
        <v>110</v>
      </c>
      <c r="BP418" t="s" s="0">
        <v>111</v>
      </c>
      <c r="BQ418" t="s" s="0">
        <v>9522</v>
      </c>
      <c r="BR418" t="s" s="0">
        <v>81</v>
      </c>
      <c r="BS418" t="s" s="0">
        <v>9523</v>
      </c>
      <c r="BT418" t="s" s="830">
        <f>HYPERLINK("https://www.webofscience.com/wos/woscc/full-record/WOS:001176000600001","View Record in Web of Science")</f>
        <v>114</v>
      </c>
      <c r="BU418" t="s" s="0">
        <v>301</v>
      </c>
      <c r="BV418" t="s" s="0">
        <v>2886</v>
      </c>
      <c r="BW418" t="s" s="0">
        <v>2887</v>
      </c>
      <c r="BX418" t="s" s="0">
        <v>116</v>
      </c>
    </row>
    <row r="419">
      <c r="A419" t="s" s="0">
        <v>77</v>
      </c>
      <c r="B419" t="s" s="0">
        <v>77</v>
      </c>
      <c r="C419" t="s" s="0">
        <v>77</v>
      </c>
      <c r="D419" t="s" s="0">
        <v>77</v>
      </c>
      <c r="E419" t="s" s="0">
        <v>9524</v>
      </c>
      <c r="F419" t="s" s="0">
        <v>9525</v>
      </c>
      <c r="G419" t="s" s="0">
        <v>9526</v>
      </c>
      <c r="H419" t="s" s="0">
        <v>81</v>
      </c>
      <c r="I419" t="s" s="0">
        <v>589</v>
      </c>
      <c r="J419" t="s" s="0">
        <v>9527</v>
      </c>
      <c r="K419" t="s" s="0">
        <v>9528</v>
      </c>
      <c r="L419" t="s" s="0">
        <v>81</v>
      </c>
      <c r="M419" t="s" s="0">
        <v>81</v>
      </c>
      <c r="N419" t="s" s="0">
        <v>81</v>
      </c>
      <c r="O419" t="s" s="0">
        <v>9529</v>
      </c>
      <c r="P419" t="s" s="0">
        <v>9530</v>
      </c>
      <c r="Q419" t="s" s="0">
        <v>87</v>
      </c>
      <c r="R419" t="s" s="0">
        <v>81</v>
      </c>
      <c r="S419" t="s" s="0">
        <v>81</v>
      </c>
      <c r="T419" t="s" s="0">
        <v>81</v>
      </c>
      <c r="U419" t="s" s="0">
        <v>81</v>
      </c>
      <c r="V419" t="s" s="0">
        <v>9531</v>
      </c>
      <c r="W419" t="s" s="0">
        <v>9532</v>
      </c>
      <c r="X419" t="s" s="0">
        <v>81</v>
      </c>
      <c r="Y419" t="s" s="0">
        <v>81</v>
      </c>
      <c r="Z419" t="s" s="0">
        <v>90</v>
      </c>
      <c r="AA419" t="s" s="0">
        <v>91</v>
      </c>
      <c r="AB419" t="s" s="0">
        <v>81</v>
      </c>
      <c r="AC419" t="s" s="0">
        <v>81</v>
      </c>
      <c r="AD419" t="s" s="0">
        <v>81</v>
      </c>
      <c r="AE419" t="s" s="0">
        <v>81</v>
      </c>
      <c r="AF419" t="s" s="0">
        <v>81</v>
      </c>
      <c r="AG419" t="s" s="0">
        <v>9533</v>
      </c>
      <c r="AH419" t="s" s="0">
        <v>9534</v>
      </c>
      <c r="AI419" t="s" s="0">
        <v>9535</v>
      </c>
      <c r="AJ419" t="s" s="0">
        <v>81</v>
      </c>
      <c r="AK419" t="s" s="0">
        <v>81</v>
      </c>
      <c r="AL419" t="s" s="0">
        <v>9536</v>
      </c>
      <c r="AM419" t="s" s="0">
        <v>77</v>
      </c>
      <c r="AN419" t="s" s="0">
        <v>97</v>
      </c>
      <c r="AO419" t="s" s="0">
        <v>344</v>
      </c>
      <c r="AP419" t="s" s="0">
        <v>344</v>
      </c>
      <c r="AQ419" t="s" s="0">
        <v>428</v>
      </c>
      <c r="AR419" t="s" s="0">
        <v>429</v>
      </c>
      <c r="AS419" t="s" s="0">
        <v>509</v>
      </c>
      <c r="AT419" t="s" s="0">
        <v>9537</v>
      </c>
      <c r="AU419" t="s" s="0">
        <v>9538</v>
      </c>
      <c r="AV419" t="s" s="0">
        <v>81</v>
      </c>
      <c r="AW419" t="s" s="0">
        <v>9539</v>
      </c>
      <c r="AX419" t="s" s="0">
        <v>9540</v>
      </c>
      <c r="AY419" t="s" s="0">
        <v>849</v>
      </c>
      <c r="AZ419" t="s" s="0">
        <v>103</v>
      </c>
      <c r="BA419" t="s" s="0">
        <v>9541</v>
      </c>
      <c r="BB419" t="s" s="0">
        <v>81</v>
      </c>
      <c r="BC419" t="s" s="0">
        <v>81</v>
      </c>
      <c r="BD419" t="s" s="0">
        <v>81</v>
      </c>
      <c r="BE419" t="s" s="0">
        <v>81</v>
      </c>
      <c r="BF419" t="s" s="0">
        <v>81</v>
      </c>
      <c r="BG419" t="s" s="0">
        <v>81</v>
      </c>
      <c r="BH419" t="s" s="0">
        <v>81</v>
      </c>
      <c r="BI419" t="s" s="0">
        <v>9542</v>
      </c>
      <c r="BJ419" t="s" s="0">
        <v>9543</v>
      </c>
      <c r="BK419" t="s" s="831">
        <f>HYPERLINK("http://dx.doi.org/10.1016/j.techfore.2026.124645","http://dx.doi.org/10.1016/j.techfore.2026.124645")</f>
        <v>9544</v>
      </c>
      <c r="BL419" t="s" s="0">
        <v>81</v>
      </c>
      <c r="BM419" t="s" s="0">
        <v>81</v>
      </c>
      <c r="BN419" t="s" s="0">
        <v>222</v>
      </c>
      <c r="BO419" t="s" s="0">
        <v>9545</v>
      </c>
      <c r="BP419" t="s" s="0">
        <v>9546</v>
      </c>
      <c r="BQ419" t="s" s="0">
        <v>9547</v>
      </c>
      <c r="BR419" t="s" s="0">
        <v>81</v>
      </c>
      <c r="BS419" t="s" s="0">
        <v>9548</v>
      </c>
      <c r="BT419" t="s" s="832">
        <f>HYPERLINK("https://www.webofscience.com/wos/woscc/full-record/WOS:001729660500001","View Record in Web of Science")</f>
        <v>114</v>
      </c>
      <c r="BU419" t="s" s="0">
        <v>1055</v>
      </c>
      <c r="BV419" t="s" s="0">
        <v>81</v>
      </c>
      <c r="BW419" t="s" s="0">
        <v>81</v>
      </c>
      <c r="BX419" t="s" s="0">
        <v>116</v>
      </c>
    </row>
    <row r="420">
      <c r="A420" t="s" s="0">
        <v>77</v>
      </c>
      <c r="B420" t="s" s="0">
        <v>77</v>
      </c>
      <c r="C420" t="s" s="0">
        <v>234</v>
      </c>
      <c r="D420" t="s" s="0">
        <v>77</v>
      </c>
      <c r="E420" t="s" s="0">
        <v>9549</v>
      </c>
      <c r="F420" t="s" s="0">
        <v>9550</v>
      </c>
      <c r="G420" t="s" s="0">
        <v>9551</v>
      </c>
      <c r="H420" t="s" s="0">
        <v>81</v>
      </c>
      <c r="I420" t="s" s="0">
        <v>82</v>
      </c>
      <c r="J420" t="s" s="0">
        <v>9552</v>
      </c>
      <c r="K420" t="s" s="0">
        <v>9553</v>
      </c>
      <c r="L420" t="s" s="0">
        <v>9554</v>
      </c>
      <c r="M420" t="s" s="0">
        <v>9555</v>
      </c>
      <c r="N420" t="s" s="0">
        <v>9556</v>
      </c>
      <c r="O420" t="s" s="0">
        <v>9557</v>
      </c>
      <c r="P420" t="s" s="0">
        <v>9558</v>
      </c>
      <c r="Q420" t="s" s="0">
        <v>87</v>
      </c>
      <c r="R420" t="s" s="0">
        <v>81</v>
      </c>
      <c r="S420" t="s" s="0">
        <v>81</v>
      </c>
      <c r="T420" t="s" s="0">
        <v>81</v>
      </c>
      <c r="U420" t="s" s="0">
        <v>81</v>
      </c>
      <c r="V420" t="s" s="0">
        <v>9559</v>
      </c>
      <c r="W420" t="s" s="0">
        <v>9560</v>
      </c>
      <c r="X420" t="s" s="0">
        <v>81</v>
      </c>
      <c r="Y420" t="s" s="0">
        <v>81</v>
      </c>
      <c r="Z420" t="s" s="0">
        <v>90</v>
      </c>
      <c r="AA420" t="s" s="0">
        <v>91</v>
      </c>
      <c r="AB420" t="s" s="0">
        <v>81</v>
      </c>
      <c r="AC420" t="s" s="0">
        <v>81</v>
      </c>
      <c r="AD420" t="s" s="0">
        <v>81</v>
      </c>
      <c r="AE420" t="s" s="0">
        <v>81</v>
      </c>
      <c r="AF420" t="s" s="0">
        <v>81</v>
      </c>
      <c r="AG420" t="s" s="0">
        <v>9561</v>
      </c>
      <c r="AH420" t="s" s="0">
        <v>9562</v>
      </c>
      <c r="AI420" t="s" s="0">
        <v>9563</v>
      </c>
      <c r="AJ420" t="s" s="0">
        <v>9564</v>
      </c>
      <c r="AK420" t="s" s="0">
        <v>81</v>
      </c>
      <c r="AL420" t="s" s="0">
        <v>366</v>
      </c>
      <c r="AM420" t="s" s="0">
        <v>211</v>
      </c>
      <c r="AN420" t="s" s="0">
        <v>211</v>
      </c>
      <c r="AO420" t="s" s="0">
        <v>175</v>
      </c>
      <c r="AP420" t="s" s="0">
        <v>222</v>
      </c>
      <c r="AQ420" t="s" s="0">
        <v>136</v>
      </c>
      <c r="AR420" t="s" s="0">
        <v>137</v>
      </c>
      <c r="AS420" t="s" s="0">
        <v>138</v>
      </c>
      <c r="AT420" t="s" s="0">
        <v>9565</v>
      </c>
      <c r="AU420" t="s" s="0">
        <v>9566</v>
      </c>
      <c r="AV420" t="s" s="0">
        <v>81</v>
      </c>
      <c r="AW420" t="s" s="0">
        <v>9560</v>
      </c>
      <c r="AX420" t="s" s="0">
        <v>9567</v>
      </c>
      <c r="AY420" t="s" s="0">
        <v>9568</v>
      </c>
      <c r="AZ420" t="s" s="0">
        <v>185</v>
      </c>
      <c r="BA420" t="s" s="0">
        <v>9569</v>
      </c>
      <c r="BB420" t="s" s="0">
        <v>81</v>
      </c>
      <c r="BC420" t="s" s="0">
        <v>81</v>
      </c>
      <c r="BD420" t="s" s="0">
        <v>81</v>
      </c>
      <c r="BE420" t="s" s="0">
        <v>81</v>
      </c>
      <c r="BF420" t="s" s="0">
        <v>81</v>
      </c>
      <c r="BG420" t="s" s="0">
        <v>81</v>
      </c>
      <c r="BH420" t="s" s="0">
        <v>81</v>
      </c>
      <c r="BI420" t="s" s="0">
        <v>9570</v>
      </c>
      <c r="BJ420" t="s" s="0">
        <v>9571</v>
      </c>
      <c r="BK420" t="s" s="833">
        <f>HYPERLINK("http://dx.doi.org/10.1016/j.talanta.2024.126652","http://dx.doi.org/10.1016/j.talanta.2024.126652")</f>
        <v>9572</v>
      </c>
      <c r="BL420" t="s" s="0">
        <v>81</v>
      </c>
      <c r="BM420" t="s" s="0">
        <v>2879</v>
      </c>
      <c r="BN420" t="s" s="0">
        <v>486</v>
      </c>
      <c r="BO420" t="s" s="0">
        <v>6661</v>
      </c>
      <c r="BP420" t="s" s="0">
        <v>1745</v>
      </c>
      <c r="BQ420" t="s" s="0">
        <v>9573</v>
      </c>
      <c r="BR420" t="s" s="0">
        <v>9574</v>
      </c>
      <c r="BS420" t="s" s="0">
        <v>9575</v>
      </c>
      <c r="BT420" t="s" s="834">
        <f>HYPERLINK("https://www.webofscience.com/wos/woscc/full-record/WOS:001289301000001","View Record in Web of Science")</f>
        <v>114</v>
      </c>
      <c r="BU420" t="s" s="0">
        <v>81</v>
      </c>
      <c r="BV420" t="s" s="0">
        <v>81</v>
      </c>
      <c r="BW420" t="s" s="0">
        <v>81</v>
      </c>
      <c r="BX420" t="s" s="0">
        <v>116</v>
      </c>
    </row>
    <row r="421">
      <c r="A421" t="s" s="0">
        <v>77</v>
      </c>
      <c r="B421" t="s" s="0">
        <v>77</v>
      </c>
      <c r="C421" t="s" s="0">
        <v>77</v>
      </c>
      <c r="D421" t="s" s="0">
        <v>77</v>
      </c>
      <c r="E421" t="s" s="0">
        <v>9576</v>
      </c>
      <c r="F421" t="s" s="0">
        <v>9577</v>
      </c>
      <c r="G421" t="s" s="0">
        <v>9578</v>
      </c>
      <c r="H421" t="s" s="0">
        <v>81</v>
      </c>
      <c r="I421" t="s" s="0">
        <v>238</v>
      </c>
      <c r="J421" t="s" s="0">
        <v>9579</v>
      </c>
      <c r="K421" t="s" s="0">
        <v>9580</v>
      </c>
      <c r="L421" t="s" s="0">
        <v>9581</v>
      </c>
      <c r="M421" t="s" s="0">
        <v>9582</v>
      </c>
      <c r="N421" t="s" s="0">
        <v>9583</v>
      </c>
      <c r="O421" t="s" s="0">
        <v>9584</v>
      </c>
      <c r="P421" t="s" s="0">
        <v>9585</v>
      </c>
      <c r="Q421" t="s" s="0">
        <v>87</v>
      </c>
      <c r="R421" t="s" s="0">
        <v>81</v>
      </c>
      <c r="S421" t="s" s="0">
        <v>81</v>
      </c>
      <c r="T421" t="s" s="0">
        <v>81</v>
      </c>
      <c r="U421" t="s" s="0">
        <v>81</v>
      </c>
      <c r="V421" t="s" s="0">
        <v>9586</v>
      </c>
      <c r="W421" t="s" s="0">
        <v>9587</v>
      </c>
      <c r="X421" t="s" s="0">
        <v>81</v>
      </c>
      <c r="Y421" t="s" s="0">
        <v>81</v>
      </c>
      <c r="Z421" t="s" s="0">
        <v>90</v>
      </c>
      <c r="AA421" t="s" s="0">
        <v>91</v>
      </c>
      <c r="AB421" t="s" s="0">
        <v>81</v>
      </c>
      <c r="AC421" t="s" s="0">
        <v>81</v>
      </c>
      <c r="AD421" t="s" s="0">
        <v>81</v>
      </c>
      <c r="AE421" t="s" s="0">
        <v>81</v>
      </c>
      <c r="AF421" t="s" s="0">
        <v>81</v>
      </c>
      <c r="AG421" t="s" s="0">
        <v>9588</v>
      </c>
      <c r="AH421" t="s" s="0">
        <v>81</v>
      </c>
      <c r="AI421" t="s" s="0">
        <v>8810</v>
      </c>
      <c r="AJ421" t="s" s="0">
        <v>8811</v>
      </c>
      <c r="AK421" t="s" s="0">
        <v>81</v>
      </c>
      <c r="AL421" t="s" s="0">
        <v>925</v>
      </c>
      <c r="AM421" t="s" s="0">
        <v>156</v>
      </c>
      <c r="AN421" t="s" s="0">
        <v>156</v>
      </c>
      <c r="AO421" t="s" s="0">
        <v>77</v>
      </c>
      <c r="AP421" t="s" s="0">
        <v>97</v>
      </c>
      <c r="AQ421" t="s" s="0">
        <v>9589</v>
      </c>
      <c r="AR421" t="s" s="0">
        <v>9590</v>
      </c>
      <c r="AS421" t="s" s="0">
        <v>9591</v>
      </c>
      <c r="AT421" t="s" s="0">
        <v>9592</v>
      </c>
      <c r="AU421" t="s" s="0">
        <v>9593</v>
      </c>
      <c r="AV421" t="s" s="0">
        <v>81</v>
      </c>
      <c r="AW421" t="s" s="0">
        <v>9594</v>
      </c>
      <c r="AX421" t="s" s="0">
        <v>9595</v>
      </c>
      <c r="AY421" t="s" s="0">
        <v>6555</v>
      </c>
      <c r="AZ421" t="s" s="0">
        <v>185</v>
      </c>
      <c r="BA421" t="s" s="0">
        <v>1635</v>
      </c>
      <c r="BB421" t="s" s="0">
        <v>175</v>
      </c>
      <c r="BC421" t="s" s="0">
        <v>81</v>
      </c>
      <c r="BD421" t="s" s="0">
        <v>81</v>
      </c>
      <c r="BE421" t="s" s="0">
        <v>81</v>
      </c>
      <c r="BF421" t="s" s="0">
        <v>81</v>
      </c>
      <c r="BG421" t="s" s="0">
        <v>9596</v>
      </c>
      <c r="BH421" t="s" s="0">
        <v>9597</v>
      </c>
      <c r="BI421" t="s" s="0">
        <v>81</v>
      </c>
      <c r="BJ421" t="s" s="0">
        <v>9598</v>
      </c>
      <c r="BK421" t="s" s="835">
        <f>HYPERLINK("http://dx.doi.org/10.17576/jkukm-2024-36(4)-34","http://dx.doi.org/10.17576/jkukm-2024-36(4)-34")</f>
        <v>9599</v>
      </c>
      <c r="BL421" t="s" s="0">
        <v>81</v>
      </c>
      <c r="BM421" t="s" s="0">
        <v>81</v>
      </c>
      <c r="BN421" t="s" s="0">
        <v>133</v>
      </c>
      <c r="BO421" t="s" s="0">
        <v>1002</v>
      </c>
      <c r="BP421" t="s" s="0">
        <v>1003</v>
      </c>
      <c r="BQ421" t="s" s="0">
        <v>9600</v>
      </c>
      <c r="BR421" t="s" s="0">
        <v>81</v>
      </c>
      <c r="BS421" t="s" s="0">
        <v>9601</v>
      </c>
      <c r="BT421" t="s" s="836">
        <f>HYPERLINK("https://www.webofscience.com/wos/woscc/full-record/WOS:001295529700038","View Record in Web of Science")</f>
        <v>114</v>
      </c>
      <c r="BU421" t="s" s="0">
        <v>115</v>
      </c>
      <c r="BV421" t="s" s="0">
        <v>81</v>
      </c>
      <c r="BW421" t="s" s="0">
        <v>81</v>
      </c>
      <c r="BX421" t="s" s="0">
        <v>116</v>
      </c>
    </row>
    <row r="422">
      <c r="A422" t="s" s="0">
        <v>77</v>
      </c>
      <c r="B422" t="s" s="0">
        <v>77</v>
      </c>
      <c r="C422" t="s" s="0">
        <v>77</v>
      </c>
      <c r="D422" t="s" s="0">
        <v>77</v>
      </c>
      <c r="E422" t="s" s="0">
        <v>9602</v>
      </c>
      <c r="F422" t="s" s="0">
        <v>9603</v>
      </c>
      <c r="G422" t="s" s="0">
        <v>9604</v>
      </c>
      <c r="H422" t="s" s="0">
        <v>81</v>
      </c>
      <c r="I422" t="s" s="0">
        <v>589</v>
      </c>
      <c r="J422" t="s" s="0">
        <v>9605</v>
      </c>
      <c r="K422" t="s" s="0">
        <v>9606</v>
      </c>
      <c r="L422" t="s" s="0">
        <v>81</v>
      </c>
      <c r="M422" t="s" s="0">
        <v>81</v>
      </c>
      <c r="N422" t="s" s="0">
        <v>81</v>
      </c>
      <c r="O422" t="s" s="0">
        <v>9607</v>
      </c>
      <c r="P422" t="s" s="0">
        <v>9608</v>
      </c>
      <c r="Q422" t="s" s="0">
        <v>87</v>
      </c>
      <c r="R422" t="s" s="0">
        <v>81</v>
      </c>
      <c r="S422" t="s" s="0">
        <v>81</v>
      </c>
      <c r="T422" t="s" s="0">
        <v>81</v>
      </c>
      <c r="U422" t="s" s="0">
        <v>81</v>
      </c>
      <c r="V422" t="s" s="0">
        <v>9609</v>
      </c>
      <c r="W422" t="s" s="0">
        <v>9610</v>
      </c>
      <c r="X422" t="s" s="0">
        <v>81</v>
      </c>
      <c r="Y422" t="s" s="0">
        <v>81</v>
      </c>
      <c r="Z422" t="s" s="0">
        <v>90</v>
      </c>
      <c r="AA422" t="s" s="0">
        <v>91</v>
      </c>
      <c r="AB422" t="s" s="0">
        <v>81</v>
      </c>
      <c r="AC422" t="s" s="0">
        <v>81</v>
      </c>
      <c r="AD422" t="s" s="0">
        <v>81</v>
      </c>
      <c r="AE422" t="s" s="0">
        <v>81</v>
      </c>
      <c r="AF422" t="s" s="0">
        <v>81</v>
      </c>
      <c r="AG422" t="s" s="0">
        <v>9611</v>
      </c>
      <c r="AH422" t="s" s="0">
        <v>81</v>
      </c>
      <c r="AI422" t="s" s="0">
        <v>9612</v>
      </c>
      <c r="AJ422" t="s" s="0">
        <v>81</v>
      </c>
      <c r="AK422" t="s" s="0">
        <v>81</v>
      </c>
      <c r="AL422" t="s" s="0">
        <v>9613</v>
      </c>
      <c r="AM422" t="s" s="0">
        <v>77</v>
      </c>
      <c r="AN422" t="s" s="0">
        <v>97</v>
      </c>
      <c r="AO422" t="s" s="0">
        <v>77</v>
      </c>
      <c r="AP422" t="s" s="0">
        <v>77</v>
      </c>
      <c r="AQ422" t="s" s="0">
        <v>9614</v>
      </c>
      <c r="AR422" t="s" s="0">
        <v>1345</v>
      </c>
      <c r="AS422" t="s" s="0">
        <v>9615</v>
      </c>
      <c r="AT422" t="s" s="0">
        <v>9616</v>
      </c>
      <c r="AU422" t="s" s="0">
        <v>9617</v>
      </c>
      <c r="AV422" t="s" s="0">
        <v>81</v>
      </c>
      <c r="AW422" t="s" s="0">
        <v>9618</v>
      </c>
      <c r="AX422" t="s" s="0">
        <v>9619</v>
      </c>
      <c r="AY422" t="s" s="0">
        <v>3366</v>
      </c>
      <c r="AZ422" t="s" s="0">
        <v>103</v>
      </c>
      <c r="BA422" t="s" s="0">
        <v>819</v>
      </c>
      <c r="BB422" t="s" s="0">
        <v>81</v>
      </c>
      <c r="BC422" t="s" s="0">
        <v>81</v>
      </c>
      <c r="BD422" t="s" s="0">
        <v>81</v>
      </c>
      <c r="BE422" t="s" s="0">
        <v>81</v>
      </c>
      <c r="BF422" t="s" s="0">
        <v>81</v>
      </c>
      <c r="BG422" t="s" s="0">
        <v>81</v>
      </c>
      <c r="BH422" t="s" s="0">
        <v>81</v>
      </c>
      <c r="BI422" t="s" s="0">
        <v>9620</v>
      </c>
      <c r="BJ422" t="s" s="0">
        <v>9621</v>
      </c>
      <c r="BK422" t="s" s="837">
        <f>HYPERLINK("http://dx.doi.org/10.1016/j.clsr.2026.106340","http://dx.doi.org/10.1016/j.clsr.2026.106340")</f>
        <v>9622</v>
      </c>
      <c r="BL422" t="s" s="0">
        <v>81</v>
      </c>
      <c r="BM422" t="s" s="0">
        <v>675</v>
      </c>
      <c r="BN422" t="s" s="0">
        <v>485</v>
      </c>
      <c r="BO422" t="s" s="0">
        <v>9623</v>
      </c>
      <c r="BP422" t="s" s="0">
        <v>9624</v>
      </c>
      <c r="BQ422" t="s" s="0">
        <v>9625</v>
      </c>
      <c r="BR422" t="s" s="0">
        <v>81</v>
      </c>
      <c r="BS422" t="s" s="0">
        <v>9626</v>
      </c>
      <c r="BT422" t="s" s="838">
        <f>HYPERLINK("https://www.webofscience.com/wos/woscc/full-record/WOS:001766459600001","View Record in Web of Science")</f>
        <v>114</v>
      </c>
      <c r="BU422" t="s" s="0">
        <v>9627</v>
      </c>
      <c r="BV422" t="s" s="0">
        <v>81</v>
      </c>
      <c r="BW422" t="s" s="0">
        <v>81</v>
      </c>
      <c r="BX422" t="s" s="0">
        <v>116</v>
      </c>
    </row>
    <row r="423">
      <c r="A423" t="s" s="0">
        <v>97</v>
      </c>
      <c r="B423" t="s" s="0">
        <v>77</v>
      </c>
      <c r="C423" t="s" s="0">
        <v>156</v>
      </c>
      <c r="D423" t="s" s="0">
        <v>77</v>
      </c>
      <c r="E423" t="s" s="0">
        <v>9628</v>
      </c>
      <c r="F423" t="s" s="0">
        <v>9629</v>
      </c>
      <c r="G423" t="s" s="0">
        <v>9630</v>
      </c>
      <c r="H423" t="s" s="0">
        <v>81</v>
      </c>
      <c r="I423" t="s" s="0">
        <v>82</v>
      </c>
      <c r="J423" t="s" s="0">
        <v>9631</v>
      </c>
      <c r="K423" t="s" s="0">
        <v>9632</v>
      </c>
      <c r="L423" t="s" s="0">
        <v>81</v>
      </c>
      <c r="M423" t="s" s="0">
        <v>81</v>
      </c>
      <c r="N423" t="s" s="0">
        <v>81</v>
      </c>
      <c r="O423" t="s" s="0">
        <v>9633</v>
      </c>
      <c r="P423" t="s" s="0">
        <v>9634</v>
      </c>
      <c r="Q423" t="s" s="0">
        <v>87</v>
      </c>
      <c r="R423" t="s" s="0">
        <v>81</v>
      </c>
      <c r="S423" t="s" s="0">
        <v>81</v>
      </c>
      <c r="T423" t="s" s="0">
        <v>81</v>
      </c>
      <c r="U423" t="s" s="0">
        <v>81</v>
      </c>
      <c r="V423" t="s" s="0">
        <v>9635</v>
      </c>
      <c r="W423" t="s" s="0">
        <v>1313</v>
      </c>
      <c r="X423" t="s" s="0">
        <v>81</v>
      </c>
      <c r="Y423" t="s" s="0">
        <v>81</v>
      </c>
      <c r="Z423" t="s" s="0">
        <v>90</v>
      </c>
      <c r="AA423" t="s" s="0">
        <v>91</v>
      </c>
      <c r="AB423" t="s" s="0">
        <v>81</v>
      </c>
      <c r="AC423" t="s" s="0">
        <v>81</v>
      </c>
      <c r="AD423" t="s" s="0">
        <v>81</v>
      </c>
      <c r="AE423" t="s" s="0">
        <v>81</v>
      </c>
      <c r="AF423" t="s" s="0">
        <v>81</v>
      </c>
      <c r="AG423" t="s" s="0">
        <v>81</v>
      </c>
      <c r="AH423" t="s" s="0">
        <v>81</v>
      </c>
      <c r="AI423" t="s" s="0">
        <v>9636</v>
      </c>
      <c r="AJ423" t="s" s="0">
        <v>9637</v>
      </c>
      <c r="AK423" t="s" s="0">
        <v>81</v>
      </c>
      <c r="AL423" t="s" s="0">
        <v>398</v>
      </c>
      <c r="AM423" t="s" s="0">
        <v>434</v>
      </c>
      <c r="AN423" t="s" s="0">
        <v>228</v>
      </c>
      <c r="AO423" t="s" s="0">
        <v>104</v>
      </c>
      <c r="AP423" t="s" s="0">
        <v>671</v>
      </c>
      <c r="AQ423" t="s" s="0">
        <v>1317</v>
      </c>
      <c r="AR423" t="s" s="0">
        <v>1318</v>
      </c>
      <c r="AS423" t="s" s="0">
        <v>1319</v>
      </c>
      <c r="AT423" t="s" s="0">
        <v>81</v>
      </c>
      <c r="AU423" t="s" s="0">
        <v>1320</v>
      </c>
      <c r="AV423" t="s" s="0">
        <v>81</v>
      </c>
      <c r="AW423" t="s" s="0">
        <v>1313</v>
      </c>
      <c r="AX423" t="s" s="0">
        <v>1321</v>
      </c>
      <c r="AY423" t="s" s="0">
        <v>9638</v>
      </c>
      <c r="AZ423" t="s" s="0">
        <v>290</v>
      </c>
      <c r="BA423" t="s" s="0">
        <v>295</v>
      </c>
      <c r="BB423" t="s" s="0">
        <v>261</v>
      </c>
      <c r="BC423" t="s" s="0">
        <v>81</v>
      </c>
      <c r="BD423" t="s" s="0">
        <v>81</v>
      </c>
      <c r="BE423" t="s" s="0">
        <v>81</v>
      </c>
      <c r="BF423" t="s" s="0">
        <v>81</v>
      </c>
      <c r="BG423" t="s" s="0">
        <v>81</v>
      </c>
      <c r="BH423" t="s" s="0">
        <v>81</v>
      </c>
      <c r="BI423" t="s" s="0">
        <v>9639</v>
      </c>
      <c r="BJ423" t="s" s="0">
        <v>9640</v>
      </c>
      <c r="BK423" t="s" s="839">
        <f>HYPERLINK("http://dx.doi.org/10.1371/journal.pone.0330944","http://dx.doi.org/10.1371/journal.pone.0330944")</f>
        <v>9641</v>
      </c>
      <c r="BL423" t="s" s="0">
        <v>81</v>
      </c>
      <c r="BM423" t="s" s="0">
        <v>81</v>
      </c>
      <c r="BN423" t="s" s="0">
        <v>252</v>
      </c>
      <c r="BO423" t="s" s="0">
        <v>926</v>
      </c>
      <c r="BP423" t="s" s="0">
        <v>927</v>
      </c>
      <c r="BQ423" t="s" s="0">
        <v>9642</v>
      </c>
      <c r="BR423" t="s" s="0">
        <v>9643</v>
      </c>
      <c r="BS423" t="s" s="0">
        <v>9644</v>
      </c>
      <c r="BT423" t="s" s="840">
        <f>HYPERLINK("https://www.webofscience.com/wos/woscc/full-record/WOS:001572957000011","View Record in Web of Science")</f>
        <v>114</v>
      </c>
      <c r="BU423" t="s" s="0">
        <v>301</v>
      </c>
      <c r="BV423" t="s" s="0">
        <v>81</v>
      </c>
      <c r="BW423" t="s" s="0">
        <v>81</v>
      </c>
      <c r="BX423" t="s" s="0">
        <v>116</v>
      </c>
    </row>
    <row r="424">
      <c r="A424" t="s" s="0">
        <v>77</v>
      </c>
      <c r="B424" t="s" s="0">
        <v>77</v>
      </c>
      <c r="C424" t="s" s="0">
        <v>77</v>
      </c>
      <c r="D424" t="s" s="0">
        <v>77</v>
      </c>
      <c r="E424" t="s" s="0">
        <v>9645</v>
      </c>
      <c r="F424" t="s" s="0">
        <v>9646</v>
      </c>
      <c r="G424" t="s" s="0">
        <v>9647</v>
      </c>
      <c r="H424" t="s" s="0">
        <v>81</v>
      </c>
      <c r="I424" t="s" s="0">
        <v>238</v>
      </c>
      <c r="J424" t="s" s="0">
        <v>9648</v>
      </c>
      <c r="K424" t="s" s="0">
        <v>9649</v>
      </c>
      <c r="L424" t="s" s="0">
        <v>81</v>
      </c>
      <c r="M424" t="s" s="0">
        <v>81</v>
      </c>
      <c r="N424" t="s" s="0">
        <v>81</v>
      </c>
      <c r="O424" t="s" s="0">
        <v>9650</v>
      </c>
      <c r="P424" t="s" s="0">
        <v>9651</v>
      </c>
      <c r="Q424" t="s" s="0">
        <v>87</v>
      </c>
      <c r="R424" t="s" s="0">
        <v>81</v>
      </c>
      <c r="S424" t="s" s="0">
        <v>81</v>
      </c>
      <c r="T424" t="s" s="0">
        <v>81</v>
      </c>
      <c r="U424" t="s" s="0">
        <v>81</v>
      </c>
      <c r="V424" t="s" s="0">
        <v>9652</v>
      </c>
      <c r="W424" t="s" s="0">
        <v>9653</v>
      </c>
      <c r="X424" t="s" s="0">
        <v>81</v>
      </c>
      <c r="Y424" t="s" s="0">
        <v>81</v>
      </c>
      <c r="Z424" t="s" s="0">
        <v>90</v>
      </c>
      <c r="AA424" t="s" s="0">
        <v>91</v>
      </c>
      <c r="AB424" t="s" s="0">
        <v>81</v>
      </c>
      <c r="AC424" t="s" s="0">
        <v>81</v>
      </c>
      <c r="AD424" t="s" s="0">
        <v>81</v>
      </c>
      <c r="AE424" t="s" s="0">
        <v>81</v>
      </c>
      <c r="AF424" t="s" s="0">
        <v>81</v>
      </c>
      <c r="AG424" t="s" s="0">
        <v>9654</v>
      </c>
      <c r="AH424" t="s" s="0">
        <v>81</v>
      </c>
      <c r="AI424" t="s" s="0">
        <v>9655</v>
      </c>
      <c r="AJ424" t="s" s="0">
        <v>9656</v>
      </c>
      <c r="AK424" t="s" s="0">
        <v>81</v>
      </c>
      <c r="AL424" t="s" s="0">
        <v>890</v>
      </c>
      <c r="AM424" t="s" s="0">
        <v>156</v>
      </c>
      <c r="AN424" t="s" s="0">
        <v>156</v>
      </c>
      <c r="AO424" t="s" s="0">
        <v>133</v>
      </c>
      <c r="AP424" t="s" s="0">
        <v>381</v>
      </c>
      <c r="AQ424" t="s" s="0">
        <v>545</v>
      </c>
      <c r="AR424" t="s" s="0">
        <v>546</v>
      </c>
      <c r="AS424" t="s" s="0">
        <v>547</v>
      </c>
      <c r="AT424" t="s" s="0">
        <v>81</v>
      </c>
      <c r="AU424" t="s" s="0">
        <v>9657</v>
      </c>
      <c r="AV424" t="s" s="0">
        <v>81</v>
      </c>
      <c r="AW424" t="s" s="0">
        <v>9658</v>
      </c>
      <c r="AX424" t="s" s="0">
        <v>9659</v>
      </c>
      <c r="AY424" t="s" s="0">
        <v>149</v>
      </c>
      <c r="AZ424" t="s" s="0">
        <v>290</v>
      </c>
      <c r="BA424" t="s" s="0">
        <v>1912</v>
      </c>
      <c r="BB424" t="s" s="0">
        <v>97</v>
      </c>
      <c r="BC424" t="s" s="0">
        <v>81</v>
      </c>
      <c r="BD424" t="s" s="0">
        <v>81</v>
      </c>
      <c r="BE424" t="s" s="0">
        <v>81</v>
      </c>
      <c r="BF424" t="s" s="0">
        <v>81</v>
      </c>
      <c r="BG424" t="s" s="0">
        <v>81</v>
      </c>
      <c r="BH424" t="s" s="0">
        <v>81</v>
      </c>
      <c r="BI424" t="s" s="0">
        <v>9660</v>
      </c>
      <c r="BJ424" t="s" s="0">
        <v>9661</v>
      </c>
      <c r="BK424" t="s" s="841">
        <f>HYPERLINK("http://dx.doi.org/10.1136/bmjhci-2025-101640","http://dx.doi.org/10.1136/bmjhci-2025-101640")</f>
        <v>9662</v>
      </c>
      <c r="BL424" t="s" s="0">
        <v>81</v>
      </c>
      <c r="BM424" t="s" s="0">
        <v>81</v>
      </c>
      <c r="BN424" t="s" s="0">
        <v>261</v>
      </c>
      <c r="BO424" t="s" s="0">
        <v>792</v>
      </c>
      <c r="BP424" t="s" s="0">
        <v>792</v>
      </c>
      <c r="BQ424" t="s" s="0">
        <v>9663</v>
      </c>
      <c r="BR424" t="s" s="0">
        <v>9664</v>
      </c>
      <c r="BS424" t="s" s="0">
        <v>9665</v>
      </c>
      <c r="BT424" t="s" s="842">
        <f>HYPERLINK("https://www.webofscience.com/wos/woscc/full-record/WOS:001596278700001","View Record in Web of Science")</f>
        <v>114</v>
      </c>
      <c r="BU424" t="s" s="0">
        <v>301</v>
      </c>
      <c r="BV424" t="s" s="0">
        <v>81</v>
      </c>
      <c r="BW424" t="s" s="0">
        <v>81</v>
      </c>
      <c r="BX424" t="s" s="0">
        <v>116</v>
      </c>
    </row>
    <row r="425">
      <c r="A425" t="s" s="0">
        <v>77</v>
      </c>
      <c r="B425" t="s" s="0">
        <v>77</v>
      </c>
      <c r="C425" t="s" s="0">
        <v>77</v>
      </c>
      <c r="D425" t="s" s="0">
        <v>77</v>
      </c>
      <c r="E425" t="s" s="0">
        <v>9666</v>
      </c>
      <c r="F425" t="s" s="0">
        <v>9667</v>
      </c>
      <c r="G425" t="s" s="0">
        <v>9668</v>
      </c>
      <c r="H425" t="s" s="0">
        <v>81</v>
      </c>
      <c r="I425" t="s" s="0">
        <v>82</v>
      </c>
      <c r="J425" t="s" s="0">
        <v>9669</v>
      </c>
      <c r="K425" t="s" s="0">
        <v>9670</v>
      </c>
      <c r="L425" t="s" s="0">
        <v>81</v>
      </c>
      <c r="M425" t="s" s="0">
        <v>81</v>
      </c>
      <c r="N425" t="s" s="0">
        <v>81</v>
      </c>
      <c r="O425" t="s" s="0">
        <v>9671</v>
      </c>
      <c r="P425" t="s" s="0">
        <v>9672</v>
      </c>
      <c r="Q425" t="s" s="0">
        <v>87</v>
      </c>
      <c r="R425" t="s" s="0">
        <v>81</v>
      </c>
      <c r="S425" t="s" s="0">
        <v>81</v>
      </c>
      <c r="T425" t="s" s="0">
        <v>81</v>
      </c>
      <c r="U425" t="s" s="0">
        <v>81</v>
      </c>
      <c r="V425" t="s" s="0">
        <v>9673</v>
      </c>
      <c r="W425" t="s" s="0">
        <v>1438</v>
      </c>
      <c r="X425" t="s" s="0">
        <v>81</v>
      </c>
      <c r="Y425" t="s" s="0">
        <v>81</v>
      </c>
      <c r="Z425" t="s" s="0">
        <v>90</v>
      </c>
      <c r="AA425" t="s" s="0">
        <v>91</v>
      </c>
      <c r="AB425" t="s" s="0">
        <v>81</v>
      </c>
      <c r="AC425" t="s" s="0">
        <v>81</v>
      </c>
      <c r="AD425" t="s" s="0">
        <v>81</v>
      </c>
      <c r="AE425" t="s" s="0">
        <v>81</v>
      </c>
      <c r="AF425" t="s" s="0">
        <v>81</v>
      </c>
      <c r="AG425" t="s" s="0">
        <v>9674</v>
      </c>
      <c r="AH425" t="s" s="0">
        <v>9675</v>
      </c>
      <c r="AI425" t="s" s="0">
        <v>9676</v>
      </c>
      <c r="AJ425" t="s" s="0">
        <v>9677</v>
      </c>
      <c r="AK425" t="s" s="0">
        <v>81</v>
      </c>
      <c r="AL425" t="s" s="0">
        <v>1883</v>
      </c>
      <c r="AM425" t="s" s="0">
        <v>316</v>
      </c>
      <c r="AN425" t="s" s="0">
        <v>316</v>
      </c>
      <c r="AO425" t="s" s="0">
        <v>196</v>
      </c>
      <c r="AP425" t="s" s="0">
        <v>133</v>
      </c>
      <c r="AQ425" t="s" s="0">
        <v>254</v>
      </c>
      <c r="AR425" t="s" s="0">
        <v>255</v>
      </c>
      <c r="AS425" t="s" s="0">
        <v>256</v>
      </c>
      <c r="AT425" t="s" s="0">
        <v>81</v>
      </c>
      <c r="AU425" t="s" s="0">
        <v>1443</v>
      </c>
      <c r="AV425" t="s" s="0">
        <v>81</v>
      </c>
      <c r="AW425" t="s" s="0">
        <v>1438</v>
      </c>
      <c r="AX425" t="s" s="0">
        <v>1444</v>
      </c>
      <c r="AY425" t="s" s="0">
        <v>9678</v>
      </c>
      <c r="AZ425" t="s" s="0">
        <v>290</v>
      </c>
      <c r="BA425" t="s" s="0">
        <v>191</v>
      </c>
      <c r="BB425" t="s" s="0">
        <v>156</v>
      </c>
      <c r="BC425" t="s" s="0">
        <v>81</v>
      </c>
      <c r="BD425" t="s" s="0">
        <v>81</v>
      </c>
      <c r="BE425" t="s" s="0">
        <v>81</v>
      </c>
      <c r="BF425" t="s" s="0">
        <v>81</v>
      </c>
      <c r="BG425" t="s" s="0">
        <v>81</v>
      </c>
      <c r="BH425" t="s" s="0">
        <v>81</v>
      </c>
      <c r="BI425" t="s" s="0">
        <v>9679</v>
      </c>
      <c r="BJ425" t="s" s="0">
        <v>9680</v>
      </c>
      <c r="BK425" t="s" s="843">
        <f>HYPERLINK("http://dx.doi.org/10.1016/j.heliyon.2025.e41871","http://dx.doi.org/10.1016/j.heliyon.2025.e41871")</f>
        <v>9681</v>
      </c>
      <c r="BL425" t="s" s="0">
        <v>81</v>
      </c>
      <c r="BM425" t="s" s="0">
        <v>1029</v>
      </c>
      <c r="BN425" t="s" s="0">
        <v>234</v>
      </c>
      <c r="BO425" t="s" s="0">
        <v>926</v>
      </c>
      <c r="BP425" t="s" s="0">
        <v>927</v>
      </c>
      <c r="BQ425" t="s" s="0">
        <v>9682</v>
      </c>
      <c r="BR425" t="s" s="0">
        <v>9683</v>
      </c>
      <c r="BS425" t="s" s="0">
        <v>9684</v>
      </c>
      <c r="BT425" t="s" s="844">
        <f>HYPERLINK("https://www.webofscience.com/wos/woscc/full-record/WOS:001773815500001","View Record in Web of Science")</f>
        <v>114</v>
      </c>
      <c r="BU425" t="s" s="0">
        <v>301</v>
      </c>
      <c r="BV425" t="s" s="0">
        <v>81</v>
      </c>
      <c r="BW425" t="s" s="0">
        <v>81</v>
      </c>
      <c r="BX425" t="s" s="0">
        <v>116</v>
      </c>
    </row>
    <row r="426">
      <c r="A426" t="s" s="0">
        <v>77</v>
      </c>
      <c r="B426" t="s" s="0">
        <v>77</v>
      </c>
      <c r="C426" t="s" s="0">
        <v>77</v>
      </c>
      <c r="D426" t="s" s="0">
        <v>77</v>
      </c>
      <c r="E426" t="s" s="0">
        <v>9685</v>
      </c>
      <c r="F426" t="s" s="0">
        <v>9686</v>
      </c>
      <c r="G426" t="s" s="0">
        <v>9687</v>
      </c>
      <c r="H426" t="s" s="0">
        <v>81</v>
      </c>
      <c r="I426" t="s" s="0">
        <v>82</v>
      </c>
      <c r="J426" t="s" s="0">
        <v>9688</v>
      </c>
      <c r="K426" t="s" s="0">
        <v>9689</v>
      </c>
      <c r="L426" t="s" s="0">
        <v>9690</v>
      </c>
      <c r="M426" t="s" s="0">
        <v>9691</v>
      </c>
      <c r="N426" t="s" s="0">
        <v>9692</v>
      </c>
      <c r="O426" t="s" s="0">
        <v>9693</v>
      </c>
      <c r="P426" t="s" s="0">
        <v>9694</v>
      </c>
      <c r="Q426" t="s" s="0">
        <v>87</v>
      </c>
      <c r="R426" t="s" s="0">
        <v>81</v>
      </c>
      <c r="S426" t="s" s="0">
        <v>81</v>
      </c>
      <c r="T426" t="s" s="0">
        <v>81</v>
      </c>
      <c r="U426" t="s" s="0">
        <v>81</v>
      </c>
      <c r="V426" t="s" s="0">
        <v>9695</v>
      </c>
      <c r="W426" t="s" s="0">
        <v>89</v>
      </c>
      <c r="X426" t="s" s="0">
        <v>81</v>
      </c>
      <c r="Y426" t="s" s="0">
        <v>81</v>
      </c>
      <c r="Z426" t="s" s="0">
        <v>90</v>
      </c>
      <c r="AA426" t="s" s="0">
        <v>91</v>
      </c>
      <c r="AB426" t="s" s="0">
        <v>81</v>
      </c>
      <c r="AC426" t="s" s="0">
        <v>81</v>
      </c>
      <c r="AD426" t="s" s="0">
        <v>81</v>
      </c>
      <c r="AE426" t="s" s="0">
        <v>81</v>
      </c>
      <c r="AF426" t="s" s="0">
        <v>81</v>
      </c>
      <c r="AG426" t="s" s="0">
        <v>9696</v>
      </c>
      <c r="AH426" t="s" s="0">
        <v>81</v>
      </c>
      <c r="AI426" t="s" s="0">
        <v>81</v>
      </c>
      <c r="AJ426" t="s" s="0">
        <v>81</v>
      </c>
      <c r="AK426" t="s" s="0">
        <v>81</v>
      </c>
      <c r="AL426" t="s" s="0">
        <v>8974</v>
      </c>
      <c r="AM426" t="s" s="0">
        <v>77</v>
      </c>
      <c r="AN426" t="s" s="0">
        <v>77</v>
      </c>
      <c r="AO426" t="s" s="0">
        <v>97</v>
      </c>
      <c r="AP426" t="s" s="0">
        <v>97</v>
      </c>
      <c r="AQ426" t="s" s="0">
        <v>98</v>
      </c>
      <c r="AR426" t="s" s="0">
        <v>99</v>
      </c>
      <c r="AS426" t="s" s="0">
        <v>100</v>
      </c>
      <c r="AT426" t="s" s="0">
        <v>101</v>
      </c>
      <c r="AU426" t="s" s="0">
        <v>81</v>
      </c>
      <c r="AV426" t="s" s="0">
        <v>81</v>
      </c>
      <c r="AW426" t="s" s="0">
        <v>89</v>
      </c>
      <c r="AX426" t="s" s="0">
        <v>102</v>
      </c>
      <c r="AY426" t="s" s="0">
        <v>103</v>
      </c>
      <c r="AZ426" t="s" s="0">
        <v>103</v>
      </c>
      <c r="BA426" t="s" s="0">
        <v>104</v>
      </c>
      <c r="BB426" t="s" s="0">
        <v>81</v>
      </c>
      <c r="BC426" t="s" s="0">
        <v>81</v>
      </c>
      <c r="BD426" t="s" s="0">
        <v>81</v>
      </c>
      <c r="BE426" t="s" s="0">
        <v>81</v>
      </c>
      <c r="BF426" t="s" s="0">
        <v>81</v>
      </c>
      <c r="BG426" t="s" s="0">
        <v>9697</v>
      </c>
      <c r="BH426" t="s" s="0">
        <v>9698</v>
      </c>
      <c r="BI426" t="s" s="0">
        <v>81</v>
      </c>
      <c r="BJ426" t="s" s="0">
        <v>9699</v>
      </c>
      <c r="BK426" t="s" s="845">
        <f>HYPERLINK("http://dx.doi.org/10.1109/ACCESS.2026.3706255","http://dx.doi.org/10.1109/ACCESS.2026.3706255")</f>
        <v>9700</v>
      </c>
      <c r="BL426" t="s" s="0">
        <v>81</v>
      </c>
      <c r="BM426" t="s" s="0">
        <v>81</v>
      </c>
      <c r="BN426" t="s" s="0">
        <v>222</v>
      </c>
      <c r="BO426" t="s" s="0">
        <v>110</v>
      </c>
      <c r="BP426" t="s" s="0">
        <v>111</v>
      </c>
      <c r="BQ426" t="s" s="0">
        <v>9701</v>
      </c>
      <c r="BR426" t="s" s="0">
        <v>81</v>
      </c>
      <c r="BS426" t="s" s="0">
        <v>9702</v>
      </c>
      <c r="BT426" t="s" s="846">
        <f>HYPERLINK("https://www.webofscience.com/wos/woscc/full-record/WOS:001821036400017","View Record in Web of Science")</f>
        <v>114</v>
      </c>
      <c r="BU426" t="s" s="0">
        <v>115</v>
      </c>
      <c r="BV426" t="s" s="0">
        <v>81</v>
      </c>
      <c r="BW426" t="s" s="0">
        <v>81</v>
      </c>
      <c r="BX426" t="s" s="0">
        <v>116</v>
      </c>
    </row>
    <row r="427">
      <c r="A427" t="s" s="0">
        <v>77</v>
      </c>
      <c r="B427" t="s" s="0">
        <v>77</v>
      </c>
      <c r="C427" t="s" s="0">
        <v>77</v>
      </c>
      <c r="D427" t="s" s="0">
        <v>77</v>
      </c>
      <c r="E427" t="s" s="0">
        <v>9703</v>
      </c>
      <c r="F427" t="s" s="0">
        <v>9704</v>
      </c>
      <c r="G427" t="s" s="0">
        <v>9705</v>
      </c>
      <c r="H427" t="s" s="0">
        <v>81</v>
      </c>
      <c r="I427" t="s" s="0">
        <v>82</v>
      </c>
      <c r="J427" t="s" s="0">
        <v>9706</v>
      </c>
      <c r="K427" t="s" s="0">
        <v>9707</v>
      </c>
      <c r="L427" t="s" s="0">
        <v>81</v>
      </c>
      <c r="M427" t="s" s="0">
        <v>81</v>
      </c>
      <c r="N427" t="s" s="0">
        <v>81</v>
      </c>
      <c r="O427" t="s" s="0">
        <v>9708</v>
      </c>
      <c r="P427" t="s" s="0">
        <v>9709</v>
      </c>
      <c r="Q427" t="s" s="0">
        <v>87</v>
      </c>
      <c r="R427" t="s" s="0">
        <v>81</v>
      </c>
      <c r="S427" t="s" s="0">
        <v>81</v>
      </c>
      <c r="T427" t="s" s="0">
        <v>81</v>
      </c>
      <c r="U427" t="s" s="0">
        <v>81</v>
      </c>
      <c r="V427" t="s" s="0">
        <v>9710</v>
      </c>
      <c r="W427" t="s" s="0">
        <v>9711</v>
      </c>
      <c r="X427" t="s" s="0">
        <v>81</v>
      </c>
      <c r="Y427" t="s" s="0">
        <v>81</v>
      </c>
      <c r="Z427" t="s" s="0">
        <v>90</v>
      </c>
      <c r="AA427" t="s" s="0">
        <v>91</v>
      </c>
      <c r="AB427" t="s" s="0">
        <v>81</v>
      </c>
      <c r="AC427" t="s" s="0">
        <v>81</v>
      </c>
      <c r="AD427" t="s" s="0">
        <v>81</v>
      </c>
      <c r="AE427" t="s" s="0">
        <v>81</v>
      </c>
      <c r="AF427" t="s" s="0">
        <v>81</v>
      </c>
      <c r="AG427" t="s" s="0">
        <v>9712</v>
      </c>
      <c r="AH427" t="s" s="0">
        <v>9713</v>
      </c>
      <c r="AI427" t="s" s="0">
        <v>9714</v>
      </c>
      <c r="AJ427" t="s" s="0">
        <v>9715</v>
      </c>
      <c r="AK427" t="s" s="0">
        <v>81</v>
      </c>
      <c r="AL427" t="s" s="0">
        <v>1607</v>
      </c>
      <c r="AM427" t="s" s="0">
        <v>156</v>
      </c>
      <c r="AN427" t="s" s="0">
        <v>175</v>
      </c>
      <c r="AO427" t="s" s="0">
        <v>156</v>
      </c>
      <c r="AP427" t="s" s="0">
        <v>191</v>
      </c>
      <c r="AQ427" t="s" s="0">
        <v>7401</v>
      </c>
      <c r="AR427" t="s" s="0">
        <v>7402</v>
      </c>
      <c r="AS427" t="s" s="0">
        <v>7403</v>
      </c>
      <c r="AT427" t="s" s="0">
        <v>9716</v>
      </c>
      <c r="AU427" t="s" s="0">
        <v>81</v>
      </c>
      <c r="AV427" t="s" s="0">
        <v>81</v>
      </c>
      <c r="AW427" t="s" s="0">
        <v>9717</v>
      </c>
      <c r="AX427" t="s" s="0">
        <v>9718</v>
      </c>
      <c r="AY427" t="s" s="0">
        <v>185</v>
      </c>
      <c r="AZ427" t="s" s="0">
        <v>185</v>
      </c>
      <c r="BA427" t="s" s="0">
        <v>252</v>
      </c>
      <c r="BB427" t="s" s="0">
        <v>156</v>
      </c>
      <c r="BC427" t="s" s="0">
        <v>81</v>
      </c>
      <c r="BD427" t="s" s="0">
        <v>81</v>
      </c>
      <c r="BE427" t="s" s="0">
        <v>81</v>
      </c>
      <c r="BF427" t="s" s="0">
        <v>81</v>
      </c>
      <c r="BG427" t="s" s="0">
        <v>1561</v>
      </c>
      <c r="BH427" t="s" s="0">
        <v>4581</v>
      </c>
      <c r="BI427" t="s" s="0">
        <v>81</v>
      </c>
      <c r="BJ427" t="s" s="0">
        <v>9719</v>
      </c>
      <c r="BK427" t="s" s="847">
        <f>HYPERLINK("http://dx.doi.org/10.5755/j02.eie.36316","http://dx.doi.org/10.5755/j02.eie.36316")</f>
        <v>9720</v>
      </c>
      <c r="BL427" t="s" s="0">
        <v>81</v>
      </c>
      <c r="BM427" t="s" s="0">
        <v>81</v>
      </c>
      <c r="BN427" t="s" s="0">
        <v>211</v>
      </c>
      <c r="BO427" t="s" s="0">
        <v>2191</v>
      </c>
      <c r="BP427" t="s" s="0">
        <v>1003</v>
      </c>
      <c r="BQ427" t="s" s="0">
        <v>9721</v>
      </c>
      <c r="BR427" t="s" s="0">
        <v>81</v>
      </c>
      <c r="BS427" t="s" s="0">
        <v>9722</v>
      </c>
      <c r="BT427" t="s" s="848">
        <f>HYPERLINK("https://www.webofscience.com/wos/woscc/full-record/WOS:001286429100007","View Record in Web of Science")</f>
        <v>114</v>
      </c>
      <c r="BU427" t="s" s="0">
        <v>115</v>
      </c>
      <c r="BV427" t="s" s="0">
        <v>81</v>
      </c>
      <c r="BW427" t="s" s="0">
        <v>81</v>
      </c>
      <c r="BX427" t="s" s="0">
        <v>116</v>
      </c>
    </row>
    <row r="428">
      <c r="A428" t="s" s="0">
        <v>77</v>
      </c>
      <c r="B428" t="s" s="0">
        <v>77</v>
      </c>
      <c r="C428" t="s" s="0">
        <v>77</v>
      </c>
      <c r="D428" t="s" s="0">
        <v>77</v>
      </c>
      <c r="E428" t="s" s="0">
        <v>9723</v>
      </c>
      <c r="F428" t="s" s="0">
        <v>9724</v>
      </c>
      <c r="G428" t="s" s="0">
        <v>9725</v>
      </c>
      <c r="H428" t="s" s="0">
        <v>81</v>
      </c>
      <c r="I428" t="s" s="0">
        <v>82</v>
      </c>
      <c r="J428" t="s" s="0">
        <v>9726</v>
      </c>
      <c r="K428" t="s" s="0">
        <v>9727</v>
      </c>
      <c r="L428" t="s" s="0">
        <v>81</v>
      </c>
      <c r="M428" t="s" s="0">
        <v>81</v>
      </c>
      <c r="N428" t="s" s="0">
        <v>81</v>
      </c>
      <c r="O428" t="s" s="0">
        <v>9728</v>
      </c>
      <c r="P428" t="s" s="0">
        <v>9729</v>
      </c>
      <c r="Q428" t="s" s="0">
        <v>87</v>
      </c>
      <c r="R428" t="s" s="0">
        <v>81</v>
      </c>
      <c r="S428" t="s" s="0">
        <v>81</v>
      </c>
      <c r="T428" t="s" s="0">
        <v>81</v>
      </c>
      <c r="U428" t="s" s="0">
        <v>81</v>
      </c>
      <c r="V428" t="s" s="0">
        <v>9730</v>
      </c>
      <c r="W428" t="s" s="0">
        <v>3058</v>
      </c>
      <c r="X428" t="s" s="0">
        <v>81</v>
      </c>
      <c r="Y428" t="s" s="0">
        <v>81</v>
      </c>
      <c r="Z428" t="s" s="0">
        <v>90</v>
      </c>
      <c r="AA428" t="s" s="0">
        <v>91</v>
      </c>
      <c r="AB428" t="s" s="0">
        <v>81</v>
      </c>
      <c r="AC428" t="s" s="0">
        <v>81</v>
      </c>
      <c r="AD428" t="s" s="0">
        <v>81</v>
      </c>
      <c r="AE428" t="s" s="0">
        <v>81</v>
      </c>
      <c r="AF428" t="s" s="0">
        <v>81</v>
      </c>
      <c r="AG428" t="s" s="0">
        <v>9731</v>
      </c>
      <c r="AH428" t="s" s="0">
        <v>81</v>
      </c>
      <c r="AI428" t="s" s="0">
        <v>81</v>
      </c>
      <c r="AJ428" t="s" s="0">
        <v>81</v>
      </c>
      <c r="AK428" t="s" s="0">
        <v>81</v>
      </c>
      <c r="AL428" t="s" s="0">
        <v>664</v>
      </c>
      <c r="AM428" t="s" s="0">
        <v>77</v>
      </c>
      <c r="AN428" t="s" s="0">
        <v>77</v>
      </c>
      <c r="AO428" t="s" s="0">
        <v>77</v>
      </c>
      <c r="AP428" t="s" s="0">
        <v>77</v>
      </c>
      <c r="AQ428" t="s" s="0">
        <v>3061</v>
      </c>
      <c r="AR428" t="s" s="0">
        <v>3062</v>
      </c>
      <c r="AS428" t="s" s="0">
        <v>3063</v>
      </c>
      <c r="AT428" t="s" s="0">
        <v>3064</v>
      </c>
      <c r="AU428" t="s" s="0">
        <v>3065</v>
      </c>
      <c r="AV428" t="s" s="0">
        <v>81</v>
      </c>
      <c r="AW428" t="s" s="0">
        <v>3066</v>
      </c>
      <c r="AX428" t="s" s="0">
        <v>3067</v>
      </c>
      <c r="AY428" t="s" s="0">
        <v>1836</v>
      </c>
      <c r="AZ428" t="s" s="0">
        <v>103</v>
      </c>
      <c r="BA428" t="s" s="0">
        <v>176</v>
      </c>
      <c r="BB428" t="s" s="0">
        <v>81</v>
      </c>
      <c r="BC428" t="s" s="0">
        <v>81</v>
      </c>
      <c r="BD428" t="s" s="0">
        <v>81</v>
      </c>
      <c r="BE428" t="s" s="0">
        <v>81</v>
      </c>
      <c r="BF428" t="s" s="0">
        <v>81</v>
      </c>
      <c r="BG428" t="s" s="0">
        <v>81</v>
      </c>
      <c r="BH428" t="s" s="0">
        <v>81</v>
      </c>
      <c r="BI428" t="s" s="0">
        <v>9732</v>
      </c>
      <c r="BJ428" t="s" s="0">
        <v>9733</v>
      </c>
      <c r="BK428" t="s" s="849">
        <f>HYPERLINK("http://dx.doi.org/10.2196/83903","http://dx.doi.org/10.2196/83903")</f>
        <v>9734</v>
      </c>
      <c r="BL428" t="s" s="0">
        <v>81</v>
      </c>
      <c r="BM428" t="s" s="0">
        <v>81</v>
      </c>
      <c r="BN428" t="s" s="0">
        <v>191</v>
      </c>
      <c r="BO428" t="s" s="0">
        <v>792</v>
      </c>
      <c r="BP428" t="s" s="0">
        <v>792</v>
      </c>
      <c r="BQ428" t="s" s="0">
        <v>9735</v>
      </c>
      <c r="BR428" t="s" s="0">
        <v>9736</v>
      </c>
      <c r="BS428" t="s" s="0">
        <v>9737</v>
      </c>
      <c r="BT428" t="s" s="850">
        <f>HYPERLINK("https://www.webofscience.com/wos/woscc/full-record/WOS:001712668000003","View Record in Web of Science")</f>
        <v>114</v>
      </c>
      <c r="BU428" t="s" s="0">
        <v>301</v>
      </c>
      <c r="BV428" t="s" s="0">
        <v>81</v>
      </c>
      <c r="BW428" t="s" s="0">
        <v>81</v>
      </c>
      <c r="BX428" t="s" s="0">
        <v>116</v>
      </c>
    </row>
    <row r="429">
      <c r="A429" t="s" s="0">
        <v>77</v>
      </c>
      <c r="B429" t="s" s="0">
        <v>77</v>
      </c>
      <c r="C429" t="s" s="0">
        <v>156</v>
      </c>
      <c r="D429" t="s" s="0">
        <v>77</v>
      </c>
      <c r="E429" t="s" s="0">
        <v>9738</v>
      </c>
      <c r="F429" t="s" s="0">
        <v>9739</v>
      </c>
      <c r="G429" t="s" s="0">
        <v>9740</v>
      </c>
      <c r="H429" t="s" s="0">
        <v>81</v>
      </c>
      <c r="I429" t="s" s="0">
        <v>238</v>
      </c>
      <c r="J429" t="s" s="0">
        <v>9741</v>
      </c>
      <c r="K429" t="s" s="0">
        <v>9742</v>
      </c>
      <c r="L429" t="s" s="0">
        <v>9743</v>
      </c>
      <c r="M429" t="s" s="0">
        <v>9743</v>
      </c>
      <c r="N429" t="s" s="0">
        <v>335</v>
      </c>
      <c r="O429" t="s" s="0">
        <v>9744</v>
      </c>
      <c r="P429" t="s" s="0">
        <v>9745</v>
      </c>
      <c r="Q429" t="s" s="0">
        <v>87</v>
      </c>
      <c r="R429" t="s" s="0">
        <v>81</v>
      </c>
      <c r="S429" t="s" s="0">
        <v>81</v>
      </c>
      <c r="T429" t="s" s="0">
        <v>81</v>
      </c>
      <c r="U429" t="s" s="0">
        <v>81</v>
      </c>
      <c r="V429" t="s" s="0">
        <v>9746</v>
      </c>
      <c r="W429" t="s" s="0">
        <v>9747</v>
      </c>
      <c r="X429" t="s" s="0">
        <v>81</v>
      </c>
      <c r="Y429" t="s" s="0">
        <v>81</v>
      </c>
      <c r="Z429" t="s" s="0">
        <v>90</v>
      </c>
      <c r="AA429" t="s" s="0">
        <v>91</v>
      </c>
      <c r="AB429" t="s" s="0">
        <v>81</v>
      </c>
      <c r="AC429" t="s" s="0">
        <v>81</v>
      </c>
      <c r="AD429" t="s" s="0">
        <v>81</v>
      </c>
      <c r="AE429" t="s" s="0">
        <v>81</v>
      </c>
      <c r="AF429" t="s" s="0">
        <v>81</v>
      </c>
      <c r="AG429" t="s" s="0">
        <v>9748</v>
      </c>
      <c r="AH429" t="s" s="0">
        <v>9749</v>
      </c>
      <c r="AI429" t="s" s="0">
        <v>9750</v>
      </c>
      <c r="AJ429" t="s" s="0">
        <v>9751</v>
      </c>
      <c r="AK429" t="s" s="0">
        <v>81</v>
      </c>
      <c r="AL429" t="s" s="0">
        <v>228</v>
      </c>
      <c r="AM429" t="s" s="0">
        <v>261</v>
      </c>
      <c r="AN429" t="s" s="0">
        <v>261</v>
      </c>
      <c r="AO429" t="s" s="0">
        <v>97</v>
      </c>
      <c r="AP429" t="s" s="0">
        <v>156</v>
      </c>
      <c r="AQ429" t="s" s="0">
        <v>9752</v>
      </c>
      <c r="AR429" t="s" s="0">
        <v>9753</v>
      </c>
      <c r="AS429" t="s" s="0">
        <v>9754</v>
      </c>
      <c r="AT429" t="s" s="0">
        <v>81</v>
      </c>
      <c r="AU429" t="s" s="0">
        <v>9755</v>
      </c>
      <c r="AV429" t="s" s="0">
        <v>81</v>
      </c>
      <c r="AW429" t="s" s="0">
        <v>9756</v>
      </c>
      <c r="AX429" t="s" s="0">
        <v>9757</v>
      </c>
      <c r="AY429" t="s" s="0">
        <v>9758</v>
      </c>
      <c r="AZ429" t="s" s="0">
        <v>185</v>
      </c>
      <c r="BA429" t="s" s="0">
        <v>381</v>
      </c>
      <c r="BB429" t="s" s="0">
        <v>97</v>
      </c>
      <c r="BC429" t="s" s="0">
        <v>81</v>
      </c>
      <c r="BD429" t="s" s="0">
        <v>81</v>
      </c>
      <c r="BE429" t="s" s="0">
        <v>81</v>
      </c>
      <c r="BF429" t="s" s="0">
        <v>81</v>
      </c>
      <c r="BG429" t="s" s="0">
        <v>81</v>
      </c>
      <c r="BH429" t="s" s="0">
        <v>81</v>
      </c>
      <c r="BI429" t="s" s="0">
        <v>756</v>
      </c>
      <c r="BJ429" t="s" s="0">
        <v>9759</v>
      </c>
      <c r="BK429" t="s" s="851">
        <f>HYPERLINK("http://dx.doi.org/10.1186/s41747-024-00442-4","http://dx.doi.org/10.1186/s41747-024-00442-4")</f>
        <v>9760</v>
      </c>
      <c r="BL429" t="s" s="0">
        <v>81</v>
      </c>
      <c r="BM429" t="s" s="0">
        <v>81</v>
      </c>
      <c r="BN429" t="s" s="0">
        <v>134</v>
      </c>
      <c r="BO429" t="s" s="0">
        <v>738</v>
      </c>
      <c r="BP429" t="s" s="0">
        <v>738</v>
      </c>
      <c r="BQ429" t="s" s="0">
        <v>9761</v>
      </c>
      <c r="BR429" t="s" s="0">
        <v>9762</v>
      </c>
      <c r="BS429" t="s" s="0">
        <v>9763</v>
      </c>
      <c r="BT429" t="s" s="852">
        <f>HYPERLINK("https://www.webofscience.com/wos/woscc/full-record/WOS:001198636600001","View Record in Web of Science")</f>
        <v>114</v>
      </c>
      <c r="BU429" t="s" s="0">
        <v>301</v>
      </c>
      <c r="BV429" t="s" s="0">
        <v>81</v>
      </c>
      <c r="BW429" t="s" s="0">
        <v>81</v>
      </c>
      <c r="BX429" t="s" s="0">
        <v>116</v>
      </c>
    </row>
    <row r="430">
      <c r="A430" t="s" s="0">
        <v>77</v>
      </c>
      <c r="B430" t="s" s="0">
        <v>77</v>
      </c>
      <c r="C430" t="s" s="0">
        <v>77</v>
      </c>
      <c r="D430" t="s" s="0">
        <v>77</v>
      </c>
      <c r="E430" t="s" s="0">
        <v>9764</v>
      </c>
      <c r="F430" t="s" s="0">
        <v>9765</v>
      </c>
      <c r="G430" t="s" s="0">
        <v>9766</v>
      </c>
      <c r="H430" t="s" s="0">
        <v>81</v>
      </c>
      <c r="I430" t="s" s="0">
        <v>9767</v>
      </c>
      <c r="J430" t="s" s="0">
        <v>9768</v>
      </c>
      <c r="K430" t="s" s="0">
        <v>9769</v>
      </c>
      <c r="L430" t="s" s="0">
        <v>81</v>
      </c>
      <c r="M430" t="s" s="0">
        <v>81</v>
      </c>
      <c r="N430" t="s" s="0">
        <v>81</v>
      </c>
      <c r="O430" t="s" s="0">
        <v>9770</v>
      </c>
      <c r="P430" t="s" s="0">
        <v>81</v>
      </c>
      <c r="Q430" t="s" s="0">
        <v>87</v>
      </c>
      <c r="R430" t="s" s="0">
        <v>81</v>
      </c>
      <c r="S430" t="s" s="0">
        <v>81</v>
      </c>
      <c r="T430" t="s" s="0">
        <v>81</v>
      </c>
      <c r="U430" t="s" s="0">
        <v>81</v>
      </c>
      <c r="V430" t="s" s="0">
        <v>9771</v>
      </c>
      <c r="W430" t="s" s="0">
        <v>9772</v>
      </c>
      <c r="X430" t="s" s="0">
        <v>81</v>
      </c>
      <c r="Y430" t="s" s="0">
        <v>81</v>
      </c>
      <c r="Z430" t="s" s="0">
        <v>90</v>
      </c>
      <c r="AA430" t="s" s="0">
        <v>91</v>
      </c>
      <c r="AB430" t="s" s="0">
        <v>81</v>
      </c>
      <c r="AC430" t="s" s="0">
        <v>81</v>
      </c>
      <c r="AD430" t="s" s="0">
        <v>81</v>
      </c>
      <c r="AE430" t="s" s="0">
        <v>81</v>
      </c>
      <c r="AF430" t="s" s="0">
        <v>81</v>
      </c>
      <c r="AG430" t="s" s="0">
        <v>9773</v>
      </c>
      <c r="AH430" t="s" s="0">
        <v>9774</v>
      </c>
      <c r="AI430" t="s" s="0">
        <v>9775</v>
      </c>
      <c r="AJ430" t="s" s="0">
        <v>9776</v>
      </c>
      <c r="AK430" t="s" s="0">
        <v>81</v>
      </c>
      <c r="AL430" t="s" s="0">
        <v>134</v>
      </c>
      <c r="AM430" t="s" s="0">
        <v>381</v>
      </c>
      <c r="AN430" t="s" s="0">
        <v>261</v>
      </c>
      <c r="AO430" t="s" s="0">
        <v>77</v>
      </c>
      <c r="AP430" t="s" s="0">
        <v>176</v>
      </c>
      <c r="AQ430" t="s" s="0">
        <v>9777</v>
      </c>
      <c r="AR430" t="s" s="0">
        <v>255</v>
      </c>
      <c r="AS430" t="s" s="0">
        <v>9778</v>
      </c>
      <c r="AT430" t="s" s="0">
        <v>9779</v>
      </c>
      <c r="AU430" t="s" s="0">
        <v>9780</v>
      </c>
      <c r="AV430" t="s" s="0">
        <v>81</v>
      </c>
      <c r="AW430" t="s" s="0">
        <v>9781</v>
      </c>
      <c r="AX430" t="s" s="0">
        <v>9782</v>
      </c>
      <c r="AY430" t="s" s="0">
        <v>265</v>
      </c>
      <c r="AZ430" t="s" s="0">
        <v>260</v>
      </c>
      <c r="BA430" t="s" s="0">
        <v>890</v>
      </c>
      <c r="BB430" t="s" s="0">
        <v>133</v>
      </c>
      <c r="BC430" t="s" s="0">
        <v>81</v>
      </c>
      <c r="BD430" t="s" s="0">
        <v>81</v>
      </c>
      <c r="BE430" t="s" s="0">
        <v>81</v>
      </c>
      <c r="BF430" t="s" s="0">
        <v>81</v>
      </c>
      <c r="BG430" t="s" s="0">
        <v>9783</v>
      </c>
      <c r="BH430" t="s" s="0">
        <v>9784</v>
      </c>
      <c r="BI430" t="s" s="0">
        <v>81</v>
      </c>
      <c r="BJ430" t="s" s="0">
        <v>9785</v>
      </c>
      <c r="BK430" t="s" s="853">
        <f>HYPERLINK("http://dx.doi.org/10.1017/S1351324923000463","http://dx.doi.org/10.1017/S1351324923000463")</f>
        <v>9786</v>
      </c>
      <c r="BL430" t="s" s="0">
        <v>81</v>
      </c>
      <c r="BM430" t="s" s="0">
        <v>81</v>
      </c>
      <c r="BN430" t="s" s="0">
        <v>261</v>
      </c>
      <c r="BO430" t="s" s="0">
        <v>9787</v>
      </c>
      <c r="BP430" t="s" s="0">
        <v>9788</v>
      </c>
      <c r="BQ430" t="s" s="0">
        <v>9789</v>
      </c>
      <c r="BR430" t="s" s="0">
        <v>81</v>
      </c>
      <c r="BS430" t="s" s="0">
        <v>9790</v>
      </c>
      <c r="BT430" t="s" s="854">
        <f>HYPERLINK("https://www.webofscience.com/wos/woscc/full-record/WOS:001062434100008","View Record in Web of Science")</f>
        <v>114</v>
      </c>
      <c r="BU430" t="s" s="0">
        <v>1055</v>
      </c>
      <c r="BV430" t="s" s="0">
        <v>81</v>
      </c>
      <c r="BW430" t="s" s="0">
        <v>81</v>
      </c>
      <c r="BX430" t="s" s="0">
        <v>116</v>
      </c>
    </row>
    <row r="431">
      <c r="A431" t="s" s="0">
        <v>77</v>
      </c>
      <c r="B431" t="s" s="0">
        <v>77</v>
      </c>
      <c r="C431" t="s" s="0">
        <v>77</v>
      </c>
      <c r="D431" t="s" s="0">
        <v>77</v>
      </c>
      <c r="E431" t="s" s="0">
        <v>9791</v>
      </c>
      <c r="F431" t="s" s="0">
        <v>9792</v>
      </c>
      <c r="G431" t="s" s="0">
        <v>9793</v>
      </c>
      <c r="H431" t="s" s="0">
        <v>81</v>
      </c>
      <c r="I431" t="s" s="0">
        <v>82</v>
      </c>
      <c r="J431" t="s" s="0">
        <v>9794</v>
      </c>
      <c r="K431" t="s" s="0">
        <v>9795</v>
      </c>
      <c r="L431" t="s" s="0">
        <v>9796</v>
      </c>
      <c r="M431" t="s" s="0">
        <v>9797</v>
      </c>
      <c r="N431" t="s" s="0">
        <v>9798</v>
      </c>
      <c r="O431" t="s" s="0">
        <v>9799</v>
      </c>
      <c r="P431" t="s" s="0">
        <v>9800</v>
      </c>
      <c r="Q431" t="s" s="0">
        <v>87</v>
      </c>
      <c r="R431" t="s" s="0">
        <v>81</v>
      </c>
      <c r="S431" t="s" s="0">
        <v>81</v>
      </c>
      <c r="T431" t="s" s="0">
        <v>81</v>
      </c>
      <c r="U431" t="s" s="0">
        <v>81</v>
      </c>
      <c r="V431" t="s" s="0">
        <v>9801</v>
      </c>
      <c r="W431" t="s" s="0">
        <v>4446</v>
      </c>
      <c r="X431" t="s" s="0">
        <v>81</v>
      </c>
      <c r="Y431" t="s" s="0">
        <v>81</v>
      </c>
      <c r="Z431" t="s" s="0">
        <v>90</v>
      </c>
      <c r="AA431" t="s" s="0">
        <v>91</v>
      </c>
      <c r="AB431" t="s" s="0">
        <v>81</v>
      </c>
      <c r="AC431" t="s" s="0">
        <v>81</v>
      </c>
      <c r="AD431" t="s" s="0">
        <v>81</v>
      </c>
      <c r="AE431" t="s" s="0">
        <v>81</v>
      </c>
      <c r="AF431" t="s" s="0">
        <v>81</v>
      </c>
      <c r="AG431" t="s" s="0">
        <v>9802</v>
      </c>
      <c r="AH431" t="s" s="0">
        <v>81</v>
      </c>
      <c r="AI431" t="s" s="0">
        <v>9803</v>
      </c>
      <c r="AJ431" t="s" s="0">
        <v>9804</v>
      </c>
      <c r="AK431" t="s" s="0">
        <v>81</v>
      </c>
      <c r="AL431" t="s" s="0">
        <v>664</v>
      </c>
      <c r="AM431" t="s" s="0">
        <v>77</v>
      </c>
      <c r="AN431" t="s" s="0">
        <v>77</v>
      </c>
      <c r="AO431" t="s" s="0">
        <v>77</v>
      </c>
      <c r="AP431" t="s" s="0">
        <v>77</v>
      </c>
      <c r="AQ431" t="s" s="0">
        <v>284</v>
      </c>
      <c r="AR431" t="s" s="0">
        <v>285</v>
      </c>
      <c r="AS431" t="s" s="0">
        <v>286</v>
      </c>
      <c r="AT431" t="s" s="0">
        <v>81</v>
      </c>
      <c r="AU431" t="s" s="0">
        <v>4451</v>
      </c>
      <c r="AV431" t="s" s="0">
        <v>81</v>
      </c>
      <c r="AW431" t="s" s="0">
        <v>4452</v>
      </c>
      <c r="AX431" t="s" s="0">
        <v>4453</v>
      </c>
      <c r="AY431" t="s" s="0">
        <v>9805</v>
      </c>
      <c r="AZ431" t="s" s="0">
        <v>103</v>
      </c>
      <c r="BA431" t="s" s="0">
        <v>291</v>
      </c>
      <c r="BB431" t="s" s="0">
        <v>191</v>
      </c>
      <c r="BC431" t="s" s="0">
        <v>81</v>
      </c>
      <c r="BD431" t="s" s="0">
        <v>81</v>
      </c>
      <c r="BE431" t="s" s="0">
        <v>81</v>
      </c>
      <c r="BF431" t="s" s="0">
        <v>81</v>
      </c>
      <c r="BG431" t="s" s="0">
        <v>81</v>
      </c>
      <c r="BH431" t="s" s="0">
        <v>81</v>
      </c>
      <c r="BI431" t="s" s="0">
        <v>9806</v>
      </c>
      <c r="BJ431" t="s" s="0">
        <v>9807</v>
      </c>
      <c r="BK431" t="s" s="855">
        <f>HYPERLINK("http://dx.doi.org/10.3390/jcm15114287","http://dx.doi.org/10.3390/jcm15114287")</f>
        <v>9808</v>
      </c>
      <c r="BL431" t="s" s="0">
        <v>81</v>
      </c>
      <c r="BM431" t="s" s="0">
        <v>849</v>
      </c>
      <c r="BN431" t="s" s="0">
        <v>228</v>
      </c>
      <c r="BO431" t="s" s="0">
        <v>296</v>
      </c>
      <c r="BP431" t="s" s="0">
        <v>297</v>
      </c>
      <c r="BQ431" t="s" s="0">
        <v>9809</v>
      </c>
      <c r="BR431" t="s" s="0">
        <v>9810</v>
      </c>
      <c r="BS431" t="s" s="0">
        <v>9811</v>
      </c>
      <c r="BT431" t="s" s="856">
        <f>HYPERLINK("https://www.webofscience.com/wos/woscc/full-record/WOS:001790056200001","View Record in Web of Science")</f>
        <v>114</v>
      </c>
      <c r="BU431" t="s" s="0">
        <v>301</v>
      </c>
      <c r="BV431" t="s" s="0">
        <v>81</v>
      </c>
      <c r="BW431" t="s" s="0">
        <v>81</v>
      </c>
      <c r="BX431" t="s" s="0">
        <v>116</v>
      </c>
    </row>
    <row r="432">
      <c r="A432" t="s" s="0">
        <v>77</v>
      </c>
      <c r="B432" t="s" s="0">
        <v>77</v>
      </c>
      <c r="C432" t="s" s="0">
        <v>77</v>
      </c>
      <c r="D432" t="s" s="0">
        <v>77</v>
      </c>
      <c r="E432" t="s" s="0">
        <v>9812</v>
      </c>
      <c r="F432" t="s" s="0">
        <v>9813</v>
      </c>
      <c r="G432" t="s" s="0">
        <v>9814</v>
      </c>
      <c r="H432" t="s" s="0">
        <v>81</v>
      </c>
      <c r="I432" t="s" s="0">
        <v>528</v>
      </c>
      <c r="J432" t="s" s="0">
        <v>9815</v>
      </c>
      <c r="K432" t="s" s="0">
        <v>9816</v>
      </c>
      <c r="L432" t="s" s="0">
        <v>9817</v>
      </c>
      <c r="M432" t="s" s="0">
        <v>9817</v>
      </c>
      <c r="N432" t="s" s="0">
        <v>9818</v>
      </c>
      <c r="O432" t="s" s="0">
        <v>9819</v>
      </c>
      <c r="P432" t="s" s="0">
        <v>9820</v>
      </c>
      <c r="Q432" t="s" s="0">
        <v>87</v>
      </c>
      <c r="R432" t="s" s="0">
        <v>81</v>
      </c>
      <c r="S432" t="s" s="0">
        <v>81</v>
      </c>
      <c r="T432" t="s" s="0">
        <v>81</v>
      </c>
      <c r="U432" t="s" s="0">
        <v>81</v>
      </c>
      <c r="V432" t="s" s="0">
        <v>9821</v>
      </c>
      <c r="W432" t="s" s="0">
        <v>9822</v>
      </c>
      <c r="X432" t="s" s="0">
        <v>81</v>
      </c>
      <c r="Y432" t="s" s="0">
        <v>81</v>
      </c>
      <c r="Z432" t="s" s="0">
        <v>90</v>
      </c>
      <c r="AA432" t="s" s="0">
        <v>91</v>
      </c>
      <c r="AB432" t="s" s="0">
        <v>81</v>
      </c>
      <c r="AC432" t="s" s="0">
        <v>81</v>
      </c>
      <c r="AD432" t="s" s="0">
        <v>81</v>
      </c>
      <c r="AE432" t="s" s="0">
        <v>81</v>
      </c>
      <c r="AF432" t="s" s="0">
        <v>81</v>
      </c>
      <c r="AG432" t="s" s="0">
        <v>9823</v>
      </c>
      <c r="AH432" t="s" s="0">
        <v>9824</v>
      </c>
      <c r="AI432" t="s" s="0">
        <v>9825</v>
      </c>
      <c r="AJ432" t="s" s="0">
        <v>9826</v>
      </c>
      <c r="AK432" t="s" s="0">
        <v>81</v>
      </c>
      <c r="AL432" t="s" s="0">
        <v>1442</v>
      </c>
      <c r="AM432" t="s" s="0">
        <v>156</v>
      </c>
      <c r="AN432" t="s" s="0">
        <v>156</v>
      </c>
      <c r="AO432" t="s" s="0">
        <v>77</v>
      </c>
      <c r="AP432" t="s" s="0">
        <v>156</v>
      </c>
      <c r="AQ432" t="s" s="0">
        <v>9827</v>
      </c>
      <c r="AR432" t="s" s="0">
        <v>546</v>
      </c>
      <c r="AS432" t="s" s="0">
        <v>9828</v>
      </c>
      <c r="AT432" t="s" s="0">
        <v>9829</v>
      </c>
      <c r="AU432" t="s" s="0">
        <v>81</v>
      </c>
      <c r="AV432" t="s" s="0">
        <v>81</v>
      </c>
      <c r="AW432" t="s" s="0">
        <v>9830</v>
      </c>
      <c r="AX432" t="s" s="0">
        <v>9831</v>
      </c>
      <c r="AY432" t="s" s="0">
        <v>290</v>
      </c>
      <c r="AZ432" t="s" s="0">
        <v>290</v>
      </c>
      <c r="BA432" t="s" s="0">
        <v>191</v>
      </c>
      <c r="BB432" t="s" s="0">
        <v>81</v>
      </c>
      <c r="BC432" t="s" s="0">
        <v>81</v>
      </c>
      <c r="BD432" t="s" s="0">
        <v>81</v>
      </c>
      <c r="BE432" t="s" s="0">
        <v>81</v>
      </c>
      <c r="BF432" t="s" s="0">
        <v>81</v>
      </c>
      <c r="BG432" t="s" s="0">
        <v>81</v>
      </c>
      <c r="BH432" t="s" s="0">
        <v>81</v>
      </c>
      <c r="BI432" t="s" s="0">
        <v>9832</v>
      </c>
      <c r="BJ432" t="s" s="0">
        <v>9833</v>
      </c>
      <c r="BK432" t="s" s="857">
        <f>HYPERLINK("http://dx.doi.org/10.1177/20552076251404523","http://dx.doi.org/10.1177/20552076251404523")</f>
        <v>9834</v>
      </c>
      <c r="BL432" t="s" s="0">
        <v>81</v>
      </c>
      <c r="BM432" t="s" s="0">
        <v>81</v>
      </c>
      <c r="BN432" t="s" s="0">
        <v>291</v>
      </c>
      <c r="BO432" t="s" s="0">
        <v>9835</v>
      </c>
      <c r="BP432" t="s" s="0">
        <v>9836</v>
      </c>
      <c r="BQ432" t="s" s="0">
        <v>9837</v>
      </c>
      <c r="BR432" t="s" s="0">
        <v>9838</v>
      </c>
      <c r="BS432" t="s" s="0">
        <v>9839</v>
      </c>
      <c r="BT432" t="s" s="858">
        <f>HYPERLINK("https://www.webofscience.com/wos/woscc/full-record/WOS:001634829400001","View Record in Web of Science")</f>
        <v>114</v>
      </c>
      <c r="BU432" t="s" s="0">
        <v>301</v>
      </c>
      <c r="BV432" t="s" s="0">
        <v>81</v>
      </c>
      <c r="BW432" t="s" s="0">
        <v>81</v>
      </c>
      <c r="BX432" t="s" s="0">
        <v>116</v>
      </c>
    </row>
    <row r="433">
      <c r="A433" t="s" s="0">
        <v>77</v>
      </c>
      <c r="B433" t="s" s="0">
        <v>77</v>
      </c>
      <c r="C433" t="s" s="0">
        <v>97</v>
      </c>
      <c r="D433" t="s" s="0">
        <v>77</v>
      </c>
      <c r="E433" t="s" s="0">
        <v>9840</v>
      </c>
      <c r="F433" t="s" s="0">
        <v>9841</v>
      </c>
      <c r="G433" t="s" s="0">
        <v>9842</v>
      </c>
      <c r="H433" t="s" s="0">
        <v>81</v>
      </c>
      <c r="I433" t="s" s="0">
        <v>238</v>
      </c>
      <c r="J433" t="s" s="0">
        <v>9843</v>
      </c>
      <c r="K433" t="s" s="0">
        <v>9844</v>
      </c>
      <c r="L433" t="s" s="0">
        <v>9845</v>
      </c>
      <c r="M433" t="s" s="0">
        <v>9846</v>
      </c>
      <c r="N433" t="s" s="0">
        <v>9847</v>
      </c>
      <c r="O433" t="s" s="0">
        <v>9848</v>
      </c>
      <c r="P433" t="s" s="0">
        <v>9849</v>
      </c>
      <c r="Q433" t="s" s="0">
        <v>87</v>
      </c>
      <c r="R433" t="s" s="0">
        <v>81</v>
      </c>
      <c r="S433" t="s" s="0">
        <v>81</v>
      </c>
      <c r="T433" t="s" s="0">
        <v>81</v>
      </c>
      <c r="U433" t="s" s="0">
        <v>81</v>
      </c>
      <c r="V433" t="s" s="0">
        <v>9850</v>
      </c>
      <c r="W433" t="s" s="0">
        <v>9851</v>
      </c>
      <c r="X433" t="s" s="0">
        <v>81</v>
      </c>
      <c r="Y433" t="s" s="0">
        <v>81</v>
      </c>
      <c r="Z433" t="s" s="0">
        <v>90</v>
      </c>
      <c r="AA433" t="s" s="0">
        <v>91</v>
      </c>
      <c r="AB433" t="s" s="0">
        <v>81</v>
      </c>
      <c r="AC433" t="s" s="0">
        <v>81</v>
      </c>
      <c r="AD433" t="s" s="0">
        <v>81</v>
      </c>
      <c r="AE433" t="s" s="0">
        <v>81</v>
      </c>
      <c r="AF433" t="s" s="0">
        <v>81</v>
      </c>
      <c r="AG433" t="s" s="0">
        <v>81</v>
      </c>
      <c r="AH433" t="s" s="0">
        <v>9852</v>
      </c>
      <c r="AI433" t="s" s="0">
        <v>9853</v>
      </c>
      <c r="AJ433" t="s" s="0">
        <v>9854</v>
      </c>
      <c r="AK433" t="s" s="0">
        <v>81</v>
      </c>
      <c r="AL433" t="s" s="0">
        <v>1684</v>
      </c>
      <c r="AM433" t="s" s="0">
        <v>109</v>
      </c>
      <c r="AN433" t="s" s="0">
        <v>252</v>
      </c>
      <c r="AO433" t="s" s="0">
        <v>77</v>
      </c>
      <c r="AP433" t="s" s="0">
        <v>133</v>
      </c>
      <c r="AQ433" t="s" s="0">
        <v>3016</v>
      </c>
      <c r="AR433" t="s" s="0">
        <v>546</v>
      </c>
      <c r="AS433" t="s" s="0">
        <v>3017</v>
      </c>
      <c r="AT433" t="s" s="0">
        <v>81</v>
      </c>
      <c r="AU433" t="s" s="0">
        <v>9855</v>
      </c>
      <c r="AV433" t="s" s="0">
        <v>81</v>
      </c>
      <c r="AW433" t="s" s="0">
        <v>9856</v>
      </c>
      <c r="AX433" t="s" s="0">
        <v>9857</v>
      </c>
      <c r="AY433" t="s" s="0">
        <v>9858</v>
      </c>
      <c r="AZ433" t="s" s="0">
        <v>185</v>
      </c>
      <c r="BA433" t="s" s="0">
        <v>196</v>
      </c>
      <c r="BB433" t="s" s="0">
        <v>97</v>
      </c>
      <c r="BC433" t="s" s="0">
        <v>81</v>
      </c>
      <c r="BD433" t="s" s="0">
        <v>81</v>
      </c>
      <c r="BE433" t="s" s="0">
        <v>81</v>
      </c>
      <c r="BF433" t="s" s="0">
        <v>81</v>
      </c>
      <c r="BG433" t="s" s="0">
        <v>81</v>
      </c>
      <c r="BH433" t="s" s="0">
        <v>81</v>
      </c>
      <c r="BI433" t="s" s="0">
        <v>222</v>
      </c>
      <c r="BJ433" t="s" s="0">
        <v>9859</v>
      </c>
      <c r="BK433" t="s" s="859">
        <f>HYPERLINK("http://dx.doi.org/10.1038/s44184-024-00057-y","http://dx.doi.org/10.1038/s44184-024-00057-y")</f>
        <v>9860</v>
      </c>
      <c r="BL433" t="s" s="0">
        <v>81</v>
      </c>
      <c r="BM433" t="s" s="0">
        <v>81</v>
      </c>
      <c r="BN433" t="s" s="0">
        <v>191</v>
      </c>
      <c r="BO433" t="s" s="0">
        <v>6809</v>
      </c>
      <c r="BP433" t="s" s="0">
        <v>6809</v>
      </c>
      <c r="BQ433" t="s" s="0">
        <v>9861</v>
      </c>
      <c r="BR433" t="s" s="0">
        <v>9862</v>
      </c>
      <c r="BS433" t="s" s="0">
        <v>9863</v>
      </c>
      <c r="BT433" t="s" s="860">
        <f>HYPERLINK("https://www.webofscience.com/wos/woscc/full-record/WOS:001592603500001","View Record in Web of Science")</f>
        <v>114</v>
      </c>
      <c r="BU433" t="s" s="0">
        <v>301</v>
      </c>
      <c r="BV433" t="s" s="0">
        <v>81</v>
      </c>
      <c r="BW433" t="s" s="0">
        <v>81</v>
      </c>
      <c r="BX433" t="s" s="0">
        <v>116</v>
      </c>
    </row>
    <row r="434">
      <c r="A434" t="s" s="0">
        <v>77</v>
      </c>
      <c r="B434" t="s" s="0">
        <v>77</v>
      </c>
      <c r="C434" t="s" s="0">
        <v>77</v>
      </c>
      <c r="D434" t="s" s="0">
        <v>77</v>
      </c>
      <c r="E434" t="s" s="0">
        <v>9864</v>
      </c>
      <c r="F434" t="s" s="0">
        <v>9865</v>
      </c>
      <c r="G434" t="s" s="0">
        <v>9866</v>
      </c>
      <c r="H434" t="s" s="0">
        <v>81</v>
      </c>
      <c r="I434" t="s" s="0">
        <v>82</v>
      </c>
      <c r="J434" t="s" s="0">
        <v>9867</v>
      </c>
      <c r="K434" t="s" s="0">
        <v>9868</v>
      </c>
      <c r="L434" t="s" s="0">
        <v>9869</v>
      </c>
      <c r="M434" t="s" s="0">
        <v>9870</v>
      </c>
      <c r="N434" t="s" s="0">
        <v>9871</v>
      </c>
      <c r="O434" t="s" s="0">
        <v>9872</v>
      </c>
      <c r="P434" t="s" s="0">
        <v>9873</v>
      </c>
      <c r="Q434" t="s" s="0">
        <v>87</v>
      </c>
      <c r="R434" t="s" s="0">
        <v>81</v>
      </c>
      <c r="S434" t="s" s="0">
        <v>81</v>
      </c>
      <c r="T434" t="s" s="0">
        <v>81</v>
      </c>
      <c r="U434" t="s" s="0">
        <v>81</v>
      </c>
      <c r="V434" t="s" s="0">
        <v>9874</v>
      </c>
      <c r="W434" t="s" s="0">
        <v>5347</v>
      </c>
      <c r="X434" t="s" s="0">
        <v>81</v>
      </c>
      <c r="Y434" t="s" s="0">
        <v>81</v>
      </c>
      <c r="Z434" t="s" s="0">
        <v>90</v>
      </c>
      <c r="AA434" t="s" s="0">
        <v>91</v>
      </c>
      <c r="AB434" t="s" s="0">
        <v>81</v>
      </c>
      <c r="AC434" t="s" s="0">
        <v>81</v>
      </c>
      <c r="AD434" t="s" s="0">
        <v>81</v>
      </c>
      <c r="AE434" t="s" s="0">
        <v>81</v>
      </c>
      <c r="AF434" t="s" s="0">
        <v>81</v>
      </c>
      <c r="AG434" t="s" s="0">
        <v>9875</v>
      </c>
      <c r="AH434" t="s" s="0">
        <v>9876</v>
      </c>
      <c r="AI434" t="s" s="0">
        <v>9877</v>
      </c>
      <c r="AJ434" t="s" s="0">
        <v>9878</v>
      </c>
      <c r="AK434" t="s" s="0">
        <v>81</v>
      </c>
      <c r="AL434" t="s" s="0">
        <v>2296</v>
      </c>
      <c r="AM434" t="s" s="0">
        <v>97</v>
      </c>
      <c r="AN434" t="s" s="0">
        <v>97</v>
      </c>
      <c r="AO434" t="s" s="0">
        <v>97</v>
      </c>
      <c r="AP434" t="s" s="0">
        <v>191</v>
      </c>
      <c r="AQ434" t="s" s="0">
        <v>5350</v>
      </c>
      <c r="AR434" t="s" s="0">
        <v>546</v>
      </c>
      <c r="AS434" t="s" s="0">
        <v>5351</v>
      </c>
      <c r="AT434" t="s" s="0">
        <v>5352</v>
      </c>
      <c r="AU434" t="s" s="0">
        <v>5353</v>
      </c>
      <c r="AV434" t="s" s="0">
        <v>81</v>
      </c>
      <c r="AW434" t="s" s="0">
        <v>5354</v>
      </c>
      <c r="AX434" t="s" s="0">
        <v>5355</v>
      </c>
      <c r="AY434" t="s" s="0">
        <v>9879</v>
      </c>
      <c r="AZ434" t="s" s="0">
        <v>290</v>
      </c>
      <c r="BA434" t="s" s="0">
        <v>485</v>
      </c>
      <c r="BB434" t="s" s="0">
        <v>133</v>
      </c>
      <c r="BC434" t="s" s="0">
        <v>81</v>
      </c>
      <c r="BD434" t="s" s="0">
        <v>81</v>
      </c>
      <c r="BE434" t="s" s="0">
        <v>81</v>
      </c>
      <c r="BF434" t="s" s="0">
        <v>81</v>
      </c>
      <c r="BG434" t="s" s="0">
        <v>81</v>
      </c>
      <c r="BH434" t="s" s="0">
        <v>81</v>
      </c>
      <c r="BI434" t="s" s="0">
        <v>465</v>
      </c>
      <c r="BJ434" t="s" s="0">
        <v>9880</v>
      </c>
      <c r="BK434" t="s" s="861">
        <f>HYPERLINK("http://dx.doi.org/10.1007/s11760-025-03984-1","http://dx.doi.org/10.1007/s11760-025-03984-1")</f>
        <v>9881</v>
      </c>
      <c r="BL434" t="s" s="0">
        <v>81</v>
      </c>
      <c r="BM434" t="s" s="0">
        <v>81</v>
      </c>
      <c r="BN434" t="s" s="0">
        <v>367</v>
      </c>
      <c r="BO434" t="s" s="0">
        <v>5360</v>
      </c>
      <c r="BP434" t="s" s="0">
        <v>5361</v>
      </c>
      <c r="BQ434" t="s" s="0">
        <v>9882</v>
      </c>
      <c r="BR434" t="s" s="0">
        <v>81</v>
      </c>
      <c r="BS434" t="s" s="0">
        <v>9883</v>
      </c>
      <c r="BT434" t="s" s="862">
        <f>HYPERLINK("https://www.webofscience.com/wos/woscc/full-record/WOS:001441305500001","View Record in Web of Science")</f>
        <v>114</v>
      </c>
      <c r="BU434" t="s" s="0">
        <v>81</v>
      </c>
      <c r="BV434" t="s" s="0">
        <v>81</v>
      </c>
      <c r="BW434" t="s" s="0">
        <v>81</v>
      </c>
      <c r="BX434" t="s" s="0">
        <v>116</v>
      </c>
    </row>
    <row r="435">
      <c r="A435" t="s" s="0">
        <v>77</v>
      </c>
      <c r="B435" t="s" s="0">
        <v>77</v>
      </c>
      <c r="C435" t="s" s="0">
        <v>77</v>
      </c>
      <c r="D435" t="s" s="0">
        <v>77</v>
      </c>
      <c r="E435" t="s" s="0">
        <v>9884</v>
      </c>
      <c r="F435" t="s" s="0">
        <v>9885</v>
      </c>
      <c r="G435" t="s" s="0">
        <v>9886</v>
      </c>
      <c r="H435" t="s" s="0">
        <v>81</v>
      </c>
      <c r="I435" t="s" s="0">
        <v>82</v>
      </c>
      <c r="J435" t="s" s="0">
        <v>9887</v>
      </c>
      <c r="K435" t="s" s="0">
        <v>9888</v>
      </c>
      <c r="L435" t="s" s="0">
        <v>9889</v>
      </c>
      <c r="M435" t="s" s="0">
        <v>9890</v>
      </c>
      <c r="N435" t="s" s="0">
        <v>9891</v>
      </c>
      <c r="O435" t="s" s="0">
        <v>9892</v>
      </c>
      <c r="P435" t="s" s="0">
        <v>9893</v>
      </c>
      <c r="Q435" t="s" s="0">
        <v>87</v>
      </c>
      <c r="R435" t="s" s="0">
        <v>81</v>
      </c>
      <c r="S435" t="s" s="0">
        <v>81</v>
      </c>
      <c r="T435" t="s" s="0">
        <v>81</v>
      </c>
      <c r="U435" t="s" s="0">
        <v>81</v>
      </c>
      <c r="V435" t="s" s="0">
        <v>9894</v>
      </c>
      <c r="W435" t="s" s="0">
        <v>5983</v>
      </c>
      <c r="X435" t="s" s="0">
        <v>81</v>
      </c>
      <c r="Y435" t="s" s="0">
        <v>81</v>
      </c>
      <c r="Z435" t="s" s="0">
        <v>90</v>
      </c>
      <c r="AA435" t="s" s="0">
        <v>91</v>
      </c>
      <c r="AB435" t="s" s="0">
        <v>81</v>
      </c>
      <c r="AC435" t="s" s="0">
        <v>81</v>
      </c>
      <c r="AD435" t="s" s="0">
        <v>81</v>
      </c>
      <c r="AE435" t="s" s="0">
        <v>81</v>
      </c>
      <c r="AF435" t="s" s="0">
        <v>81</v>
      </c>
      <c r="AG435" t="s" s="0">
        <v>9895</v>
      </c>
      <c r="AH435" t="s" s="0">
        <v>9896</v>
      </c>
      <c r="AI435" t="s" s="0">
        <v>9897</v>
      </c>
      <c r="AJ435" t="s" s="0">
        <v>9898</v>
      </c>
      <c r="AK435" t="s" s="0">
        <v>81</v>
      </c>
      <c r="AL435" t="s" s="0">
        <v>1883</v>
      </c>
      <c r="AM435" t="s" s="0">
        <v>97</v>
      </c>
      <c r="AN435" t="s" s="0">
        <v>97</v>
      </c>
      <c r="AO435" t="s" s="0">
        <v>97</v>
      </c>
      <c r="AP435" t="s" s="0">
        <v>196</v>
      </c>
      <c r="AQ435" t="s" s="0">
        <v>212</v>
      </c>
      <c r="AR435" t="s" s="0">
        <v>429</v>
      </c>
      <c r="AS435" t="s" s="0">
        <v>784</v>
      </c>
      <c r="AT435" t="s" s="0">
        <v>5987</v>
      </c>
      <c r="AU435" t="s" s="0">
        <v>5988</v>
      </c>
      <c r="AV435" t="s" s="0">
        <v>81</v>
      </c>
      <c r="AW435" t="s" s="0">
        <v>5989</v>
      </c>
      <c r="AX435" t="s" s="0">
        <v>5990</v>
      </c>
      <c r="AY435" t="s" s="0">
        <v>289</v>
      </c>
      <c r="AZ435" t="s" s="0">
        <v>290</v>
      </c>
      <c r="BA435" t="s" s="0">
        <v>174</v>
      </c>
      <c r="BB435" t="s" s="0">
        <v>97</v>
      </c>
      <c r="BC435" t="s" s="0">
        <v>81</v>
      </c>
      <c r="BD435" t="s" s="0">
        <v>81</v>
      </c>
      <c r="BE435" t="s" s="0">
        <v>81</v>
      </c>
      <c r="BF435" t="s" s="0">
        <v>81</v>
      </c>
      <c r="BG435" t="s" s="0">
        <v>9899</v>
      </c>
      <c r="BH435" t="s" s="0">
        <v>9900</v>
      </c>
      <c r="BI435" t="s" s="0">
        <v>81</v>
      </c>
      <c r="BJ435" t="s" s="0">
        <v>9901</v>
      </c>
      <c r="BK435" t="s" s="863">
        <f>HYPERLINK("http://dx.doi.org/10.1007/s10278-024-01188-6","http://dx.doi.org/10.1007/s10278-024-01188-6")</f>
        <v>9902</v>
      </c>
      <c r="BL435" t="s" s="0">
        <v>81</v>
      </c>
      <c r="BM435" t="s" s="0">
        <v>6555</v>
      </c>
      <c r="BN435" t="s" s="0">
        <v>191</v>
      </c>
      <c r="BO435" t="s" s="0">
        <v>738</v>
      </c>
      <c r="BP435" t="s" s="0">
        <v>738</v>
      </c>
      <c r="BQ435" t="s" s="0">
        <v>9903</v>
      </c>
      <c r="BR435" t="s" s="0">
        <v>9904</v>
      </c>
      <c r="BS435" t="s" s="0">
        <v>9905</v>
      </c>
      <c r="BT435" t="s" s="864">
        <f>HYPERLINK("https://www.webofscience.com/wos/woscc/full-record/WOS:001268929600002","View Record in Web of Science")</f>
        <v>114</v>
      </c>
      <c r="BU435" t="s" s="0">
        <v>233</v>
      </c>
      <c r="BV435" t="s" s="0">
        <v>81</v>
      </c>
      <c r="BW435" t="s" s="0">
        <v>81</v>
      </c>
      <c r="BX435" t="s" s="0">
        <v>116</v>
      </c>
    </row>
    <row r="436">
      <c r="A436" t="s" s="0">
        <v>77</v>
      </c>
      <c r="B436" t="s" s="0">
        <v>77</v>
      </c>
      <c r="C436" t="s" s="0">
        <v>77</v>
      </c>
      <c r="D436" t="s" s="0">
        <v>77</v>
      </c>
      <c r="E436" t="s" s="0">
        <v>9906</v>
      </c>
      <c r="F436" t="s" s="0">
        <v>9907</v>
      </c>
      <c r="G436" t="s" s="0">
        <v>9908</v>
      </c>
      <c r="H436" t="s" s="0">
        <v>81</v>
      </c>
      <c r="I436" t="s" s="0">
        <v>82</v>
      </c>
      <c r="J436" t="s" s="0">
        <v>9909</v>
      </c>
      <c r="K436" t="s" s="0">
        <v>9910</v>
      </c>
      <c r="L436" t="s" s="0">
        <v>81</v>
      </c>
      <c r="M436" t="s" s="0">
        <v>81</v>
      </c>
      <c r="N436" t="s" s="0">
        <v>81</v>
      </c>
      <c r="O436" t="s" s="0">
        <v>9911</v>
      </c>
      <c r="P436" t="s" s="0">
        <v>2749</v>
      </c>
      <c r="Q436" t="s" s="0">
        <v>87</v>
      </c>
      <c r="R436" t="s" s="0">
        <v>81</v>
      </c>
      <c r="S436" t="s" s="0">
        <v>81</v>
      </c>
      <c r="T436" t="s" s="0">
        <v>81</v>
      </c>
      <c r="U436" t="s" s="0">
        <v>81</v>
      </c>
      <c r="V436" t="s" s="0">
        <v>9912</v>
      </c>
      <c r="W436" t="s" s="0">
        <v>910</v>
      </c>
      <c r="X436" t="s" s="0">
        <v>81</v>
      </c>
      <c r="Y436" t="s" s="0">
        <v>81</v>
      </c>
      <c r="Z436" t="s" s="0">
        <v>90</v>
      </c>
      <c r="AA436" t="s" s="0">
        <v>91</v>
      </c>
      <c r="AB436" t="s" s="0">
        <v>81</v>
      </c>
      <c r="AC436" t="s" s="0">
        <v>81</v>
      </c>
      <c r="AD436" t="s" s="0">
        <v>81</v>
      </c>
      <c r="AE436" t="s" s="0">
        <v>81</v>
      </c>
      <c r="AF436" t="s" s="0">
        <v>81</v>
      </c>
      <c r="AG436" t="s" s="0">
        <v>9913</v>
      </c>
      <c r="AH436" t="s" s="0">
        <v>9914</v>
      </c>
      <c r="AI436" t="s" s="0">
        <v>81</v>
      </c>
      <c r="AJ436" t="s" s="0">
        <v>81</v>
      </c>
      <c r="AK436" t="s" s="0">
        <v>81</v>
      </c>
      <c r="AL436" t="s" s="0">
        <v>398</v>
      </c>
      <c r="AM436" t="s" s="0">
        <v>77</v>
      </c>
      <c r="AN436" t="s" s="0">
        <v>77</v>
      </c>
      <c r="AO436" t="s" s="0">
        <v>77</v>
      </c>
      <c r="AP436" t="s" s="0">
        <v>77</v>
      </c>
      <c r="AQ436" t="s" s="0">
        <v>915</v>
      </c>
      <c r="AR436" t="s" s="0">
        <v>916</v>
      </c>
      <c r="AS436" t="s" s="0">
        <v>917</v>
      </c>
      <c r="AT436" t="s" s="0">
        <v>918</v>
      </c>
      <c r="AU436" t="s" s="0">
        <v>81</v>
      </c>
      <c r="AV436" t="s" s="0">
        <v>81</v>
      </c>
      <c r="AW436" t="s" s="0">
        <v>919</v>
      </c>
      <c r="AX436" t="s" s="0">
        <v>920</v>
      </c>
      <c r="AY436" t="s" s="0">
        <v>9915</v>
      </c>
      <c r="AZ436" t="s" s="0">
        <v>103</v>
      </c>
      <c r="BA436" t="s" s="0">
        <v>925</v>
      </c>
      <c r="BB436" t="s" s="0">
        <v>97</v>
      </c>
      <c r="BC436" t="s" s="0">
        <v>81</v>
      </c>
      <c r="BD436" t="s" s="0">
        <v>81</v>
      </c>
      <c r="BE436" t="s" s="0">
        <v>81</v>
      </c>
      <c r="BF436" t="s" s="0">
        <v>81</v>
      </c>
      <c r="BG436" t="s" s="0">
        <v>81</v>
      </c>
      <c r="BH436" t="s" s="0">
        <v>81</v>
      </c>
      <c r="BI436" t="s" s="0">
        <v>9916</v>
      </c>
      <c r="BJ436" t="s" s="0">
        <v>9917</v>
      </c>
      <c r="BK436" t="s" s="865">
        <f>HYPERLINK("http://dx.doi.org/10.1038/s41598-026-53058-6","http://dx.doi.org/10.1038/s41598-026-53058-6")</f>
        <v>9918</v>
      </c>
      <c r="BL436" t="s" s="0">
        <v>81</v>
      </c>
      <c r="BM436" t="s" s="0">
        <v>81</v>
      </c>
      <c r="BN436" t="s" s="0">
        <v>295</v>
      </c>
      <c r="BO436" t="s" s="0">
        <v>926</v>
      </c>
      <c r="BP436" t="s" s="0">
        <v>927</v>
      </c>
      <c r="BQ436" t="s" s="0">
        <v>9919</v>
      </c>
      <c r="BR436" t="s" s="0">
        <v>9920</v>
      </c>
      <c r="BS436" t="s" s="0">
        <v>9921</v>
      </c>
      <c r="BT436" t="s" s="866">
        <f>HYPERLINK("https://www.webofscience.com/wos/woscc/full-record/WOS:001843802500017","View Record in Web of Science")</f>
        <v>114</v>
      </c>
      <c r="BU436" t="s" s="0">
        <v>301</v>
      </c>
      <c r="BV436" t="s" s="0">
        <v>81</v>
      </c>
      <c r="BW436" t="s" s="0">
        <v>81</v>
      </c>
      <c r="BX436" t="s" s="0">
        <v>116</v>
      </c>
    </row>
    <row r="437">
      <c r="A437" t="s" s="0">
        <v>97</v>
      </c>
      <c r="B437" t="s" s="0">
        <v>77</v>
      </c>
      <c r="C437" t="s" s="0">
        <v>381</v>
      </c>
      <c r="D437" t="s" s="0">
        <v>77</v>
      </c>
      <c r="E437" t="s" s="0">
        <v>9922</v>
      </c>
      <c r="F437" t="s" s="0">
        <v>9923</v>
      </c>
      <c r="G437" t="s" s="0">
        <v>9924</v>
      </c>
      <c r="H437" t="s" s="0">
        <v>81</v>
      </c>
      <c r="I437" t="s" s="0">
        <v>82</v>
      </c>
      <c r="J437" t="s" s="0">
        <v>9925</v>
      </c>
      <c r="K437" t="s" s="0">
        <v>9926</v>
      </c>
      <c r="L437" t="s" s="0">
        <v>9927</v>
      </c>
      <c r="M437" t="s" s="0">
        <v>9927</v>
      </c>
      <c r="N437" t="s" s="0">
        <v>335</v>
      </c>
      <c r="O437" t="s" s="0">
        <v>9928</v>
      </c>
      <c r="P437" t="s" s="0">
        <v>9929</v>
      </c>
      <c r="Q437" t="s" s="0">
        <v>87</v>
      </c>
      <c r="R437" t="s" s="0">
        <v>81</v>
      </c>
      <c r="S437" t="s" s="0">
        <v>81</v>
      </c>
      <c r="T437" t="s" s="0">
        <v>81</v>
      </c>
      <c r="U437" t="s" s="0">
        <v>81</v>
      </c>
      <c r="V437" t="s" s="0">
        <v>9930</v>
      </c>
      <c r="W437" t="s" s="0">
        <v>3651</v>
      </c>
      <c r="X437" t="s" s="0">
        <v>81</v>
      </c>
      <c r="Y437" t="s" s="0">
        <v>81</v>
      </c>
      <c r="Z437" t="s" s="0">
        <v>90</v>
      </c>
      <c r="AA437" t="s" s="0">
        <v>91</v>
      </c>
      <c r="AB437" t="s" s="0">
        <v>81</v>
      </c>
      <c r="AC437" t="s" s="0">
        <v>81</v>
      </c>
      <c r="AD437" t="s" s="0">
        <v>81</v>
      </c>
      <c r="AE437" t="s" s="0">
        <v>81</v>
      </c>
      <c r="AF437" t="s" s="0">
        <v>81</v>
      </c>
      <c r="AG437" t="s" s="0">
        <v>9931</v>
      </c>
      <c r="AH437" t="s" s="0">
        <v>9932</v>
      </c>
      <c r="AI437" t="s" s="0">
        <v>9933</v>
      </c>
      <c r="AJ437" t="s" s="0">
        <v>9934</v>
      </c>
      <c r="AK437" t="s" s="0">
        <v>81</v>
      </c>
      <c r="AL437" t="s" s="0">
        <v>221</v>
      </c>
      <c r="AM437" t="s" s="0">
        <v>874</v>
      </c>
      <c r="AN437" t="s" s="0">
        <v>109</v>
      </c>
      <c r="AO437" t="s" s="0">
        <v>156</v>
      </c>
      <c r="AP437" t="s" s="0">
        <v>295</v>
      </c>
      <c r="AQ437" t="s" s="0">
        <v>98</v>
      </c>
      <c r="AR437" t="s" s="0">
        <v>99</v>
      </c>
      <c r="AS437" t="s" s="0">
        <v>100</v>
      </c>
      <c r="AT437" t="s" s="0">
        <v>3655</v>
      </c>
      <c r="AU437" t="s" s="0">
        <v>3656</v>
      </c>
      <c r="AV437" t="s" s="0">
        <v>81</v>
      </c>
      <c r="AW437" t="s" s="0">
        <v>3657</v>
      </c>
      <c r="AX437" t="s" s="0">
        <v>3658</v>
      </c>
      <c r="AY437" t="s" s="0">
        <v>320</v>
      </c>
      <c r="AZ437" t="s" s="0">
        <v>185</v>
      </c>
      <c r="BA437" t="s" s="0">
        <v>176</v>
      </c>
      <c r="BB437" t="s" s="0">
        <v>133</v>
      </c>
      <c r="BC437" t="s" s="0">
        <v>81</v>
      </c>
      <c r="BD437" t="s" s="0">
        <v>81</v>
      </c>
      <c r="BE437" t="s" s="0">
        <v>81</v>
      </c>
      <c r="BF437" t="s" s="0">
        <v>81</v>
      </c>
      <c r="BG437" t="s" s="0">
        <v>9935</v>
      </c>
      <c r="BH437" t="s" s="0">
        <v>9936</v>
      </c>
      <c r="BI437" t="s" s="0">
        <v>81</v>
      </c>
      <c r="BJ437" t="s" s="0">
        <v>9937</v>
      </c>
      <c r="BK437" t="s" s="867">
        <f>HYPERLINK("http://dx.doi.org/10.1109/JBHI.2023.3348334","http://dx.doi.org/10.1109/JBHI.2023.3348334")</f>
        <v>9938</v>
      </c>
      <c r="BL437" t="s" s="0">
        <v>81</v>
      </c>
      <c r="BM437" t="s" s="0">
        <v>81</v>
      </c>
      <c r="BN437" t="s" s="0">
        <v>191</v>
      </c>
      <c r="BO437" t="s" s="0">
        <v>3663</v>
      </c>
      <c r="BP437" t="s" s="0">
        <v>3664</v>
      </c>
      <c r="BQ437" t="s" s="0">
        <v>9939</v>
      </c>
      <c r="BR437" t="s" s="0">
        <v>9940</v>
      </c>
      <c r="BS437" t="s" s="0">
        <v>9941</v>
      </c>
      <c r="BT437" t="s" s="868">
        <f>HYPERLINK("https://www.webofscience.com/wos/woscc/full-record/WOS:001221547700007","View Record in Web of Science")</f>
        <v>114</v>
      </c>
      <c r="BU437" t="s" s="0">
        <v>2239</v>
      </c>
      <c r="BV437" t="s" s="0">
        <v>81</v>
      </c>
      <c r="BW437" t="s" s="0">
        <v>81</v>
      </c>
      <c r="BX437" t="s" s="0">
        <v>116</v>
      </c>
    </row>
    <row r="438">
      <c r="A438" t="s" s="0">
        <v>77</v>
      </c>
      <c r="B438" t="s" s="0">
        <v>77</v>
      </c>
      <c r="C438" t="s" s="0">
        <v>77</v>
      </c>
      <c r="D438" t="s" s="0">
        <v>77</v>
      </c>
      <c r="E438" t="s" s="0">
        <v>9942</v>
      </c>
      <c r="F438" t="s" s="0">
        <v>9943</v>
      </c>
      <c r="G438" t="s" s="0">
        <v>9944</v>
      </c>
      <c r="H438" t="s" s="0">
        <v>81</v>
      </c>
      <c r="I438" t="s" s="0">
        <v>238</v>
      </c>
      <c r="J438" t="s" s="0">
        <v>9945</v>
      </c>
      <c r="K438" t="s" s="0">
        <v>9946</v>
      </c>
      <c r="L438" t="s" s="0">
        <v>81</v>
      </c>
      <c r="M438" t="s" s="0">
        <v>81</v>
      </c>
      <c r="N438" t="s" s="0">
        <v>81</v>
      </c>
      <c r="O438" t="s" s="0">
        <v>9947</v>
      </c>
      <c r="P438" t="s" s="0">
        <v>9948</v>
      </c>
      <c r="Q438" t="s" s="0">
        <v>87</v>
      </c>
      <c r="R438" t="s" s="0">
        <v>81</v>
      </c>
      <c r="S438" t="s" s="0">
        <v>81</v>
      </c>
      <c r="T438" t="s" s="0">
        <v>81</v>
      </c>
      <c r="U438" t="s" s="0">
        <v>81</v>
      </c>
      <c r="V438" t="s" s="0">
        <v>9949</v>
      </c>
      <c r="W438" t="s" s="0">
        <v>9950</v>
      </c>
      <c r="X438" t="s" s="0">
        <v>81</v>
      </c>
      <c r="Y438" t="s" s="0">
        <v>81</v>
      </c>
      <c r="Z438" t="s" s="0">
        <v>90</v>
      </c>
      <c r="AA438" t="s" s="0">
        <v>91</v>
      </c>
      <c r="AB438" t="s" s="0">
        <v>81</v>
      </c>
      <c r="AC438" t="s" s="0">
        <v>81</v>
      </c>
      <c r="AD438" t="s" s="0">
        <v>81</v>
      </c>
      <c r="AE438" t="s" s="0">
        <v>81</v>
      </c>
      <c r="AF438" t="s" s="0">
        <v>81</v>
      </c>
      <c r="AG438" t="s" s="0">
        <v>9951</v>
      </c>
      <c r="AH438" t="s" s="0">
        <v>9952</v>
      </c>
      <c r="AI438" t="s" s="0">
        <v>9953</v>
      </c>
      <c r="AJ438" t="s" s="0">
        <v>9954</v>
      </c>
      <c r="AK438" t="s" s="0">
        <v>81</v>
      </c>
      <c r="AL438" t="s" s="0">
        <v>1511</v>
      </c>
      <c r="AM438" t="s" s="0">
        <v>228</v>
      </c>
      <c r="AN438" t="s" s="0">
        <v>1912</v>
      </c>
      <c r="AO438" t="s" s="0">
        <v>196</v>
      </c>
      <c r="AP438" t="s" s="0">
        <v>173</v>
      </c>
      <c r="AQ438" t="s" s="0">
        <v>3016</v>
      </c>
      <c r="AR438" t="s" s="0">
        <v>546</v>
      </c>
      <c r="AS438" t="s" s="0">
        <v>3017</v>
      </c>
      <c r="AT438" t="s" s="0">
        <v>9955</v>
      </c>
      <c r="AU438" t="s" s="0">
        <v>9956</v>
      </c>
      <c r="AV438" t="s" s="0">
        <v>81</v>
      </c>
      <c r="AW438" t="s" s="0">
        <v>9957</v>
      </c>
      <c r="AX438" t="s" s="0">
        <v>9958</v>
      </c>
      <c r="AY438" t="s" s="0">
        <v>514</v>
      </c>
      <c r="AZ438" t="s" s="0">
        <v>185</v>
      </c>
      <c r="BA438" t="s" s="0">
        <v>234</v>
      </c>
      <c r="BB438" t="s" s="0">
        <v>97</v>
      </c>
      <c r="BC438" t="s" s="0">
        <v>81</v>
      </c>
      <c r="BD438" t="s" s="0">
        <v>81</v>
      </c>
      <c r="BE438" t="s" s="0">
        <v>81</v>
      </c>
      <c r="BF438" t="s" s="0">
        <v>81</v>
      </c>
      <c r="BG438" t="s" s="0">
        <v>3444</v>
      </c>
      <c r="BH438" t="s" s="0">
        <v>9959</v>
      </c>
      <c r="BI438" t="s" s="0">
        <v>81</v>
      </c>
      <c r="BJ438" t="s" s="0">
        <v>9960</v>
      </c>
      <c r="BK438" t="s" s="869">
        <f>HYPERLINK("http://dx.doi.org/10.1007/s42001-024-00248-9","http://dx.doi.org/10.1007/s42001-024-00248-9")</f>
        <v>9961</v>
      </c>
      <c r="BL438" t="s" s="0">
        <v>81</v>
      </c>
      <c r="BM438" t="s" s="0">
        <v>4409</v>
      </c>
      <c r="BN438" t="s" s="0">
        <v>543</v>
      </c>
      <c r="BO438" t="s" s="0">
        <v>9962</v>
      </c>
      <c r="BP438" t="s" s="0">
        <v>9963</v>
      </c>
      <c r="BQ438" t="s" s="0">
        <v>9964</v>
      </c>
      <c r="BR438" t="s" s="0">
        <v>81</v>
      </c>
      <c r="BS438" t="s" s="0">
        <v>9965</v>
      </c>
      <c r="BT438" t="s" s="870">
        <f>HYPERLINK("https://www.webofscience.com/wos/woscc/full-record/WOS:001184062000001","View Record in Web of Science")</f>
        <v>114</v>
      </c>
      <c r="BU438" t="s" s="0">
        <v>81</v>
      </c>
      <c r="BV438" t="s" s="0">
        <v>81</v>
      </c>
      <c r="BW438" t="s" s="0">
        <v>81</v>
      </c>
      <c r="BX438" t="s" s="0">
        <v>116</v>
      </c>
    </row>
    <row r="439">
      <c r="A439" t="s" s="0">
        <v>77</v>
      </c>
      <c r="B439" t="s" s="0">
        <v>77</v>
      </c>
      <c r="C439" t="s" s="0">
        <v>77</v>
      </c>
      <c r="D439" t="s" s="0">
        <v>77</v>
      </c>
      <c r="E439" t="s" s="0">
        <v>9966</v>
      </c>
      <c r="F439" t="s" s="0">
        <v>9967</v>
      </c>
      <c r="G439" t="s" s="0">
        <v>9968</v>
      </c>
      <c r="H439" t="s" s="0">
        <v>81</v>
      </c>
      <c r="I439" t="s" s="0">
        <v>82</v>
      </c>
      <c r="J439" t="s" s="0">
        <v>9969</v>
      </c>
      <c r="K439" t="s" s="0">
        <v>9970</v>
      </c>
      <c r="L439" t="s" s="0">
        <v>9971</v>
      </c>
      <c r="M439" t="s" s="0">
        <v>9972</v>
      </c>
      <c r="N439" t="s" s="0">
        <v>9973</v>
      </c>
      <c r="O439" t="s" s="0">
        <v>9974</v>
      </c>
      <c r="P439" t="s" s="0">
        <v>9975</v>
      </c>
      <c r="Q439" t="s" s="0">
        <v>87</v>
      </c>
      <c r="R439" t="s" s="0">
        <v>81</v>
      </c>
      <c r="S439" t="s" s="0">
        <v>81</v>
      </c>
      <c r="T439" t="s" s="0">
        <v>81</v>
      </c>
      <c r="U439" t="s" s="0">
        <v>81</v>
      </c>
      <c r="V439" t="s" s="0">
        <v>9976</v>
      </c>
      <c r="W439" t="s" s="0">
        <v>9977</v>
      </c>
      <c r="X439" t="s" s="0">
        <v>81</v>
      </c>
      <c r="Y439" t="s" s="0">
        <v>81</v>
      </c>
      <c r="Z439" t="s" s="0">
        <v>90</v>
      </c>
      <c r="AA439" t="s" s="0">
        <v>91</v>
      </c>
      <c r="AB439" t="s" s="0">
        <v>81</v>
      </c>
      <c r="AC439" t="s" s="0">
        <v>81</v>
      </c>
      <c r="AD439" t="s" s="0">
        <v>81</v>
      </c>
      <c r="AE439" t="s" s="0">
        <v>81</v>
      </c>
      <c r="AF439" t="s" s="0">
        <v>81</v>
      </c>
      <c r="AG439" t="s" s="0">
        <v>9978</v>
      </c>
      <c r="AH439" t="s" s="0">
        <v>9979</v>
      </c>
      <c r="AI439" t="s" s="0">
        <v>9980</v>
      </c>
      <c r="AJ439" t="s" s="0">
        <v>9981</v>
      </c>
      <c r="AK439" t="s" s="0">
        <v>81</v>
      </c>
      <c r="AL439" t="s" s="0">
        <v>1883</v>
      </c>
      <c r="AM439" t="s" s="0">
        <v>234</v>
      </c>
      <c r="AN439" t="s" s="0">
        <v>234</v>
      </c>
      <c r="AO439" t="s" s="0">
        <v>156</v>
      </c>
      <c r="AP439" t="s" s="0">
        <v>316</v>
      </c>
      <c r="AQ439" t="s" s="0">
        <v>136</v>
      </c>
      <c r="AR439" t="s" s="0">
        <v>137</v>
      </c>
      <c r="AS439" t="s" s="0">
        <v>138</v>
      </c>
      <c r="AT439" t="s" s="0">
        <v>9982</v>
      </c>
      <c r="AU439" t="s" s="0">
        <v>9983</v>
      </c>
      <c r="AV439" t="s" s="0">
        <v>81</v>
      </c>
      <c r="AW439" t="s" s="0">
        <v>9984</v>
      </c>
      <c r="AX439" t="s" s="0">
        <v>9985</v>
      </c>
      <c r="AY439" t="s" s="0">
        <v>1869</v>
      </c>
      <c r="AZ439" t="s" s="0">
        <v>290</v>
      </c>
      <c r="BA439" t="s" s="0">
        <v>398</v>
      </c>
      <c r="BB439" t="s" s="0">
        <v>81</v>
      </c>
      <c r="BC439" t="s" s="0">
        <v>81</v>
      </c>
      <c r="BD439" t="s" s="0">
        <v>81</v>
      </c>
      <c r="BE439" t="s" s="0">
        <v>81</v>
      </c>
      <c r="BF439" t="s" s="0">
        <v>81</v>
      </c>
      <c r="BG439" t="s" s="0">
        <v>81</v>
      </c>
      <c r="BH439" t="s" s="0">
        <v>81</v>
      </c>
      <c r="BI439" t="s" s="0">
        <v>9986</v>
      </c>
      <c r="BJ439" t="s" s="0">
        <v>9987</v>
      </c>
      <c r="BK439" t="s" s="871">
        <f>HYPERLINK("http://dx.doi.org/10.1016/j.pdpdt.2025.104668","http://dx.doi.org/10.1016/j.pdpdt.2025.104668")</f>
        <v>9988</v>
      </c>
      <c r="BL439" t="s" s="0">
        <v>81</v>
      </c>
      <c r="BM439" t="s" s="0">
        <v>552</v>
      </c>
      <c r="BN439" t="s" s="0">
        <v>211</v>
      </c>
      <c r="BO439" t="s" s="0">
        <v>1380</v>
      </c>
      <c r="BP439" t="s" s="0">
        <v>1380</v>
      </c>
      <c r="BQ439" t="s" s="0">
        <v>9989</v>
      </c>
      <c r="BR439" t="s" s="0">
        <v>9990</v>
      </c>
      <c r="BS439" t="s" s="0">
        <v>9991</v>
      </c>
      <c r="BT439" t="s" s="872">
        <f>HYPERLINK("https://www.webofscience.com/wos/woscc/full-record/WOS:001521491300007","View Record in Web of Science")</f>
        <v>114</v>
      </c>
      <c r="BU439" t="s" s="0">
        <v>301</v>
      </c>
      <c r="BV439" t="s" s="0">
        <v>81</v>
      </c>
      <c r="BW439" t="s" s="0">
        <v>81</v>
      </c>
      <c r="BX439" t="s" s="0">
        <v>116</v>
      </c>
    </row>
    <row r="440">
      <c r="A440" t="s" s="0">
        <v>77</v>
      </c>
      <c r="B440" t="s" s="0">
        <v>77</v>
      </c>
      <c r="C440" t="s" s="0">
        <v>77</v>
      </c>
      <c r="D440" t="s" s="0">
        <v>77</v>
      </c>
      <c r="E440" t="s" s="0">
        <v>9992</v>
      </c>
      <c r="F440" t="s" s="0">
        <v>9993</v>
      </c>
      <c r="G440" t="s" s="0">
        <v>9994</v>
      </c>
      <c r="H440" t="s" s="0">
        <v>81</v>
      </c>
      <c r="I440" t="s" s="0">
        <v>238</v>
      </c>
      <c r="J440" t="s" s="0">
        <v>9995</v>
      </c>
      <c r="K440" t="s" s="0">
        <v>9996</v>
      </c>
      <c r="L440" t="s" s="0">
        <v>81</v>
      </c>
      <c r="M440" t="s" s="0">
        <v>81</v>
      </c>
      <c r="N440" t="s" s="0">
        <v>81</v>
      </c>
      <c r="O440" t="s" s="0">
        <v>9997</v>
      </c>
      <c r="P440" t="s" s="0">
        <v>9998</v>
      </c>
      <c r="Q440" t="s" s="0">
        <v>87</v>
      </c>
      <c r="R440" t="s" s="0">
        <v>81</v>
      </c>
      <c r="S440" t="s" s="0">
        <v>81</v>
      </c>
      <c r="T440" t="s" s="0">
        <v>81</v>
      </c>
      <c r="U440" t="s" s="0">
        <v>81</v>
      </c>
      <c r="V440" t="s" s="0">
        <v>9999</v>
      </c>
      <c r="W440" t="s" s="0">
        <v>10000</v>
      </c>
      <c r="X440" t="s" s="0">
        <v>81</v>
      </c>
      <c r="Y440" t="s" s="0">
        <v>81</v>
      </c>
      <c r="Z440" t="s" s="0">
        <v>90</v>
      </c>
      <c r="AA440" t="s" s="0">
        <v>91</v>
      </c>
      <c r="AB440" t="s" s="0">
        <v>81</v>
      </c>
      <c r="AC440" t="s" s="0">
        <v>81</v>
      </c>
      <c r="AD440" t="s" s="0">
        <v>81</v>
      </c>
      <c r="AE440" t="s" s="0">
        <v>81</v>
      </c>
      <c r="AF440" t="s" s="0">
        <v>81</v>
      </c>
      <c r="AG440" t="s" s="0">
        <v>10001</v>
      </c>
      <c r="AH440" t="s" s="0">
        <v>81</v>
      </c>
      <c r="AI440" t="s" s="0">
        <v>10002</v>
      </c>
      <c r="AJ440" t="s" s="0">
        <v>10003</v>
      </c>
      <c r="AK440" t="s" s="0">
        <v>81</v>
      </c>
      <c r="AL440" t="s" s="0">
        <v>664</v>
      </c>
      <c r="AM440" t="s" s="0">
        <v>77</v>
      </c>
      <c r="AN440" t="s" s="0">
        <v>77</v>
      </c>
      <c r="AO440" t="s" s="0">
        <v>97</v>
      </c>
      <c r="AP440" t="s" s="0">
        <v>196</v>
      </c>
      <c r="AQ440" t="s" s="0">
        <v>284</v>
      </c>
      <c r="AR440" t="s" s="0">
        <v>285</v>
      </c>
      <c r="AS440" t="s" s="0">
        <v>286</v>
      </c>
      <c r="AT440" t="s" s="0">
        <v>81</v>
      </c>
      <c r="AU440" t="s" s="0">
        <v>10004</v>
      </c>
      <c r="AV440" t="s" s="0">
        <v>81</v>
      </c>
      <c r="AW440" t="s" s="0">
        <v>10000</v>
      </c>
      <c r="AX440" t="s" s="0">
        <v>10005</v>
      </c>
      <c r="AY440" t="s" s="0">
        <v>10006</v>
      </c>
      <c r="AZ440" t="s" s="0">
        <v>290</v>
      </c>
      <c r="BA440" t="s" s="0">
        <v>486</v>
      </c>
      <c r="BB440" t="s" s="0">
        <v>381</v>
      </c>
      <c r="BC440" t="s" s="0">
        <v>81</v>
      </c>
      <c r="BD440" t="s" s="0">
        <v>81</v>
      </c>
      <c r="BE440" t="s" s="0">
        <v>81</v>
      </c>
      <c r="BF440" t="s" s="0">
        <v>81</v>
      </c>
      <c r="BG440" t="s" s="0">
        <v>81</v>
      </c>
      <c r="BH440" t="s" s="0">
        <v>81</v>
      </c>
      <c r="BI440" t="s" s="0">
        <v>9044</v>
      </c>
      <c r="BJ440" t="s" s="0">
        <v>10007</v>
      </c>
      <c r="BK440" t="s" s="873">
        <f>HYPERLINK("http://dx.doi.org/10.3390/technologies13080361","http://dx.doi.org/10.3390/technologies13080361")</f>
        <v>10008</v>
      </c>
      <c r="BL440" t="s" s="0">
        <v>81</v>
      </c>
      <c r="BM440" t="s" s="0">
        <v>81</v>
      </c>
      <c r="BN440" t="s" s="0">
        <v>367</v>
      </c>
      <c r="BO440" t="s" s="0">
        <v>1002</v>
      </c>
      <c r="BP440" t="s" s="0">
        <v>1003</v>
      </c>
      <c r="BQ440" t="s" s="0">
        <v>10009</v>
      </c>
      <c r="BR440" t="s" s="0">
        <v>81</v>
      </c>
      <c r="BS440" t="s" s="0">
        <v>10010</v>
      </c>
      <c r="BT440" t="s" s="874">
        <f>HYPERLINK("https://www.webofscience.com/wos/woscc/full-record/WOS:001557388600001","View Record in Web of Science")</f>
        <v>114</v>
      </c>
      <c r="BU440" t="s" s="0">
        <v>301</v>
      </c>
      <c r="BV440" t="s" s="0">
        <v>81</v>
      </c>
      <c r="BW440" t="s" s="0">
        <v>81</v>
      </c>
      <c r="BX440" t="s" s="0">
        <v>116</v>
      </c>
    </row>
    <row r="441">
      <c r="A441" t="s" s="0">
        <v>77</v>
      </c>
      <c r="B441" t="s" s="0">
        <v>77</v>
      </c>
      <c r="C441" t="s" s="0">
        <v>97</v>
      </c>
      <c r="D441" t="s" s="0">
        <v>77</v>
      </c>
      <c r="E441" t="s" s="0">
        <v>10011</v>
      </c>
      <c r="F441" t="s" s="0">
        <v>10012</v>
      </c>
      <c r="G441" t="s" s="0">
        <v>10013</v>
      </c>
      <c r="H441" t="s" s="0">
        <v>81</v>
      </c>
      <c r="I441" t="s" s="0">
        <v>82</v>
      </c>
      <c r="J441" t="s" s="0">
        <v>10014</v>
      </c>
      <c r="K441" t="s" s="0">
        <v>10015</v>
      </c>
      <c r="L441" t="s" s="0">
        <v>81</v>
      </c>
      <c r="M441" t="s" s="0">
        <v>81</v>
      </c>
      <c r="N441" t="s" s="0">
        <v>81</v>
      </c>
      <c r="O441" t="s" s="0">
        <v>10016</v>
      </c>
      <c r="P441" t="s" s="0">
        <v>10017</v>
      </c>
      <c r="Q441" t="s" s="0">
        <v>87</v>
      </c>
      <c r="R441" t="s" s="0">
        <v>81</v>
      </c>
      <c r="S441" t="s" s="0">
        <v>81</v>
      </c>
      <c r="T441" t="s" s="0">
        <v>81</v>
      </c>
      <c r="U441" t="s" s="0">
        <v>81</v>
      </c>
      <c r="V441" t="s" s="0">
        <v>10018</v>
      </c>
      <c r="W441" t="s" s="0">
        <v>3830</v>
      </c>
      <c r="X441" t="s" s="0">
        <v>81</v>
      </c>
      <c r="Y441" t="s" s="0">
        <v>81</v>
      </c>
      <c r="Z441" t="s" s="0">
        <v>90</v>
      </c>
      <c r="AA441" t="s" s="0">
        <v>91</v>
      </c>
      <c r="AB441" t="s" s="0">
        <v>81</v>
      </c>
      <c r="AC441" t="s" s="0">
        <v>81</v>
      </c>
      <c r="AD441" t="s" s="0">
        <v>81</v>
      </c>
      <c r="AE441" t="s" s="0">
        <v>81</v>
      </c>
      <c r="AF441" t="s" s="0">
        <v>81</v>
      </c>
      <c r="AG441" t="s" s="0">
        <v>10019</v>
      </c>
      <c r="AH441" t="s" s="0">
        <v>81</v>
      </c>
      <c r="AI441" t="s" s="0">
        <v>81</v>
      </c>
      <c r="AJ441" t="s" s="0">
        <v>10020</v>
      </c>
      <c r="AK441" t="s" s="0">
        <v>81</v>
      </c>
      <c r="AL441" t="s" s="0">
        <v>135</v>
      </c>
      <c r="AM441" t="s" s="0">
        <v>196</v>
      </c>
      <c r="AN441" t="s" s="0">
        <v>316</v>
      </c>
      <c r="AO441" t="s" s="0">
        <v>234</v>
      </c>
      <c r="AP441" t="s" s="0">
        <v>210</v>
      </c>
      <c r="AQ441" t="s" s="0">
        <v>284</v>
      </c>
      <c r="AR441" t="s" s="0">
        <v>285</v>
      </c>
      <c r="AS441" t="s" s="0">
        <v>286</v>
      </c>
      <c r="AT441" t="s" s="0">
        <v>3835</v>
      </c>
      <c r="AU441" t="s" s="0">
        <v>81</v>
      </c>
      <c r="AV441" t="s" s="0">
        <v>81</v>
      </c>
      <c r="AW441" t="s" s="0">
        <v>3836</v>
      </c>
      <c r="AX441" t="s" s="0">
        <v>3837</v>
      </c>
      <c r="AY441" t="s" s="0">
        <v>10021</v>
      </c>
      <c r="AZ441" t="s" s="0">
        <v>290</v>
      </c>
      <c r="BA441" t="s" s="0">
        <v>104</v>
      </c>
      <c r="BB441" t="s" s="0">
        <v>367</v>
      </c>
      <c r="BC441" t="s" s="0">
        <v>81</v>
      </c>
      <c r="BD441" t="s" s="0">
        <v>81</v>
      </c>
      <c r="BE441" t="s" s="0">
        <v>81</v>
      </c>
      <c r="BF441" t="s" s="0">
        <v>81</v>
      </c>
      <c r="BG441" t="s" s="0">
        <v>81</v>
      </c>
      <c r="BH441" t="s" s="0">
        <v>81</v>
      </c>
      <c r="BI441" t="s" s="0">
        <v>10022</v>
      </c>
      <c r="BJ441" t="s" s="0">
        <v>10023</v>
      </c>
      <c r="BK441" t="s" s="875">
        <f>HYPERLINK("http://dx.doi.org/10.3390/electronics14183738","http://dx.doi.org/10.3390/electronics14183738")</f>
        <v>10024</v>
      </c>
      <c r="BL441" t="s" s="0">
        <v>81</v>
      </c>
      <c r="BM441" t="s" s="0">
        <v>81</v>
      </c>
      <c r="BN441" t="s" s="0">
        <v>191</v>
      </c>
      <c r="BO441" t="s" s="0">
        <v>3841</v>
      </c>
      <c r="BP441" t="s" s="0">
        <v>3842</v>
      </c>
      <c r="BQ441" t="s" s="0">
        <v>10025</v>
      </c>
      <c r="BR441" t="s" s="0">
        <v>81</v>
      </c>
      <c r="BS441" t="s" s="0">
        <v>10026</v>
      </c>
      <c r="BT441" t="s" s="876">
        <f>HYPERLINK("https://www.webofscience.com/wos/woscc/full-record/WOS:001579783100001","View Record in Web of Science")</f>
        <v>114</v>
      </c>
      <c r="BU441" t="s" s="0">
        <v>115</v>
      </c>
      <c r="BV441" t="s" s="0">
        <v>81</v>
      </c>
      <c r="BW441" t="s" s="0">
        <v>81</v>
      </c>
      <c r="BX441" t="s" s="0">
        <v>116</v>
      </c>
    </row>
    <row r="442">
      <c r="A442" t="s" s="0">
        <v>77</v>
      </c>
      <c r="B442" t="s" s="0">
        <v>77</v>
      </c>
      <c r="C442" t="s" s="0">
        <v>77</v>
      </c>
      <c r="D442" t="s" s="0">
        <v>77</v>
      </c>
      <c r="E442" t="s" s="0">
        <v>10027</v>
      </c>
      <c r="F442" t="s" s="0">
        <v>10028</v>
      </c>
      <c r="G442" t="s" s="0">
        <v>10029</v>
      </c>
      <c r="H442" t="s" s="0">
        <v>81</v>
      </c>
      <c r="I442" t="s" s="0">
        <v>82</v>
      </c>
      <c r="J442" t="s" s="0">
        <v>10030</v>
      </c>
      <c r="K442" t="s" s="0">
        <v>10031</v>
      </c>
      <c r="L442" t="s" s="0">
        <v>10032</v>
      </c>
      <c r="M442" t="s" s="0">
        <v>10033</v>
      </c>
      <c r="N442" t="s" s="0">
        <v>10034</v>
      </c>
      <c r="O442" t="s" s="0">
        <v>10035</v>
      </c>
      <c r="P442" t="s" s="0">
        <v>10036</v>
      </c>
      <c r="Q442" t="s" s="0">
        <v>87</v>
      </c>
      <c r="R442" t="s" s="0">
        <v>81</v>
      </c>
      <c r="S442" t="s" s="0">
        <v>81</v>
      </c>
      <c r="T442" t="s" s="0">
        <v>81</v>
      </c>
      <c r="U442" t="s" s="0">
        <v>81</v>
      </c>
      <c r="V442" t="s" s="0">
        <v>10037</v>
      </c>
      <c r="W442" t="s" s="0">
        <v>2797</v>
      </c>
      <c r="X442" t="s" s="0">
        <v>81</v>
      </c>
      <c r="Y442" t="s" s="0">
        <v>81</v>
      </c>
      <c r="Z442" t="s" s="0">
        <v>90</v>
      </c>
      <c r="AA442" t="s" s="0">
        <v>91</v>
      </c>
      <c r="AB442" t="s" s="0">
        <v>81</v>
      </c>
      <c r="AC442" t="s" s="0">
        <v>81</v>
      </c>
      <c r="AD442" t="s" s="0">
        <v>81</v>
      </c>
      <c r="AE442" t="s" s="0">
        <v>81</v>
      </c>
      <c r="AF442" t="s" s="0">
        <v>81</v>
      </c>
      <c r="AG442" t="s" s="0">
        <v>10038</v>
      </c>
      <c r="AH442" t="s" s="0">
        <v>81</v>
      </c>
      <c r="AI442" t="s" s="0">
        <v>10039</v>
      </c>
      <c r="AJ442" t="s" s="0">
        <v>10040</v>
      </c>
      <c r="AK442" t="s" s="0">
        <v>81</v>
      </c>
      <c r="AL442" t="s" s="0">
        <v>173</v>
      </c>
      <c r="AM442" t="s" s="0">
        <v>97</v>
      </c>
      <c r="AN442" t="s" s="0">
        <v>97</v>
      </c>
      <c r="AO442" t="s" s="0">
        <v>175</v>
      </c>
      <c r="AP442" t="s" s="0">
        <v>316</v>
      </c>
      <c r="AQ442" t="s" s="0">
        <v>284</v>
      </c>
      <c r="AR442" t="s" s="0">
        <v>285</v>
      </c>
      <c r="AS442" t="s" s="0">
        <v>286</v>
      </c>
      <c r="AT442" t="s" s="0">
        <v>81</v>
      </c>
      <c r="AU442" t="s" s="0">
        <v>2801</v>
      </c>
      <c r="AV442" t="s" s="0">
        <v>81</v>
      </c>
      <c r="AW442" t="s" s="0">
        <v>2802</v>
      </c>
      <c r="AX442" t="s" s="0">
        <v>2803</v>
      </c>
      <c r="AY442" t="s" s="0">
        <v>9498</v>
      </c>
      <c r="AZ442" t="s" s="0">
        <v>290</v>
      </c>
      <c r="BA442" t="s" s="0">
        <v>291</v>
      </c>
      <c r="BB442" t="s" s="0">
        <v>874</v>
      </c>
      <c r="BC442" t="s" s="0">
        <v>81</v>
      </c>
      <c r="BD442" t="s" s="0">
        <v>81</v>
      </c>
      <c r="BE442" t="s" s="0">
        <v>81</v>
      </c>
      <c r="BF442" t="s" s="0">
        <v>81</v>
      </c>
      <c r="BG442" t="s" s="0">
        <v>81</v>
      </c>
      <c r="BH442" t="s" s="0">
        <v>81</v>
      </c>
      <c r="BI442" t="s" s="0">
        <v>10041</v>
      </c>
      <c r="BJ442" t="s" s="0">
        <v>10042</v>
      </c>
      <c r="BK442" t="s" s="877">
        <f>HYPERLINK("http://dx.doi.org/10.3390/app152111689","http://dx.doi.org/10.3390/app152111689")</f>
        <v>10043</v>
      </c>
      <c r="BL442" t="s" s="0">
        <v>81</v>
      </c>
      <c r="BM442" t="s" s="0">
        <v>81</v>
      </c>
      <c r="BN442" t="s" s="0">
        <v>150</v>
      </c>
      <c r="BO442" t="s" s="0">
        <v>2807</v>
      </c>
      <c r="BP442" t="s" s="0">
        <v>2808</v>
      </c>
      <c r="BQ442" t="s" s="0">
        <v>10044</v>
      </c>
      <c r="BR442" t="s" s="0">
        <v>81</v>
      </c>
      <c r="BS442" t="s" s="0">
        <v>10045</v>
      </c>
      <c r="BT442" t="s" s="878">
        <f>HYPERLINK("https://www.webofscience.com/wos/woscc/full-record/WOS:001612492500001","View Record in Web of Science")</f>
        <v>114</v>
      </c>
      <c r="BU442" t="s" s="0">
        <v>301</v>
      </c>
      <c r="BV442" t="s" s="0">
        <v>81</v>
      </c>
      <c r="BW442" t="s" s="0">
        <v>81</v>
      </c>
      <c r="BX442" t="s" s="0">
        <v>116</v>
      </c>
    </row>
    <row r="443">
      <c r="A443" t="s" s="0">
        <v>77</v>
      </c>
      <c r="B443" t="s" s="0">
        <v>77</v>
      </c>
      <c r="C443" t="s" s="0">
        <v>77</v>
      </c>
      <c r="D443" t="s" s="0">
        <v>77</v>
      </c>
      <c r="E443" t="s" s="0">
        <v>10046</v>
      </c>
      <c r="F443" t="s" s="0">
        <v>10047</v>
      </c>
      <c r="G443" t="s" s="0">
        <v>10048</v>
      </c>
      <c r="H443" t="s" s="0">
        <v>81</v>
      </c>
      <c r="I443" t="s" s="0">
        <v>589</v>
      </c>
      <c r="J443" t="s" s="0">
        <v>10049</v>
      </c>
      <c r="K443" t="s" s="0">
        <v>10050</v>
      </c>
      <c r="L443" t="s" s="0">
        <v>81</v>
      </c>
      <c r="M443" t="s" s="0">
        <v>81</v>
      </c>
      <c r="N443" t="s" s="0">
        <v>81</v>
      </c>
      <c r="O443" t="s" s="0">
        <v>10051</v>
      </c>
      <c r="P443" t="s" s="0">
        <v>10052</v>
      </c>
      <c r="Q443" t="s" s="0">
        <v>87</v>
      </c>
      <c r="R443" t="s" s="0">
        <v>81</v>
      </c>
      <c r="S443" t="s" s="0">
        <v>81</v>
      </c>
      <c r="T443" t="s" s="0">
        <v>81</v>
      </c>
      <c r="U443" t="s" s="0">
        <v>81</v>
      </c>
      <c r="V443" t="s" s="0">
        <v>10053</v>
      </c>
      <c r="W443" t="s" s="0">
        <v>10054</v>
      </c>
      <c r="X443" t="s" s="0">
        <v>81</v>
      </c>
      <c r="Y443" t="s" s="0">
        <v>81</v>
      </c>
      <c r="Z443" t="s" s="0">
        <v>90</v>
      </c>
      <c r="AA443" t="s" s="0">
        <v>1581</v>
      </c>
      <c r="AB443" t="s" s="0">
        <v>81</v>
      </c>
      <c r="AC443" t="s" s="0">
        <v>81</v>
      </c>
      <c r="AD443" t="s" s="0">
        <v>81</v>
      </c>
      <c r="AE443" t="s" s="0">
        <v>81</v>
      </c>
      <c r="AF443" t="s" s="0">
        <v>81</v>
      </c>
      <c r="AG443" t="s" s="0">
        <v>10055</v>
      </c>
      <c r="AH443" t="s" s="0">
        <v>10056</v>
      </c>
      <c r="AI443" t="s" s="0">
        <v>10057</v>
      </c>
      <c r="AJ443" t="s" s="0">
        <v>81</v>
      </c>
      <c r="AK443" t="s" s="0">
        <v>81</v>
      </c>
      <c r="AL443" t="s" s="0">
        <v>174</v>
      </c>
      <c r="AM443" t="s" s="0">
        <v>77</v>
      </c>
      <c r="AN443" t="s" s="0">
        <v>77</v>
      </c>
      <c r="AO443" t="s" s="0">
        <v>196</v>
      </c>
      <c r="AP443" t="s" s="0">
        <v>196</v>
      </c>
      <c r="AQ443" t="s" s="0">
        <v>1809</v>
      </c>
      <c r="AR443" t="s" s="0">
        <v>1810</v>
      </c>
      <c r="AS443" t="s" s="0">
        <v>1811</v>
      </c>
      <c r="AT443" t="s" s="0">
        <v>10058</v>
      </c>
      <c r="AU443" t="s" s="0">
        <v>10059</v>
      </c>
      <c r="AV443" t="s" s="0">
        <v>81</v>
      </c>
      <c r="AW443" t="s" s="0">
        <v>10060</v>
      </c>
      <c r="AX443" t="s" s="0">
        <v>10061</v>
      </c>
      <c r="AY443" t="s" s="0">
        <v>81</v>
      </c>
      <c r="AZ443" t="s" s="0">
        <v>103</v>
      </c>
      <c r="BA443" t="s" s="0">
        <v>81</v>
      </c>
      <c r="BB443" t="s" s="0">
        <v>81</v>
      </c>
      <c r="BC443" t="s" s="0">
        <v>81</v>
      </c>
      <c r="BD443" t="s" s="0">
        <v>81</v>
      </c>
      <c r="BE443" t="s" s="0">
        <v>81</v>
      </c>
      <c r="BF443" t="s" s="0">
        <v>81</v>
      </c>
      <c r="BG443" t="s" s="0">
        <v>81</v>
      </c>
      <c r="BH443" t="s" s="0">
        <v>81</v>
      </c>
      <c r="BI443" t="s" s="0">
        <v>81</v>
      </c>
      <c r="BJ443" t="s" s="0">
        <v>10062</v>
      </c>
      <c r="BK443" t="s" s="879">
        <f>HYPERLINK("http://dx.doi.org/10.1177/10519815261456685","http://dx.doi.org/10.1177/10519815261456685")</f>
        <v>10063</v>
      </c>
      <c r="BL443" t="s" s="0">
        <v>81</v>
      </c>
      <c r="BM443" t="s" s="0">
        <v>849</v>
      </c>
      <c r="BN443" t="s" s="0">
        <v>134</v>
      </c>
      <c r="BO443" t="s" s="0">
        <v>850</v>
      </c>
      <c r="BP443" t="s" s="0">
        <v>850</v>
      </c>
      <c r="BQ443" t="s" s="0">
        <v>10064</v>
      </c>
      <c r="BR443" t="s" s="0">
        <v>10065</v>
      </c>
      <c r="BS443" t="s" s="0">
        <v>10066</v>
      </c>
      <c r="BT443" t="s" s="880">
        <f>HYPERLINK("https://www.webofscience.com/wos/woscc/full-record/WOS:001787510300001","View Record in Web of Science")</f>
        <v>114</v>
      </c>
      <c r="BU443" t="s" s="0">
        <v>1055</v>
      </c>
      <c r="BV443" t="s" s="0">
        <v>81</v>
      </c>
      <c r="BW443" t="s" s="0">
        <v>81</v>
      </c>
      <c r="BX443" t="s" s="0">
        <v>116</v>
      </c>
    </row>
    <row r="444">
      <c r="A444" t="s" s="0">
        <v>77</v>
      </c>
      <c r="B444" t="s" s="0">
        <v>77</v>
      </c>
      <c r="C444" t="s" s="0">
        <v>77</v>
      </c>
      <c r="D444" t="s" s="0">
        <v>77</v>
      </c>
      <c r="E444" t="s" s="0">
        <v>10067</v>
      </c>
      <c r="F444" t="s" s="0">
        <v>10068</v>
      </c>
      <c r="G444" t="s" s="0">
        <v>10069</v>
      </c>
      <c r="H444" t="s" s="0">
        <v>81</v>
      </c>
      <c r="I444" t="s" s="0">
        <v>82</v>
      </c>
      <c r="J444" t="s" s="0">
        <v>10070</v>
      </c>
      <c r="K444" t="s" s="0">
        <v>10071</v>
      </c>
      <c r="L444" t="s" s="0">
        <v>81</v>
      </c>
      <c r="M444" t="s" s="0">
        <v>81</v>
      </c>
      <c r="N444" t="s" s="0">
        <v>81</v>
      </c>
      <c r="O444" t="s" s="0">
        <v>10072</v>
      </c>
      <c r="P444" t="s" s="0">
        <v>10073</v>
      </c>
      <c r="Q444" t="s" s="0">
        <v>87</v>
      </c>
      <c r="R444" t="s" s="0">
        <v>81</v>
      </c>
      <c r="S444" t="s" s="0">
        <v>81</v>
      </c>
      <c r="T444" t="s" s="0">
        <v>81</v>
      </c>
      <c r="U444" t="s" s="0">
        <v>81</v>
      </c>
      <c r="V444" t="s" s="0">
        <v>10074</v>
      </c>
      <c r="W444" t="s" s="0">
        <v>2070</v>
      </c>
      <c r="X444" t="s" s="0">
        <v>81</v>
      </c>
      <c r="Y444" t="s" s="0">
        <v>81</v>
      </c>
      <c r="Z444" t="s" s="0">
        <v>90</v>
      </c>
      <c r="AA444" t="s" s="0">
        <v>91</v>
      </c>
      <c r="AB444" t="s" s="0">
        <v>81</v>
      </c>
      <c r="AC444" t="s" s="0">
        <v>81</v>
      </c>
      <c r="AD444" t="s" s="0">
        <v>81</v>
      </c>
      <c r="AE444" t="s" s="0">
        <v>81</v>
      </c>
      <c r="AF444" t="s" s="0">
        <v>81</v>
      </c>
      <c r="AG444" t="s" s="0">
        <v>10075</v>
      </c>
      <c r="AH444" t="s" s="0">
        <v>10076</v>
      </c>
      <c r="AI444" t="s" s="0">
        <v>81</v>
      </c>
      <c r="AJ444" t="s" s="0">
        <v>81</v>
      </c>
      <c r="AK444" t="s" s="0">
        <v>81</v>
      </c>
      <c r="AL444" t="s" s="0">
        <v>150</v>
      </c>
      <c r="AM444" t="s" s="0">
        <v>77</v>
      </c>
      <c r="AN444" t="s" s="0">
        <v>77</v>
      </c>
      <c r="AO444" t="s" s="0">
        <v>77</v>
      </c>
      <c r="AP444" t="s" s="0">
        <v>77</v>
      </c>
      <c r="AQ444" t="s" s="0">
        <v>177</v>
      </c>
      <c r="AR444" t="s" s="0">
        <v>178</v>
      </c>
      <c r="AS444" t="s" s="0">
        <v>179</v>
      </c>
      <c r="AT444" t="s" s="0">
        <v>2073</v>
      </c>
      <c r="AU444" t="s" s="0">
        <v>2074</v>
      </c>
      <c r="AV444" t="s" s="0">
        <v>81</v>
      </c>
      <c r="AW444" t="s" s="0">
        <v>2075</v>
      </c>
      <c r="AX444" t="s" s="0">
        <v>2076</v>
      </c>
      <c r="AY444" t="s" s="0">
        <v>10077</v>
      </c>
      <c r="AZ444" t="s" s="0">
        <v>103</v>
      </c>
      <c r="BA444" t="s" s="0">
        <v>144</v>
      </c>
      <c r="BB444" t="s" s="0">
        <v>81</v>
      </c>
      <c r="BC444" t="s" s="0">
        <v>81</v>
      </c>
      <c r="BD444" t="s" s="0">
        <v>145</v>
      </c>
      <c r="BE444" t="s" s="0">
        <v>81</v>
      </c>
      <c r="BF444" t="s" s="0">
        <v>81</v>
      </c>
      <c r="BG444" t="s" s="0">
        <v>81</v>
      </c>
      <c r="BH444" t="s" s="0">
        <v>81</v>
      </c>
      <c r="BI444" t="s" s="0">
        <v>10078</v>
      </c>
      <c r="BJ444" t="s" s="0">
        <v>10079</v>
      </c>
      <c r="BK444" t="s" s="881">
        <f>HYPERLINK("http://dx.doi.org/10.1016/j.bspc.2026.111198","http://dx.doi.org/10.1016/j.bspc.2026.111198")</f>
        <v>10080</v>
      </c>
      <c r="BL444" t="s" s="0">
        <v>81</v>
      </c>
      <c r="BM444" t="s" s="0">
        <v>81</v>
      </c>
      <c r="BN444" t="s" s="0">
        <v>176</v>
      </c>
      <c r="BO444" t="s" s="0">
        <v>2082</v>
      </c>
      <c r="BP444" t="s" s="0">
        <v>1003</v>
      </c>
      <c r="BQ444" t="s" s="0">
        <v>10081</v>
      </c>
      <c r="BR444" t="s" s="0">
        <v>81</v>
      </c>
      <c r="BS444" t="s" s="0">
        <v>10082</v>
      </c>
      <c r="BT444" t="s" s="882">
        <f>HYPERLINK("https://www.webofscience.com/wos/woscc/full-record/WOS:001840937400001","View Record in Web of Science")</f>
        <v>114</v>
      </c>
      <c r="BU444" t="s" s="0">
        <v>81</v>
      </c>
      <c r="BV444" t="s" s="0">
        <v>81</v>
      </c>
      <c r="BW444" t="s" s="0">
        <v>81</v>
      </c>
      <c r="BX444" t="s" s="0">
        <v>116</v>
      </c>
    </row>
    <row r="445">
      <c r="A445" t="s" s="0">
        <v>97</v>
      </c>
      <c r="B445" t="s" s="0">
        <v>77</v>
      </c>
      <c r="C445" t="s" s="0">
        <v>97</v>
      </c>
      <c r="D445" t="s" s="0">
        <v>77</v>
      </c>
      <c r="E445" t="s" s="0">
        <v>10083</v>
      </c>
      <c r="F445" t="s" s="0">
        <v>10084</v>
      </c>
      <c r="G445" t="s" s="0">
        <v>10085</v>
      </c>
      <c r="H445" t="s" s="0">
        <v>81</v>
      </c>
      <c r="I445" t="s" s="0">
        <v>82</v>
      </c>
      <c r="J445" t="s" s="0">
        <v>10086</v>
      </c>
      <c r="K445" t="s" s="0">
        <v>10087</v>
      </c>
      <c r="L445" t="s" s="0">
        <v>81</v>
      </c>
      <c r="M445" t="s" s="0">
        <v>81</v>
      </c>
      <c r="N445" t="s" s="0">
        <v>81</v>
      </c>
      <c r="O445" t="s" s="0">
        <v>10088</v>
      </c>
      <c r="P445" t="s" s="0">
        <v>10089</v>
      </c>
      <c r="Q445" t="s" s="0">
        <v>87</v>
      </c>
      <c r="R445" t="s" s="0">
        <v>81</v>
      </c>
      <c r="S445" t="s" s="0">
        <v>81</v>
      </c>
      <c r="T445" t="s" s="0">
        <v>81</v>
      </c>
      <c r="U445" t="s" s="0">
        <v>81</v>
      </c>
      <c r="V445" t="s" s="0">
        <v>10090</v>
      </c>
      <c r="W445" t="s" s="0">
        <v>89</v>
      </c>
      <c r="X445" t="s" s="0">
        <v>81</v>
      </c>
      <c r="Y445" t="s" s="0">
        <v>81</v>
      </c>
      <c r="Z445" t="s" s="0">
        <v>90</v>
      </c>
      <c r="AA445" t="s" s="0">
        <v>91</v>
      </c>
      <c r="AB445" t="s" s="0">
        <v>81</v>
      </c>
      <c r="AC445" t="s" s="0">
        <v>81</v>
      </c>
      <c r="AD445" t="s" s="0">
        <v>81</v>
      </c>
      <c r="AE445" t="s" s="0">
        <v>81</v>
      </c>
      <c r="AF445" t="s" s="0">
        <v>81</v>
      </c>
      <c r="AG445" t="s" s="0">
        <v>10091</v>
      </c>
      <c r="AH445" t="s" s="0">
        <v>10092</v>
      </c>
      <c r="AI445" t="s" s="0">
        <v>10093</v>
      </c>
      <c r="AJ445" t="s" s="0">
        <v>10094</v>
      </c>
      <c r="AK445" t="s" s="0">
        <v>81</v>
      </c>
      <c r="AL445" t="s" s="0">
        <v>1254</v>
      </c>
      <c r="AM445" t="s" s="0">
        <v>196</v>
      </c>
      <c r="AN445" t="s" s="0">
        <v>133</v>
      </c>
      <c r="AO445" t="s" s="0">
        <v>156</v>
      </c>
      <c r="AP445" t="s" s="0">
        <v>261</v>
      </c>
      <c r="AQ445" t="s" s="0">
        <v>98</v>
      </c>
      <c r="AR445" t="s" s="0">
        <v>99</v>
      </c>
      <c r="AS445" t="s" s="0">
        <v>100</v>
      </c>
      <c r="AT445" t="s" s="0">
        <v>101</v>
      </c>
      <c r="AU445" t="s" s="0">
        <v>81</v>
      </c>
      <c r="AV445" t="s" s="0">
        <v>81</v>
      </c>
      <c r="AW445" t="s" s="0">
        <v>89</v>
      </c>
      <c r="AX445" t="s" s="0">
        <v>102</v>
      </c>
      <c r="AY445" t="s" s="0">
        <v>185</v>
      </c>
      <c r="AZ445" t="s" s="0">
        <v>185</v>
      </c>
      <c r="BA445" t="s" s="0">
        <v>134</v>
      </c>
      <c r="BB445" t="s" s="0">
        <v>81</v>
      </c>
      <c r="BC445" t="s" s="0">
        <v>81</v>
      </c>
      <c r="BD445" t="s" s="0">
        <v>81</v>
      </c>
      <c r="BE445" t="s" s="0">
        <v>81</v>
      </c>
      <c r="BF445" t="s" s="0">
        <v>81</v>
      </c>
      <c r="BG445" t="s" s="0">
        <v>10095</v>
      </c>
      <c r="BH445" t="s" s="0">
        <v>10096</v>
      </c>
      <c r="BI445" t="s" s="0">
        <v>81</v>
      </c>
      <c r="BJ445" t="s" s="0">
        <v>10097</v>
      </c>
      <c r="BK445" t="s" s="883">
        <f>HYPERLINK("http://dx.doi.org/10.1109/ACCESS.2024.3471832","http://dx.doi.org/10.1109/ACCESS.2024.3471832")</f>
        <v>10098</v>
      </c>
      <c r="BL445" t="s" s="0">
        <v>81</v>
      </c>
      <c r="BM445" t="s" s="0">
        <v>81</v>
      </c>
      <c r="BN445" t="s" s="0">
        <v>295</v>
      </c>
      <c r="BO445" t="s" s="0">
        <v>110</v>
      </c>
      <c r="BP445" t="s" s="0">
        <v>111</v>
      </c>
      <c r="BQ445" t="s" s="0">
        <v>10099</v>
      </c>
      <c r="BR445" t="s" s="0">
        <v>81</v>
      </c>
      <c r="BS445" t="s" s="0">
        <v>10100</v>
      </c>
      <c r="BT445" t="s" s="884">
        <f>HYPERLINK("https://www.webofscience.com/wos/woscc/full-record/WOS:001336039700001","View Record in Web of Science")</f>
        <v>114</v>
      </c>
      <c r="BU445" t="s" s="0">
        <v>301</v>
      </c>
      <c r="BV445" t="s" s="0">
        <v>81</v>
      </c>
      <c r="BW445" t="s" s="0">
        <v>81</v>
      </c>
      <c r="BX445" t="s" s="0">
        <v>116</v>
      </c>
    </row>
    <row r="446">
      <c r="A446" t="s" s="0">
        <v>77</v>
      </c>
      <c r="B446" t="s" s="0">
        <v>77</v>
      </c>
      <c r="C446" t="s" s="0">
        <v>77</v>
      </c>
      <c r="D446" t="s" s="0">
        <v>77</v>
      </c>
      <c r="E446" t="s" s="0">
        <v>10101</v>
      </c>
      <c r="F446" t="s" s="0">
        <v>10102</v>
      </c>
      <c r="G446" t="s" s="0">
        <v>10103</v>
      </c>
      <c r="H446" t="s" s="0">
        <v>81</v>
      </c>
      <c r="I446" t="s" s="0">
        <v>82</v>
      </c>
      <c r="J446" t="s" s="0">
        <v>10104</v>
      </c>
      <c r="K446" t="s" s="0">
        <v>10105</v>
      </c>
      <c r="L446" t="s" s="0">
        <v>81</v>
      </c>
      <c r="M446" t="s" s="0">
        <v>81</v>
      </c>
      <c r="N446" t="s" s="0">
        <v>81</v>
      </c>
      <c r="O446" t="s" s="0">
        <v>10106</v>
      </c>
      <c r="P446" t="s" s="0">
        <v>10107</v>
      </c>
      <c r="Q446" t="s" s="0">
        <v>87</v>
      </c>
      <c r="R446" t="s" s="0">
        <v>81</v>
      </c>
      <c r="S446" t="s" s="0">
        <v>81</v>
      </c>
      <c r="T446" t="s" s="0">
        <v>81</v>
      </c>
      <c r="U446" t="s" s="0">
        <v>81</v>
      </c>
      <c r="V446" t="s" s="0">
        <v>10108</v>
      </c>
      <c r="W446" t="s" s="0">
        <v>8356</v>
      </c>
      <c r="X446" t="s" s="0">
        <v>81</v>
      </c>
      <c r="Y446" t="s" s="0">
        <v>81</v>
      </c>
      <c r="Z446" t="s" s="0">
        <v>90</v>
      </c>
      <c r="AA446" t="s" s="0">
        <v>91</v>
      </c>
      <c r="AB446" t="s" s="0">
        <v>81</v>
      </c>
      <c r="AC446" t="s" s="0">
        <v>81</v>
      </c>
      <c r="AD446" t="s" s="0">
        <v>81</v>
      </c>
      <c r="AE446" t="s" s="0">
        <v>81</v>
      </c>
      <c r="AF446" t="s" s="0">
        <v>81</v>
      </c>
      <c r="AG446" t="s" s="0">
        <v>10109</v>
      </c>
      <c r="AH446" t="s" s="0">
        <v>81</v>
      </c>
      <c r="AI446" t="s" s="0">
        <v>81</v>
      </c>
      <c r="AJ446" t="s" s="0">
        <v>81</v>
      </c>
      <c r="AK446" t="s" s="0">
        <v>81</v>
      </c>
      <c r="AL446" t="s" s="0">
        <v>174</v>
      </c>
      <c r="AM446" t="s" s="0">
        <v>77</v>
      </c>
      <c r="AN446" t="s" s="0">
        <v>77</v>
      </c>
      <c r="AO446" t="s" s="0">
        <v>211</v>
      </c>
      <c r="AP446" t="s" s="0">
        <v>211</v>
      </c>
      <c r="AQ446" t="s" s="0">
        <v>284</v>
      </c>
      <c r="AR446" t="s" s="0">
        <v>285</v>
      </c>
      <c r="AS446" t="s" s="0">
        <v>286</v>
      </c>
      <c r="AT446" t="s" s="0">
        <v>81</v>
      </c>
      <c r="AU446" t="s" s="0">
        <v>8359</v>
      </c>
      <c r="AV446" t="s" s="0">
        <v>81</v>
      </c>
      <c r="AW446" t="s" s="0">
        <v>8360</v>
      </c>
      <c r="AX446" t="s" s="0">
        <v>8361</v>
      </c>
      <c r="AY446" t="s" s="0">
        <v>10110</v>
      </c>
      <c r="AZ446" t="s" s="0">
        <v>103</v>
      </c>
      <c r="BA446" t="s" s="0">
        <v>228</v>
      </c>
      <c r="BB446" t="s" s="0">
        <v>133</v>
      </c>
      <c r="BC446" t="s" s="0">
        <v>81</v>
      </c>
      <c r="BD446" t="s" s="0">
        <v>81</v>
      </c>
      <c r="BE446" t="s" s="0">
        <v>81</v>
      </c>
      <c r="BF446" t="s" s="0">
        <v>81</v>
      </c>
      <c r="BG446" t="s" s="0">
        <v>81</v>
      </c>
      <c r="BH446" t="s" s="0">
        <v>81</v>
      </c>
      <c r="BI446" t="s" s="0">
        <v>10111</v>
      </c>
      <c r="BJ446" t="s" s="0">
        <v>10112</v>
      </c>
      <c r="BK446" t="s" s="885">
        <f>HYPERLINK("http://dx.doi.org/10.3390/s26051454","http://dx.doi.org/10.3390/s26051454")</f>
        <v>10113</v>
      </c>
      <c r="BL446" t="s" s="0">
        <v>81</v>
      </c>
      <c r="BM446" t="s" s="0">
        <v>81</v>
      </c>
      <c r="BN446" t="s" s="0">
        <v>291</v>
      </c>
      <c r="BO446" t="s" s="0">
        <v>8365</v>
      </c>
      <c r="BP446" t="s" s="0">
        <v>8366</v>
      </c>
      <c r="BQ446" t="s" s="0">
        <v>10114</v>
      </c>
      <c r="BR446" t="s" s="0">
        <v>10115</v>
      </c>
      <c r="BS446" t="s" s="0">
        <v>10116</v>
      </c>
      <c r="BT446" t="s" s="886">
        <f>HYPERLINK("https://www.webofscience.com/wos/woscc/full-record/WOS:001713880000001","View Record in Web of Science")</f>
        <v>114</v>
      </c>
      <c r="BU446" t="s" s="0">
        <v>301</v>
      </c>
      <c r="BV446" t="s" s="0">
        <v>81</v>
      </c>
      <c r="BW446" t="s" s="0">
        <v>81</v>
      </c>
      <c r="BX446" t="s" s="0">
        <v>116</v>
      </c>
    </row>
    <row r="447">
      <c r="A447" t="s" s="0">
        <v>77</v>
      </c>
      <c r="B447" t="s" s="0">
        <v>77</v>
      </c>
      <c r="C447" t="s" s="0">
        <v>77</v>
      </c>
      <c r="D447" t="s" s="0">
        <v>77</v>
      </c>
      <c r="E447" t="s" s="0">
        <v>10117</v>
      </c>
      <c r="F447" t="s" s="0">
        <v>10118</v>
      </c>
      <c r="G447" t="s" s="0">
        <v>10119</v>
      </c>
      <c r="H447" t="s" s="0">
        <v>81</v>
      </c>
      <c r="I447" t="s" s="0">
        <v>82</v>
      </c>
      <c r="J447" t="s" s="0">
        <v>10120</v>
      </c>
      <c r="K447" t="s" s="0">
        <v>10121</v>
      </c>
      <c r="L447" t="s" s="0">
        <v>10122</v>
      </c>
      <c r="M447" t="s" s="0">
        <v>10123</v>
      </c>
      <c r="N447" t="s" s="0">
        <v>10124</v>
      </c>
      <c r="O447" t="s" s="0">
        <v>10125</v>
      </c>
      <c r="P447" t="s" s="0">
        <v>10126</v>
      </c>
      <c r="Q447" t="s" s="0">
        <v>87</v>
      </c>
      <c r="R447" t="s" s="0">
        <v>81</v>
      </c>
      <c r="S447" t="s" s="0">
        <v>81</v>
      </c>
      <c r="T447" t="s" s="0">
        <v>81</v>
      </c>
      <c r="U447" t="s" s="0">
        <v>81</v>
      </c>
      <c r="V447" t="s" s="0">
        <v>10127</v>
      </c>
      <c r="W447" t="s" s="0">
        <v>5983</v>
      </c>
      <c r="X447" t="s" s="0">
        <v>81</v>
      </c>
      <c r="Y447" t="s" s="0">
        <v>81</v>
      </c>
      <c r="Z447" t="s" s="0">
        <v>90</v>
      </c>
      <c r="AA447" t="s" s="0">
        <v>1581</v>
      </c>
      <c r="AB447" t="s" s="0">
        <v>81</v>
      </c>
      <c r="AC447" t="s" s="0">
        <v>81</v>
      </c>
      <c r="AD447" t="s" s="0">
        <v>81</v>
      </c>
      <c r="AE447" t="s" s="0">
        <v>81</v>
      </c>
      <c r="AF447" t="s" s="0">
        <v>81</v>
      </c>
      <c r="AG447" t="s" s="0">
        <v>10128</v>
      </c>
      <c r="AH447" t="s" s="0">
        <v>10129</v>
      </c>
      <c r="AI447" t="s" s="0">
        <v>10130</v>
      </c>
      <c r="AJ447" t="s" s="0">
        <v>81</v>
      </c>
      <c r="AK447" t="s" s="0">
        <v>81</v>
      </c>
      <c r="AL447" t="s" s="0">
        <v>324</v>
      </c>
      <c r="AM447" t="s" s="0">
        <v>77</v>
      </c>
      <c r="AN447" t="s" s="0">
        <v>77</v>
      </c>
      <c r="AO447" t="s" s="0">
        <v>77</v>
      </c>
      <c r="AP447" t="s" s="0">
        <v>77</v>
      </c>
      <c r="AQ447" t="s" s="0">
        <v>212</v>
      </c>
      <c r="AR447" t="s" s="0">
        <v>429</v>
      </c>
      <c r="AS447" t="s" s="0">
        <v>784</v>
      </c>
      <c r="AT447" t="s" s="0">
        <v>5987</v>
      </c>
      <c r="AU447" t="s" s="0">
        <v>5988</v>
      </c>
      <c r="AV447" t="s" s="0">
        <v>81</v>
      </c>
      <c r="AW447" t="s" s="0">
        <v>5989</v>
      </c>
      <c r="AX447" t="s" s="0">
        <v>5990</v>
      </c>
      <c r="AY447" t="s" s="0">
        <v>81</v>
      </c>
      <c r="AZ447" t="s" s="0">
        <v>103</v>
      </c>
      <c r="BA447" t="s" s="0">
        <v>81</v>
      </c>
      <c r="BB447" t="s" s="0">
        <v>81</v>
      </c>
      <c r="BC447" t="s" s="0">
        <v>81</v>
      </c>
      <c r="BD447" t="s" s="0">
        <v>81</v>
      </c>
      <c r="BE447" t="s" s="0">
        <v>81</v>
      </c>
      <c r="BF447" t="s" s="0">
        <v>81</v>
      </c>
      <c r="BG447" t="s" s="0">
        <v>81</v>
      </c>
      <c r="BH447" t="s" s="0">
        <v>81</v>
      </c>
      <c r="BI447" t="s" s="0">
        <v>81</v>
      </c>
      <c r="BJ447" t="s" s="0">
        <v>10131</v>
      </c>
      <c r="BK447" t="s" s="887">
        <f>HYPERLINK("http://dx.doi.org/10.1007/s10278-026-02141-5","http://dx.doi.org/10.1007/s10278-026-02141-5")</f>
        <v>10132</v>
      </c>
      <c r="BL447" t="s" s="0">
        <v>81</v>
      </c>
      <c r="BM447" t="s" s="0">
        <v>3366</v>
      </c>
      <c r="BN447" t="s" s="0">
        <v>925</v>
      </c>
      <c r="BO447" t="s" s="0">
        <v>738</v>
      </c>
      <c r="BP447" t="s" s="0">
        <v>738</v>
      </c>
      <c r="BQ447" t="s" s="0">
        <v>10133</v>
      </c>
      <c r="BR447" t="s" s="0">
        <v>10134</v>
      </c>
      <c r="BS447" t="s" s="0">
        <v>10135</v>
      </c>
      <c r="BT447" t="s" s="888">
        <f>HYPERLINK("https://www.webofscience.com/wos/woscc/full-record/WOS:001835965500001","View Record in Web of Science")</f>
        <v>114</v>
      </c>
      <c r="BU447" t="s" s="0">
        <v>81</v>
      </c>
      <c r="BV447" t="s" s="0">
        <v>81</v>
      </c>
      <c r="BW447" t="s" s="0">
        <v>81</v>
      </c>
      <c r="BX447" t="s" s="0">
        <v>116</v>
      </c>
    </row>
    <row r="448">
      <c r="A448" t="s" s="0">
        <v>77</v>
      </c>
      <c r="B448" t="s" s="0">
        <v>77</v>
      </c>
      <c r="C448" t="s" s="0">
        <v>77</v>
      </c>
      <c r="D448" t="s" s="0">
        <v>77</v>
      </c>
      <c r="E448" t="s" s="0">
        <v>10136</v>
      </c>
      <c r="F448" t="s" s="0">
        <v>10137</v>
      </c>
      <c r="G448" t="s" s="0">
        <v>10138</v>
      </c>
      <c r="H448" t="s" s="0">
        <v>81</v>
      </c>
      <c r="I448" t="s" s="0">
        <v>238</v>
      </c>
      <c r="J448" t="s" s="0">
        <v>10139</v>
      </c>
      <c r="K448" t="s" s="0">
        <v>10140</v>
      </c>
      <c r="L448" t="s" s="0">
        <v>81</v>
      </c>
      <c r="M448" t="s" s="0">
        <v>81</v>
      </c>
      <c r="N448" t="s" s="0">
        <v>81</v>
      </c>
      <c r="O448" t="s" s="0">
        <v>10141</v>
      </c>
      <c r="P448" t="s" s="0">
        <v>10142</v>
      </c>
      <c r="Q448" t="s" s="0">
        <v>87</v>
      </c>
      <c r="R448" t="s" s="0">
        <v>81</v>
      </c>
      <c r="S448" t="s" s="0">
        <v>81</v>
      </c>
      <c r="T448" t="s" s="0">
        <v>81</v>
      </c>
      <c r="U448" t="s" s="0">
        <v>81</v>
      </c>
      <c r="V448" t="s" s="0">
        <v>10143</v>
      </c>
      <c r="W448" t="s" s="0">
        <v>10144</v>
      </c>
      <c r="X448" t="s" s="0">
        <v>81</v>
      </c>
      <c r="Y448" t="s" s="0">
        <v>81</v>
      </c>
      <c r="Z448" t="s" s="0">
        <v>90</v>
      </c>
      <c r="AA448" t="s" s="0">
        <v>91</v>
      </c>
      <c r="AB448" t="s" s="0">
        <v>81</v>
      </c>
      <c r="AC448" t="s" s="0">
        <v>81</v>
      </c>
      <c r="AD448" t="s" s="0">
        <v>81</v>
      </c>
      <c r="AE448" t="s" s="0">
        <v>81</v>
      </c>
      <c r="AF448" t="s" s="0">
        <v>81</v>
      </c>
      <c r="AG448" t="s" s="0">
        <v>10145</v>
      </c>
      <c r="AH448" t="s" s="0">
        <v>81</v>
      </c>
      <c r="AI448" t="s" s="0">
        <v>81</v>
      </c>
      <c r="AJ448" t="s" s="0">
        <v>81</v>
      </c>
      <c r="AK448" t="s" s="0">
        <v>81</v>
      </c>
      <c r="AL448" t="s" s="0">
        <v>228</v>
      </c>
      <c r="AM448" t="s" s="0">
        <v>97</v>
      </c>
      <c r="AN448" t="s" s="0">
        <v>97</v>
      </c>
      <c r="AO448" t="s" s="0">
        <v>133</v>
      </c>
      <c r="AP448" t="s" s="0">
        <v>133</v>
      </c>
      <c r="AQ448" t="s" s="0">
        <v>3061</v>
      </c>
      <c r="AR448" t="s" s="0">
        <v>3062</v>
      </c>
      <c r="AS448" t="s" s="0">
        <v>3063</v>
      </c>
      <c r="AT448" t="s" s="0">
        <v>81</v>
      </c>
      <c r="AU448" t="s" s="0">
        <v>10146</v>
      </c>
      <c r="AV448" t="s" s="0">
        <v>81</v>
      </c>
      <c r="AW448" t="s" s="0">
        <v>10147</v>
      </c>
      <c r="AX448" t="s" s="0">
        <v>10148</v>
      </c>
      <c r="AY448" t="s" s="0">
        <v>103</v>
      </c>
      <c r="AZ448" t="s" s="0">
        <v>103</v>
      </c>
      <c r="BA448" t="s" s="0">
        <v>211</v>
      </c>
      <c r="BB448" t="s" s="0">
        <v>81</v>
      </c>
      <c r="BC448" t="s" s="0">
        <v>81</v>
      </c>
      <c r="BD448" t="s" s="0">
        <v>81</v>
      </c>
      <c r="BE448" t="s" s="0">
        <v>81</v>
      </c>
      <c r="BF448" t="s" s="0">
        <v>81</v>
      </c>
      <c r="BG448" t="s" s="0">
        <v>81</v>
      </c>
      <c r="BH448" t="s" s="0">
        <v>81</v>
      </c>
      <c r="BI448" t="s" s="0">
        <v>10149</v>
      </c>
      <c r="BJ448" t="s" s="0">
        <v>10150</v>
      </c>
      <c r="BK448" t="s" s="889">
        <f>HYPERLINK("http://dx.doi.org/10.2196/87830","http://dx.doi.org/10.2196/87830")</f>
        <v>10151</v>
      </c>
      <c r="BL448" t="s" s="0">
        <v>81</v>
      </c>
      <c r="BM448" t="s" s="0">
        <v>81</v>
      </c>
      <c r="BN448" t="s" s="0">
        <v>261</v>
      </c>
      <c r="BO448" t="s" s="0">
        <v>792</v>
      </c>
      <c r="BP448" t="s" s="0">
        <v>792</v>
      </c>
      <c r="BQ448" t="s" s="0">
        <v>10152</v>
      </c>
      <c r="BR448" t="s" s="0">
        <v>10153</v>
      </c>
      <c r="BS448" t="s" s="0">
        <v>10154</v>
      </c>
      <c r="BT448" t="s" s="890">
        <f>HYPERLINK("https://www.webofscience.com/wos/woscc/full-record/WOS:001720528400030","View Record in Web of Science")</f>
        <v>114</v>
      </c>
      <c r="BU448" t="s" s="0">
        <v>301</v>
      </c>
      <c r="BV448" t="s" s="0">
        <v>81</v>
      </c>
      <c r="BW448" t="s" s="0">
        <v>81</v>
      </c>
      <c r="BX448" t="s" s="0">
        <v>116</v>
      </c>
    </row>
    <row r="449">
      <c r="A449" t="s" s="0">
        <v>156</v>
      </c>
      <c r="B449" t="s" s="0">
        <v>77</v>
      </c>
      <c r="C449" t="s" s="0">
        <v>211</v>
      </c>
      <c r="D449" t="s" s="0">
        <v>77</v>
      </c>
      <c r="E449" t="s" s="0">
        <v>10155</v>
      </c>
      <c r="F449" t="s" s="0">
        <v>10156</v>
      </c>
      <c r="G449" t="s" s="0">
        <v>10157</v>
      </c>
      <c r="H449" t="s" s="0">
        <v>81</v>
      </c>
      <c r="I449" t="s" s="0">
        <v>82</v>
      </c>
      <c r="J449" t="s" s="0">
        <v>10158</v>
      </c>
      <c r="K449" t="s" s="0">
        <v>10159</v>
      </c>
      <c r="L449" t="s" s="0">
        <v>81</v>
      </c>
      <c r="M449" t="s" s="0">
        <v>81</v>
      </c>
      <c r="N449" t="s" s="0">
        <v>81</v>
      </c>
      <c r="O449" t="s" s="0">
        <v>10160</v>
      </c>
      <c r="P449" t="s" s="0">
        <v>10161</v>
      </c>
      <c r="Q449" t="s" s="0">
        <v>87</v>
      </c>
      <c r="R449" t="s" s="0">
        <v>81</v>
      </c>
      <c r="S449" t="s" s="0">
        <v>81</v>
      </c>
      <c r="T449" t="s" s="0">
        <v>81</v>
      </c>
      <c r="U449" t="s" s="0">
        <v>81</v>
      </c>
      <c r="V449" t="s" s="0">
        <v>10162</v>
      </c>
      <c r="W449" t="s" s="0">
        <v>7204</v>
      </c>
      <c r="X449" t="s" s="0">
        <v>81</v>
      </c>
      <c r="Y449" t="s" s="0">
        <v>81</v>
      </c>
      <c r="Z449" t="s" s="0">
        <v>90</v>
      </c>
      <c r="AA449" t="s" s="0">
        <v>91</v>
      </c>
      <c r="AB449" t="s" s="0">
        <v>81</v>
      </c>
      <c r="AC449" t="s" s="0">
        <v>81</v>
      </c>
      <c r="AD449" t="s" s="0">
        <v>81</v>
      </c>
      <c r="AE449" t="s" s="0">
        <v>81</v>
      </c>
      <c r="AF449" t="s" s="0">
        <v>81</v>
      </c>
      <c r="AG449" t="s" s="0">
        <v>10163</v>
      </c>
      <c r="AH449" t="s" s="0">
        <v>6584</v>
      </c>
      <c r="AI449" t="s" s="0">
        <v>10164</v>
      </c>
      <c r="AJ449" t="s" s="0">
        <v>10165</v>
      </c>
      <c r="AK449" t="s" s="0">
        <v>81</v>
      </c>
      <c r="AL449" t="s" s="0">
        <v>914</v>
      </c>
      <c r="AM449" t="s" s="0">
        <v>367</v>
      </c>
      <c r="AN449" t="s" s="0">
        <v>485</v>
      </c>
      <c r="AO449" t="s" s="0">
        <v>196</v>
      </c>
      <c r="AP449" t="s" s="0">
        <v>222</v>
      </c>
      <c r="AQ449" t="s" s="0">
        <v>284</v>
      </c>
      <c r="AR449" t="s" s="0">
        <v>285</v>
      </c>
      <c r="AS449" t="s" s="0">
        <v>286</v>
      </c>
      <c r="AT449" t="s" s="0">
        <v>81</v>
      </c>
      <c r="AU449" t="s" s="0">
        <v>7208</v>
      </c>
      <c r="AV449" t="s" s="0">
        <v>81</v>
      </c>
      <c r="AW449" t="s" s="0">
        <v>7204</v>
      </c>
      <c r="AX449" t="s" s="0">
        <v>7209</v>
      </c>
      <c r="AY449" t="s" s="0">
        <v>10166</v>
      </c>
      <c r="AZ449" t="s" s="0">
        <v>290</v>
      </c>
      <c r="BA449" t="s" s="0">
        <v>104</v>
      </c>
      <c r="BB449" t="s" s="0">
        <v>316</v>
      </c>
      <c r="BC449" t="s" s="0">
        <v>81</v>
      </c>
      <c r="BD449" t="s" s="0">
        <v>81</v>
      </c>
      <c r="BE449" t="s" s="0">
        <v>81</v>
      </c>
      <c r="BF449" t="s" s="0">
        <v>81</v>
      </c>
      <c r="BG449" t="s" s="0">
        <v>81</v>
      </c>
      <c r="BH449" t="s" s="0">
        <v>81</v>
      </c>
      <c r="BI449" t="s" s="0">
        <v>10167</v>
      </c>
      <c r="BJ449" t="s" s="0">
        <v>10168</v>
      </c>
      <c r="BK449" t="s" s="891">
        <f>HYPERLINK("http://dx.doi.org/10.3390/biology14060719","http://dx.doi.org/10.3390/biology14060719")</f>
        <v>10169</v>
      </c>
      <c r="BL449" t="s" s="0">
        <v>81</v>
      </c>
      <c r="BM449" t="s" s="0">
        <v>81</v>
      </c>
      <c r="BN449" t="s" s="0">
        <v>890</v>
      </c>
      <c r="BO449" t="s" s="0">
        <v>7213</v>
      </c>
      <c r="BP449" t="s" s="0">
        <v>7214</v>
      </c>
      <c r="BQ449" t="s" s="0">
        <v>10170</v>
      </c>
      <c r="BR449" t="s" s="0">
        <v>10171</v>
      </c>
      <c r="BS449" t="s" s="0">
        <v>10172</v>
      </c>
      <c r="BT449" t="s" s="892">
        <f>HYPERLINK("https://www.webofscience.com/wos/woscc/full-record/WOS:001516100700001","View Record in Web of Science")</f>
        <v>114</v>
      </c>
      <c r="BU449" t="s" s="0">
        <v>301</v>
      </c>
      <c r="BV449" t="s" s="0">
        <v>81</v>
      </c>
      <c r="BW449" t="s" s="0">
        <v>81</v>
      </c>
      <c r="BX449" t="s" s="0">
        <v>116</v>
      </c>
    </row>
    <row r="450">
      <c r="A450" t="s" s="0">
        <v>77</v>
      </c>
      <c r="B450" t="s" s="0">
        <v>77</v>
      </c>
      <c r="C450" t="s" s="0">
        <v>77</v>
      </c>
      <c r="D450" t="s" s="0">
        <v>77</v>
      </c>
      <c r="E450" t="s" s="0">
        <v>10173</v>
      </c>
      <c r="F450" t="s" s="0">
        <v>10174</v>
      </c>
      <c r="G450" t="s" s="0">
        <v>10175</v>
      </c>
      <c r="H450" t="s" s="0">
        <v>81</v>
      </c>
      <c r="I450" t="s" s="0">
        <v>238</v>
      </c>
      <c r="J450" t="s" s="0">
        <v>10176</v>
      </c>
      <c r="K450" t="s" s="0">
        <v>10177</v>
      </c>
      <c r="L450" t="s" s="0">
        <v>81</v>
      </c>
      <c r="M450" t="s" s="0">
        <v>81</v>
      </c>
      <c r="N450" t="s" s="0">
        <v>81</v>
      </c>
      <c r="O450" t="s" s="0">
        <v>10178</v>
      </c>
      <c r="P450" t="s" s="0">
        <v>10179</v>
      </c>
      <c r="Q450" t="s" s="0">
        <v>87</v>
      </c>
      <c r="R450" t="s" s="0">
        <v>81</v>
      </c>
      <c r="S450" t="s" s="0">
        <v>81</v>
      </c>
      <c r="T450" t="s" s="0">
        <v>81</v>
      </c>
      <c r="U450" t="s" s="0">
        <v>81</v>
      </c>
      <c r="V450" t="s" s="0">
        <v>10180</v>
      </c>
      <c r="W450" t="s" s="0">
        <v>10181</v>
      </c>
      <c r="X450" t="s" s="0">
        <v>81</v>
      </c>
      <c r="Y450" t="s" s="0">
        <v>81</v>
      </c>
      <c r="Z450" t="s" s="0">
        <v>90</v>
      </c>
      <c r="AA450" t="s" s="0">
        <v>91</v>
      </c>
      <c r="AB450" t="s" s="0">
        <v>81</v>
      </c>
      <c r="AC450" t="s" s="0">
        <v>81</v>
      </c>
      <c r="AD450" t="s" s="0">
        <v>81</v>
      </c>
      <c r="AE450" t="s" s="0">
        <v>81</v>
      </c>
      <c r="AF450" t="s" s="0">
        <v>81</v>
      </c>
      <c r="AG450" t="s" s="0">
        <v>10182</v>
      </c>
      <c r="AH450" t="s" s="0">
        <v>10183</v>
      </c>
      <c r="AI450" t="s" s="0">
        <v>10184</v>
      </c>
      <c r="AJ450" t="s" s="0">
        <v>10185</v>
      </c>
      <c r="AK450" t="s" s="0">
        <v>81</v>
      </c>
      <c r="AL450" t="s" s="0">
        <v>366</v>
      </c>
      <c r="AM450" t="s" s="0">
        <v>77</v>
      </c>
      <c r="AN450" t="s" s="0">
        <v>77</v>
      </c>
      <c r="AO450" t="s" s="0">
        <v>196</v>
      </c>
      <c r="AP450" t="s" s="0">
        <v>196</v>
      </c>
      <c r="AQ450" t="s" s="0">
        <v>284</v>
      </c>
      <c r="AR450" t="s" s="0">
        <v>285</v>
      </c>
      <c r="AS450" t="s" s="0">
        <v>286</v>
      </c>
      <c r="AT450" t="s" s="0">
        <v>81</v>
      </c>
      <c r="AU450" t="s" s="0">
        <v>10186</v>
      </c>
      <c r="AV450" t="s" s="0">
        <v>81</v>
      </c>
      <c r="AW450" t="s" s="0">
        <v>10187</v>
      </c>
      <c r="AX450" t="s" s="0">
        <v>10188</v>
      </c>
      <c r="AY450" t="s" s="0">
        <v>10189</v>
      </c>
      <c r="AZ450" t="s" s="0">
        <v>290</v>
      </c>
      <c r="BA450" t="s" s="0">
        <v>133</v>
      </c>
      <c r="BB450" t="s" s="0">
        <v>175</v>
      </c>
      <c r="BC450" t="s" s="0">
        <v>81</v>
      </c>
      <c r="BD450" t="s" s="0">
        <v>81</v>
      </c>
      <c r="BE450" t="s" s="0">
        <v>81</v>
      </c>
      <c r="BF450" t="s" s="0">
        <v>81</v>
      </c>
      <c r="BG450" t="s" s="0">
        <v>81</v>
      </c>
      <c r="BH450" t="s" s="0">
        <v>81</v>
      </c>
      <c r="BI450" t="s" s="0">
        <v>5162</v>
      </c>
      <c r="BJ450" t="s" s="0">
        <v>10190</v>
      </c>
      <c r="BK450" t="s" s="893">
        <f>HYPERLINK("http://dx.doi.org/10.3390/appliedmath5040171","http://dx.doi.org/10.3390/appliedmath5040171")</f>
        <v>10191</v>
      </c>
      <c r="BL450" t="s" s="0">
        <v>81</v>
      </c>
      <c r="BM450" t="s" s="0">
        <v>81</v>
      </c>
      <c r="BN450" t="s" s="0">
        <v>874</v>
      </c>
      <c r="BO450" t="s" s="0">
        <v>10192</v>
      </c>
      <c r="BP450" t="s" s="0">
        <v>3693</v>
      </c>
      <c r="BQ450" t="s" s="0">
        <v>10193</v>
      </c>
      <c r="BR450" t="s" s="0">
        <v>81</v>
      </c>
      <c r="BS450" t="s" s="0">
        <v>10194</v>
      </c>
      <c r="BT450" t="s" s="894">
        <f>HYPERLINK("https://www.webofscience.com/wos/woscc/full-record/WOS:001645974500001","View Record in Web of Science")</f>
        <v>114</v>
      </c>
      <c r="BU450" t="s" s="0">
        <v>301</v>
      </c>
      <c r="BV450" t="s" s="0">
        <v>81</v>
      </c>
      <c r="BW450" t="s" s="0">
        <v>81</v>
      </c>
      <c r="BX450" t="s" s="0">
        <v>116</v>
      </c>
    </row>
    <row r="451">
      <c r="A451" t="s" s="0">
        <v>77</v>
      </c>
      <c r="B451" t="s" s="0">
        <v>77</v>
      </c>
      <c r="C451" t="s" s="0">
        <v>97</v>
      </c>
      <c r="D451" t="s" s="0">
        <v>77</v>
      </c>
      <c r="E451" t="s" s="0">
        <v>10195</v>
      </c>
      <c r="F451" t="s" s="0">
        <v>10196</v>
      </c>
      <c r="G451" t="s" s="0">
        <v>10197</v>
      </c>
      <c r="H451" t="s" s="0">
        <v>81</v>
      </c>
      <c r="I451" t="s" s="0">
        <v>238</v>
      </c>
      <c r="J451" t="s" s="0">
        <v>10198</v>
      </c>
      <c r="K451" t="s" s="0">
        <v>10199</v>
      </c>
      <c r="L451" t="s" s="0">
        <v>10200</v>
      </c>
      <c r="M451" t="s" s="0">
        <v>10200</v>
      </c>
      <c r="N451" t="s" s="0">
        <v>10201</v>
      </c>
      <c r="O451" t="s" s="0">
        <v>10202</v>
      </c>
      <c r="P451" t="s" s="0">
        <v>10203</v>
      </c>
      <c r="Q451" t="s" s="0">
        <v>87</v>
      </c>
      <c r="R451" t="s" s="0">
        <v>81</v>
      </c>
      <c r="S451" t="s" s="0">
        <v>81</v>
      </c>
      <c r="T451" t="s" s="0">
        <v>81</v>
      </c>
      <c r="U451" t="s" s="0">
        <v>81</v>
      </c>
      <c r="V451" t="s" s="0">
        <v>10204</v>
      </c>
      <c r="W451" t="s" s="0">
        <v>10205</v>
      </c>
      <c r="X451" t="s" s="0">
        <v>81</v>
      </c>
      <c r="Y451" t="s" s="0">
        <v>81</v>
      </c>
      <c r="Z451" t="s" s="0">
        <v>90</v>
      </c>
      <c r="AA451" t="s" s="0">
        <v>91</v>
      </c>
      <c r="AB451" t="s" s="0">
        <v>81</v>
      </c>
      <c r="AC451" t="s" s="0">
        <v>81</v>
      </c>
      <c r="AD451" t="s" s="0">
        <v>81</v>
      </c>
      <c r="AE451" t="s" s="0">
        <v>81</v>
      </c>
      <c r="AF451" t="s" s="0">
        <v>81</v>
      </c>
      <c r="AG451" t="s" s="0">
        <v>10206</v>
      </c>
      <c r="AH451" t="s" s="0">
        <v>6584</v>
      </c>
      <c r="AI451" t="s" s="0">
        <v>10207</v>
      </c>
      <c r="AJ451" t="s" s="0">
        <v>10208</v>
      </c>
      <c r="AK451" t="s" s="0">
        <v>81</v>
      </c>
      <c r="AL451" t="s" s="0">
        <v>1607</v>
      </c>
      <c r="AM451" t="s" s="0">
        <v>316</v>
      </c>
      <c r="AN451" t="s" s="0">
        <v>316</v>
      </c>
      <c r="AO451" t="s" s="0">
        <v>156</v>
      </c>
      <c r="AP451" t="s" s="0">
        <v>196</v>
      </c>
      <c r="AQ451" t="s" s="0">
        <v>284</v>
      </c>
      <c r="AR451" t="s" s="0">
        <v>285</v>
      </c>
      <c r="AS451" t="s" s="0">
        <v>286</v>
      </c>
      <c r="AT451" t="s" s="0">
        <v>81</v>
      </c>
      <c r="AU451" t="s" s="0">
        <v>10209</v>
      </c>
      <c r="AV451" t="s" s="0">
        <v>81</v>
      </c>
      <c r="AW451" t="s" s="0">
        <v>10205</v>
      </c>
      <c r="AX451" t="s" s="0">
        <v>10210</v>
      </c>
      <c r="AY451" t="s" s="0">
        <v>10211</v>
      </c>
      <c r="AZ451" t="s" s="0">
        <v>290</v>
      </c>
      <c r="BA451" t="s" s="0">
        <v>316</v>
      </c>
      <c r="BB451" t="s" s="0">
        <v>316</v>
      </c>
      <c r="BC451" t="s" s="0">
        <v>81</v>
      </c>
      <c r="BD451" t="s" s="0">
        <v>81</v>
      </c>
      <c r="BE451" t="s" s="0">
        <v>81</v>
      </c>
      <c r="BF451" t="s" s="0">
        <v>81</v>
      </c>
      <c r="BG451" t="s" s="0">
        <v>81</v>
      </c>
      <c r="BH451" t="s" s="0">
        <v>81</v>
      </c>
      <c r="BI451" t="s" s="0">
        <v>508</v>
      </c>
      <c r="BJ451" t="s" s="0">
        <v>10212</v>
      </c>
      <c r="BK451" t="s" s="895">
        <f>HYPERLINK("http://dx.doi.org/10.3390/diabetology6060051","http://dx.doi.org/10.3390/diabetology6060051")</f>
        <v>10213</v>
      </c>
      <c r="BL451" t="s" s="0">
        <v>81</v>
      </c>
      <c r="BM451" t="s" s="0">
        <v>81</v>
      </c>
      <c r="BN451" t="s" s="0">
        <v>874</v>
      </c>
      <c r="BO451" t="s" s="0">
        <v>6302</v>
      </c>
      <c r="BP451" t="s" s="0">
        <v>6302</v>
      </c>
      <c r="BQ451" t="s" s="0">
        <v>10214</v>
      </c>
      <c r="BR451" t="s" s="0">
        <v>81</v>
      </c>
      <c r="BS451" t="s" s="0">
        <v>10215</v>
      </c>
      <c r="BT451" t="s" s="896">
        <f>HYPERLINK("https://www.webofscience.com/wos/woscc/full-record/WOS:001515635300001","View Record in Web of Science")</f>
        <v>114</v>
      </c>
      <c r="BU451" t="s" s="0">
        <v>301</v>
      </c>
      <c r="BV451" t="s" s="0">
        <v>81</v>
      </c>
      <c r="BW451" t="s" s="0">
        <v>81</v>
      </c>
      <c r="BX451" t="s" s="0">
        <v>116</v>
      </c>
    </row>
    <row r="452">
      <c r="A452" t="s" s="0">
        <v>77</v>
      </c>
      <c r="B452" t="s" s="0">
        <v>77</v>
      </c>
      <c r="C452" t="s" s="0">
        <v>77</v>
      </c>
      <c r="D452" t="s" s="0">
        <v>77</v>
      </c>
      <c r="E452" t="s" s="0">
        <v>10216</v>
      </c>
      <c r="F452" t="s" s="0">
        <v>10217</v>
      </c>
      <c r="G452" t="s" s="0">
        <v>10218</v>
      </c>
      <c r="H452" t="s" s="0">
        <v>81</v>
      </c>
      <c r="I452" t="s" s="0">
        <v>238</v>
      </c>
      <c r="J452" t="s" s="0">
        <v>10219</v>
      </c>
      <c r="K452" t="s" s="0">
        <v>81</v>
      </c>
      <c r="L452" t="s" s="0">
        <v>81</v>
      </c>
      <c r="M452" t="s" s="0">
        <v>81</v>
      </c>
      <c r="N452" t="s" s="0">
        <v>81</v>
      </c>
      <c r="O452" t="s" s="0">
        <v>10220</v>
      </c>
      <c r="P452" t="s" s="0">
        <v>10221</v>
      </c>
      <c r="Q452" t="s" s="0">
        <v>87</v>
      </c>
      <c r="R452" t="s" s="0">
        <v>81</v>
      </c>
      <c r="S452" t="s" s="0">
        <v>81</v>
      </c>
      <c r="T452" t="s" s="0">
        <v>81</v>
      </c>
      <c r="U452" t="s" s="0">
        <v>81</v>
      </c>
      <c r="V452" t="s" s="0">
        <v>10222</v>
      </c>
      <c r="W452" t="s" s="0">
        <v>1879</v>
      </c>
      <c r="X452" t="s" s="0">
        <v>81</v>
      </c>
      <c r="Y452" t="s" s="0">
        <v>81</v>
      </c>
      <c r="Z452" t="s" s="0">
        <v>90</v>
      </c>
      <c r="AA452" t="s" s="0">
        <v>91</v>
      </c>
      <c r="AB452" t="s" s="0">
        <v>81</v>
      </c>
      <c r="AC452" t="s" s="0">
        <v>81</v>
      </c>
      <c r="AD452" t="s" s="0">
        <v>81</v>
      </c>
      <c r="AE452" t="s" s="0">
        <v>81</v>
      </c>
      <c r="AF452" t="s" s="0">
        <v>81</v>
      </c>
      <c r="AG452" t="s" s="0">
        <v>10223</v>
      </c>
      <c r="AH452" t="s" s="0">
        <v>81</v>
      </c>
      <c r="AI452" t="s" s="0">
        <v>10224</v>
      </c>
      <c r="AJ452" t="s" s="0">
        <v>81</v>
      </c>
      <c r="AK452" t="s" s="0">
        <v>81</v>
      </c>
      <c r="AL452" t="s" s="0">
        <v>1912</v>
      </c>
      <c r="AM452" t="s" s="0">
        <v>77</v>
      </c>
      <c r="AN452" t="s" s="0">
        <v>97</v>
      </c>
      <c r="AO452" t="s" s="0">
        <v>77</v>
      </c>
      <c r="AP452" t="s" s="0">
        <v>77</v>
      </c>
      <c r="AQ452" t="s" s="0">
        <v>1884</v>
      </c>
      <c r="AR452" t="s" s="0">
        <v>10225</v>
      </c>
      <c r="AS452" t="s" s="0">
        <v>10226</v>
      </c>
      <c r="AT452" t="s" s="0">
        <v>1887</v>
      </c>
      <c r="AU452" t="s" s="0">
        <v>1888</v>
      </c>
      <c r="AV452" t="s" s="0">
        <v>81</v>
      </c>
      <c r="AW452" t="s" s="0">
        <v>1889</v>
      </c>
      <c r="AX452" t="s" s="0">
        <v>1890</v>
      </c>
      <c r="AY452" t="s" s="0">
        <v>290</v>
      </c>
      <c r="AZ452" t="s" s="0">
        <v>290</v>
      </c>
      <c r="BA452" t="s" s="0">
        <v>925</v>
      </c>
      <c r="BB452" t="s" s="0">
        <v>234</v>
      </c>
      <c r="BC452" t="s" s="0">
        <v>81</v>
      </c>
      <c r="BD452" t="s" s="0">
        <v>81</v>
      </c>
      <c r="BE452" t="s" s="0">
        <v>81</v>
      </c>
      <c r="BF452" t="s" s="0">
        <v>81</v>
      </c>
      <c r="BG452" t="s" s="0">
        <v>9326</v>
      </c>
      <c r="BH452" t="s" s="0">
        <v>10227</v>
      </c>
      <c r="BI452" t="s" s="0">
        <v>81</v>
      </c>
      <c r="BJ452" t="s" s="0">
        <v>81</v>
      </c>
      <c r="BK452" t="s" s="0">
        <v>81</v>
      </c>
      <c r="BL452" t="s" s="0">
        <v>81</v>
      </c>
      <c r="BM452" t="s" s="0">
        <v>81</v>
      </c>
      <c r="BN452" t="s" s="0">
        <v>211</v>
      </c>
      <c r="BO452" t="s" s="0">
        <v>1895</v>
      </c>
      <c r="BP452" t="s" s="0">
        <v>152</v>
      </c>
      <c r="BQ452" t="s" s="0">
        <v>10228</v>
      </c>
      <c r="BR452" t="s" s="0">
        <v>81</v>
      </c>
      <c r="BS452" t="s" s="0">
        <v>10229</v>
      </c>
      <c r="BT452" t="s" s="897">
        <f>HYPERLINK("https://www.webofscience.com/wos/woscc/full-record/WOS:001591617300001","View Record in Web of Science")</f>
        <v>114</v>
      </c>
      <c r="BU452" t="s" s="0">
        <v>81</v>
      </c>
      <c r="BV452" t="s" s="0">
        <v>81</v>
      </c>
      <c r="BW452" t="s" s="0">
        <v>81</v>
      </c>
      <c r="BX452" t="s" s="0">
        <v>116</v>
      </c>
    </row>
    <row r="453">
      <c r="A453" t="s" s="0">
        <v>77</v>
      </c>
      <c r="B453" t="s" s="0">
        <v>77</v>
      </c>
      <c r="C453" t="s" s="0">
        <v>77</v>
      </c>
      <c r="D453" t="s" s="0">
        <v>77</v>
      </c>
      <c r="E453" t="s" s="0">
        <v>10230</v>
      </c>
      <c r="F453" t="s" s="0">
        <v>10231</v>
      </c>
      <c r="G453" t="s" s="0">
        <v>10232</v>
      </c>
      <c r="H453" t="s" s="0">
        <v>81</v>
      </c>
      <c r="I453" t="s" s="0">
        <v>238</v>
      </c>
      <c r="J453" t="s" s="0">
        <v>10233</v>
      </c>
      <c r="K453" t="s" s="0">
        <v>10234</v>
      </c>
      <c r="L453" t="s" s="0">
        <v>81</v>
      </c>
      <c r="M453" t="s" s="0">
        <v>81</v>
      </c>
      <c r="N453" t="s" s="0">
        <v>81</v>
      </c>
      <c r="O453" t="s" s="0">
        <v>10235</v>
      </c>
      <c r="P453" t="s" s="0">
        <v>10236</v>
      </c>
      <c r="Q453" t="s" s="0">
        <v>87</v>
      </c>
      <c r="R453" t="s" s="0">
        <v>81</v>
      </c>
      <c r="S453" t="s" s="0">
        <v>81</v>
      </c>
      <c r="T453" t="s" s="0">
        <v>81</v>
      </c>
      <c r="U453" t="s" s="0">
        <v>81</v>
      </c>
      <c r="V453" t="s" s="0">
        <v>10237</v>
      </c>
      <c r="W453" t="s" s="0">
        <v>1416</v>
      </c>
      <c r="X453" t="s" s="0">
        <v>81</v>
      </c>
      <c r="Y453" t="s" s="0">
        <v>81</v>
      </c>
      <c r="Z453" t="s" s="0">
        <v>90</v>
      </c>
      <c r="AA453" t="s" s="0">
        <v>91</v>
      </c>
      <c r="AB453" t="s" s="0">
        <v>81</v>
      </c>
      <c r="AC453" t="s" s="0">
        <v>81</v>
      </c>
      <c r="AD453" t="s" s="0">
        <v>81</v>
      </c>
      <c r="AE453" t="s" s="0">
        <v>81</v>
      </c>
      <c r="AF453" t="s" s="0">
        <v>81</v>
      </c>
      <c r="AG453" t="s" s="0">
        <v>10238</v>
      </c>
      <c r="AH453" t="s" s="0">
        <v>81</v>
      </c>
      <c r="AI453" t="s" s="0">
        <v>81</v>
      </c>
      <c r="AJ453" t="s" s="0">
        <v>10239</v>
      </c>
      <c r="AK453" t="s" s="0">
        <v>81</v>
      </c>
      <c r="AL453" t="s" s="0">
        <v>228</v>
      </c>
      <c r="AM453" t="s" s="0">
        <v>77</v>
      </c>
      <c r="AN453" t="s" s="0">
        <v>77</v>
      </c>
      <c r="AO453" t="s" s="0">
        <v>156</v>
      </c>
      <c r="AP453" t="s" s="0">
        <v>156</v>
      </c>
      <c r="AQ453" t="s" s="0">
        <v>368</v>
      </c>
      <c r="AR453" t="s" s="0">
        <v>369</v>
      </c>
      <c r="AS453" t="s" s="0">
        <v>370</v>
      </c>
      <c r="AT453" t="s" s="0">
        <v>81</v>
      </c>
      <c r="AU453" t="s" s="0">
        <v>1421</v>
      </c>
      <c r="AV453" t="s" s="0">
        <v>81</v>
      </c>
      <c r="AW453" t="s" s="0">
        <v>1422</v>
      </c>
      <c r="AX453" t="s" s="0">
        <v>1423</v>
      </c>
      <c r="AY453" t="s" s="0">
        <v>10240</v>
      </c>
      <c r="AZ453" t="s" s="0">
        <v>103</v>
      </c>
      <c r="BA453" t="s" s="0">
        <v>234</v>
      </c>
      <c r="BB453" t="s" s="0">
        <v>81</v>
      </c>
      <c r="BC453" t="s" s="0">
        <v>81</v>
      </c>
      <c r="BD453" t="s" s="0">
        <v>81</v>
      </c>
      <c r="BE453" t="s" s="0">
        <v>81</v>
      </c>
      <c r="BF453" t="s" s="0">
        <v>81</v>
      </c>
      <c r="BG453" t="s" s="0">
        <v>81</v>
      </c>
      <c r="BH453" t="s" s="0">
        <v>81</v>
      </c>
      <c r="BI453" t="s" s="0">
        <v>10241</v>
      </c>
      <c r="BJ453" t="s" s="0">
        <v>10242</v>
      </c>
      <c r="BK453" t="s" s="898">
        <f>HYPERLINK("http://dx.doi.org/10.3389/fdgth.2025.1621271","http://dx.doi.org/10.3389/fdgth.2025.1621271")</f>
        <v>10243</v>
      </c>
      <c r="BL453" t="s" s="0">
        <v>81</v>
      </c>
      <c r="BM453" t="s" s="0">
        <v>81</v>
      </c>
      <c r="BN453" t="s" s="0">
        <v>191</v>
      </c>
      <c r="BO453" t="s" s="0">
        <v>792</v>
      </c>
      <c r="BP453" t="s" s="0">
        <v>792</v>
      </c>
      <c r="BQ453" t="s" s="0">
        <v>10244</v>
      </c>
      <c r="BR453" t="s" s="0">
        <v>10245</v>
      </c>
      <c r="BS453" t="s" s="0">
        <v>10246</v>
      </c>
      <c r="BT453" t="s" s="899">
        <f>HYPERLINK("https://www.webofscience.com/wos/woscc/full-record/WOS:001701945900001","View Record in Web of Science")</f>
        <v>114</v>
      </c>
      <c r="BU453" t="s" s="0">
        <v>301</v>
      </c>
      <c r="BV453" t="s" s="0">
        <v>81</v>
      </c>
      <c r="BW453" t="s" s="0">
        <v>81</v>
      </c>
      <c r="BX453" t="s" s="0">
        <v>116</v>
      </c>
    </row>
    <row r="454">
      <c r="A454" t="s" s="0">
        <v>77</v>
      </c>
      <c r="B454" t="s" s="0">
        <v>77</v>
      </c>
      <c r="C454" t="s" s="0">
        <v>77</v>
      </c>
      <c r="D454" t="s" s="0">
        <v>77</v>
      </c>
      <c r="E454" t="s" s="0">
        <v>10247</v>
      </c>
      <c r="F454" t="s" s="0">
        <v>10248</v>
      </c>
      <c r="G454" t="s" s="0">
        <v>10249</v>
      </c>
      <c r="H454" t="s" s="0">
        <v>81</v>
      </c>
      <c r="I454" t="s" s="0">
        <v>82</v>
      </c>
      <c r="J454" t="s" s="0">
        <v>10250</v>
      </c>
      <c r="K454" t="s" s="0">
        <v>10251</v>
      </c>
      <c r="L454" t="s" s="0">
        <v>81</v>
      </c>
      <c r="M454" t="s" s="0">
        <v>81</v>
      </c>
      <c r="N454" t="s" s="0">
        <v>81</v>
      </c>
      <c r="O454" t="s" s="0">
        <v>10252</v>
      </c>
      <c r="P454" t="s" s="0">
        <v>10253</v>
      </c>
      <c r="Q454" t="s" s="0">
        <v>87</v>
      </c>
      <c r="R454" t="s" s="0">
        <v>81</v>
      </c>
      <c r="S454" t="s" s="0">
        <v>81</v>
      </c>
      <c r="T454" t="s" s="0">
        <v>81</v>
      </c>
      <c r="U454" t="s" s="0">
        <v>81</v>
      </c>
      <c r="V454" t="s" s="0">
        <v>10254</v>
      </c>
      <c r="W454" t="s" s="0">
        <v>2070</v>
      </c>
      <c r="X454" t="s" s="0">
        <v>81</v>
      </c>
      <c r="Y454" t="s" s="0">
        <v>81</v>
      </c>
      <c r="Z454" t="s" s="0">
        <v>90</v>
      </c>
      <c r="AA454" t="s" s="0">
        <v>91</v>
      </c>
      <c r="AB454" t="s" s="0">
        <v>81</v>
      </c>
      <c r="AC454" t="s" s="0">
        <v>81</v>
      </c>
      <c r="AD454" t="s" s="0">
        <v>81</v>
      </c>
      <c r="AE454" t="s" s="0">
        <v>81</v>
      </c>
      <c r="AF454" t="s" s="0">
        <v>81</v>
      </c>
      <c r="AG454" t="s" s="0">
        <v>10255</v>
      </c>
      <c r="AH454" t="s" s="0">
        <v>81</v>
      </c>
      <c r="AI454" t="s" s="0">
        <v>10256</v>
      </c>
      <c r="AJ454" t="s" s="0">
        <v>81</v>
      </c>
      <c r="AK454" t="s" s="0">
        <v>81</v>
      </c>
      <c r="AL454" t="s" s="0">
        <v>1511</v>
      </c>
      <c r="AM454" t="s" s="0">
        <v>77</v>
      </c>
      <c r="AN454" t="s" s="0">
        <v>77</v>
      </c>
      <c r="AO454" t="s" s="0">
        <v>77</v>
      </c>
      <c r="AP454" t="s" s="0">
        <v>77</v>
      </c>
      <c r="AQ454" t="s" s="0">
        <v>177</v>
      </c>
      <c r="AR454" t="s" s="0">
        <v>178</v>
      </c>
      <c r="AS454" t="s" s="0">
        <v>179</v>
      </c>
      <c r="AT454" t="s" s="0">
        <v>2073</v>
      </c>
      <c r="AU454" t="s" s="0">
        <v>2074</v>
      </c>
      <c r="AV454" t="s" s="0">
        <v>81</v>
      </c>
      <c r="AW454" t="s" s="0">
        <v>2075</v>
      </c>
      <c r="AX454" t="s" s="0">
        <v>2076</v>
      </c>
      <c r="AY454" t="s" s="0">
        <v>10257</v>
      </c>
      <c r="AZ454" t="s" s="0">
        <v>103</v>
      </c>
      <c r="BA454" t="s" s="0">
        <v>4006</v>
      </c>
      <c r="BB454" t="s" s="0">
        <v>81</v>
      </c>
      <c r="BC454" t="s" s="0">
        <v>81</v>
      </c>
      <c r="BD454" t="s" s="0">
        <v>81</v>
      </c>
      <c r="BE454" t="s" s="0">
        <v>81</v>
      </c>
      <c r="BF454" t="s" s="0">
        <v>81</v>
      </c>
      <c r="BG454" t="s" s="0">
        <v>81</v>
      </c>
      <c r="BH454" t="s" s="0">
        <v>81</v>
      </c>
      <c r="BI454" t="s" s="0">
        <v>10258</v>
      </c>
      <c r="BJ454" t="s" s="0">
        <v>10259</v>
      </c>
      <c r="BK454" t="s" s="900">
        <f>HYPERLINK("http://dx.doi.org/10.1016/j.bspc.2026.110339","http://dx.doi.org/10.1016/j.bspc.2026.110339")</f>
        <v>10260</v>
      </c>
      <c r="BL454" t="s" s="0">
        <v>81</v>
      </c>
      <c r="BM454" t="s" s="0">
        <v>948</v>
      </c>
      <c r="BN454" t="s" s="0">
        <v>109</v>
      </c>
      <c r="BO454" t="s" s="0">
        <v>2082</v>
      </c>
      <c r="BP454" t="s" s="0">
        <v>1003</v>
      </c>
      <c r="BQ454" t="s" s="0">
        <v>10261</v>
      </c>
      <c r="BR454" t="s" s="0">
        <v>81</v>
      </c>
      <c r="BS454" t="s" s="0">
        <v>10262</v>
      </c>
      <c r="BT454" t="s" s="901">
        <f>HYPERLINK("https://www.webofscience.com/wos/woscc/full-record/WOS:001755221400001","View Record in Web of Science")</f>
        <v>114</v>
      </c>
      <c r="BU454" t="s" s="0">
        <v>155</v>
      </c>
      <c r="BV454" t="s" s="0">
        <v>81</v>
      </c>
      <c r="BW454" t="s" s="0">
        <v>81</v>
      </c>
      <c r="BX454" t="s" s="0">
        <v>116</v>
      </c>
    </row>
    <row r="455">
      <c r="A455" t="s" s="0">
        <v>77</v>
      </c>
      <c r="B455" t="s" s="0">
        <v>77</v>
      </c>
      <c r="C455" t="s" s="0">
        <v>77</v>
      </c>
      <c r="D455" t="s" s="0">
        <v>77</v>
      </c>
      <c r="E455" t="s" s="0">
        <v>10263</v>
      </c>
      <c r="F455" t="s" s="0">
        <v>10264</v>
      </c>
      <c r="G455" t="s" s="0">
        <v>10265</v>
      </c>
      <c r="H455" t="s" s="0">
        <v>81</v>
      </c>
      <c r="I455" t="s" s="0">
        <v>82</v>
      </c>
      <c r="J455" t="s" s="0">
        <v>10266</v>
      </c>
      <c r="K455" t="s" s="0">
        <v>10267</v>
      </c>
      <c r="L455" t="s" s="0">
        <v>81</v>
      </c>
      <c r="M455" t="s" s="0">
        <v>81</v>
      </c>
      <c r="N455" t="s" s="0">
        <v>81</v>
      </c>
      <c r="O455" t="s" s="0">
        <v>10268</v>
      </c>
      <c r="P455" t="s" s="0">
        <v>10269</v>
      </c>
      <c r="Q455" t="s" s="0">
        <v>87</v>
      </c>
      <c r="R455" t="s" s="0">
        <v>81</v>
      </c>
      <c r="S455" t="s" s="0">
        <v>81</v>
      </c>
      <c r="T455" t="s" s="0">
        <v>81</v>
      </c>
      <c r="U455" t="s" s="0">
        <v>81</v>
      </c>
      <c r="V455" t="s" s="0">
        <v>10270</v>
      </c>
      <c r="W455" t="s" s="0">
        <v>10271</v>
      </c>
      <c r="X455" t="s" s="0">
        <v>81</v>
      </c>
      <c r="Y455" t="s" s="0">
        <v>81</v>
      </c>
      <c r="Z455" t="s" s="0">
        <v>90</v>
      </c>
      <c r="AA455" t="s" s="0">
        <v>1581</v>
      </c>
      <c r="AB455" t="s" s="0">
        <v>81</v>
      </c>
      <c r="AC455" t="s" s="0">
        <v>81</v>
      </c>
      <c r="AD455" t="s" s="0">
        <v>81</v>
      </c>
      <c r="AE455" t="s" s="0">
        <v>81</v>
      </c>
      <c r="AF455" t="s" s="0">
        <v>81</v>
      </c>
      <c r="AG455" t="s" s="0">
        <v>10272</v>
      </c>
      <c r="AH455" t="s" s="0">
        <v>81</v>
      </c>
      <c r="AI455" t="s" s="0">
        <v>10273</v>
      </c>
      <c r="AJ455" t="s" s="0">
        <v>81</v>
      </c>
      <c r="AK455" t="s" s="0">
        <v>81</v>
      </c>
      <c r="AL455" t="s" s="0">
        <v>176</v>
      </c>
      <c r="AM455" t="s" s="0">
        <v>77</v>
      </c>
      <c r="AN455" t="s" s="0">
        <v>77</v>
      </c>
      <c r="AO455" t="s" s="0">
        <v>196</v>
      </c>
      <c r="AP455" t="s" s="0">
        <v>196</v>
      </c>
      <c r="AQ455" t="s" s="0">
        <v>6120</v>
      </c>
      <c r="AR455" t="s" s="0">
        <v>2571</v>
      </c>
      <c r="AS455" t="s" s="0">
        <v>6121</v>
      </c>
      <c r="AT455" t="s" s="0">
        <v>10274</v>
      </c>
      <c r="AU455" t="s" s="0">
        <v>10275</v>
      </c>
      <c r="AV455" t="s" s="0">
        <v>81</v>
      </c>
      <c r="AW455" t="s" s="0">
        <v>10276</v>
      </c>
      <c r="AX455" t="s" s="0">
        <v>10277</v>
      </c>
      <c r="AY455" t="s" s="0">
        <v>81</v>
      </c>
      <c r="AZ455" t="s" s="0">
        <v>103</v>
      </c>
      <c r="BA455" t="s" s="0">
        <v>81</v>
      </c>
      <c r="BB455" t="s" s="0">
        <v>81</v>
      </c>
      <c r="BC455" t="s" s="0">
        <v>81</v>
      </c>
      <c r="BD455" t="s" s="0">
        <v>81</v>
      </c>
      <c r="BE455" t="s" s="0">
        <v>81</v>
      </c>
      <c r="BF455" t="s" s="0">
        <v>81</v>
      </c>
      <c r="BG455" t="s" s="0">
        <v>81</v>
      </c>
      <c r="BH455" t="s" s="0">
        <v>81</v>
      </c>
      <c r="BI455" t="s" s="0">
        <v>81</v>
      </c>
      <c r="BJ455" t="s" s="0">
        <v>10278</v>
      </c>
      <c r="BK455" t="s" s="902">
        <f>HYPERLINK("http://dx.doi.org/10.1142/S0218213026400087","http://dx.doi.org/10.1142/S0218213026400087")</f>
        <v>10279</v>
      </c>
      <c r="BL455" t="s" s="0">
        <v>81</v>
      </c>
      <c r="BM455" t="s" s="0">
        <v>948</v>
      </c>
      <c r="BN455" t="s" s="0">
        <v>434</v>
      </c>
      <c r="BO455" t="s" s="0">
        <v>2009</v>
      </c>
      <c r="BP455" t="s" s="0">
        <v>152</v>
      </c>
      <c r="BQ455" t="s" s="0">
        <v>10280</v>
      </c>
      <c r="BR455" t="s" s="0">
        <v>81</v>
      </c>
      <c r="BS455" t="s" s="0">
        <v>10281</v>
      </c>
      <c r="BT455" t="s" s="903">
        <f>HYPERLINK("https://www.webofscience.com/wos/woscc/full-record/WOS:001743596200001","View Record in Web of Science")</f>
        <v>114</v>
      </c>
      <c r="BU455" t="s" s="0">
        <v>81</v>
      </c>
      <c r="BV455" t="s" s="0">
        <v>81</v>
      </c>
      <c r="BW455" t="s" s="0">
        <v>81</v>
      </c>
      <c r="BX455" t="s" s="0">
        <v>116</v>
      </c>
    </row>
    <row r="456">
      <c r="A456" t="s" s="0">
        <v>77</v>
      </c>
      <c r="B456" t="s" s="0">
        <v>77</v>
      </c>
      <c r="C456" t="s" s="0">
        <v>77</v>
      </c>
      <c r="D456" t="s" s="0">
        <v>77</v>
      </c>
      <c r="E456" t="s" s="0">
        <v>10282</v>
      </c>
      <c r="F456" t="s" s="0">
        <v>10283</v>
      </c>
      <c r="G456" t="s" s="0">
        <v>10284</v>
      </c>
      <c r="H456" t="s" s="0">
        <v>81</v>
      </c>
      <c r="I456" t="s" s="0">
        <v>82</v>
      </c>
      <c r="J456" t="s" s="0">
        <v>10285</v>
      </c>
      <c r="K456" t="s" s="0">
        <v>10286</v>
      </c>
      <c r="L456" t="s" s="0">
        <v>10287</v>
      </c>
      <c r="M456" t="s" s="0">
        <v>6285</v>
      </c>
      <c r="N456" t="s" s="0">
        <v>10288</v>
      </c>
      <c r="O456" t="s" s="0">
        <v>10289</v>
      </c>
      <c r="P456" t="s" s="0">
        <v>10290</v>
      </c>
      <c r="Q456" t="s" s="0">
        <v>87</v>
      </c>
      <c r="R456" t="s" s="0">
        <v>81</v>
      </c>
      <c r="S456" t="s" s="0">
        <v>81</v>
      </c>
      <c r="T456" t="s" s="0">
        <v>81</v>
      </c>
      <c r="U456" t="s" s="0">
        <v>81</v>
      </c>
      <c r="V456" t="s" s="0">
        <v>10291</v>
      </c>
      <c r="W456" t="s" s="0">
        <v>89</v>
      </c>
      <c r="X456" t="s" s="0">
        <v>81</v>
      </c>
      <c r="Y456" t="s" s="0">
        <v>81</v>
      </c>
      <c r="Z456" t="s" s="0">
        <v>90</v>
      </c>
      <c r="AA456" t="s" s="0">
        <v>91</v>
      </c>
      <c r="AB456" t="s" s="0">
        <v>81</v>
      </c>
      <c r="AC456" t="s" s="0">
        <v>81</v>
      </c>
      <c r="AD456" t="s" s="0">
        <v>81</v>
      </c>
      <c r="AE456" t="s" s="0">
        <v>81</v>
      </c>
      <c r="AF456" t="s" s="0">
        <v>81</v>
      </c>
      <c r="AG456" t="s" s="0">
        <v>10292</v>
      </c>
      <c r="AH456" t="s" s="0">
        <v>81</v>
      </c>
      <c r="AI456" t="s" s="0">
        <v>10293</v>
      </c>
      <c r="AJ456" t="s" s="0">
        <v>10294</v>
      </c>
      <c r="AK456" t="s" s="0">
        <v>81</v>
      </c>
      <c r="AL456" t="s" s="0">
        <v>176</v>
      </c>
      <c r="AM456" t="s" s="0">
        <v>77</v>
      </c>
      <c r="AN456" t="s" s="0">
        <v>77</v>
      </c>
      <c r="AO456" t="s" s="0">
        <v>97</v>
      </c>
      <c r="AP456" t="s" s="0">
        <v>97</v>
      </c>
      <c r="AQ456" t="s" s="0">
        <v>98</v>
      </c>
      <c r="AR456" t="s" s="0">
        <v>99</v>
      </c>
      <c r="AS456" t="s" s="0">
        <v>100</v>
      </c>
      <c r="AT456" t="s" s="0">
        <v>101</v>
      </c>
      <c r="AU456" t="s" s="0">
        <v>81</v>
      </c>
      <c r="AV456" t="s" s="0">
        <v>81</v>
      </c>
      <c r="AW456" t="s" s="0">
        <v>89</v>
      </c>
      <c r="AX456" t="s" s="0">
        <v>102</v>
      </c>
      <c r="AY456" t="s" s="0">
        <v>103</v>
      </c>
      <c r="AZ456" t="s" s="0">
        <v>103</v>
      </c>
      <c r="BA456" t="s" s="0">
        <v>104</v>
      </c>
      <c r="BB456" t="s" s="0">
        <v>81</v>
      </c>
      <c r="BC456" t="s" s="0">
        <v>81</v>
      </c>
      <c r="BD456" t="s" s="0">
        <v>81</v>
      </c>
      <c r="BE456" t="s" s="0">
        <v>81</v>
      </c>
      <c r="BF456" t="s" s="0">
        <v>81</v>
      </c>
      <c r="BG456" t="s" s="0">
        <v>10295</v>
      </c>
      <c r="BH456" t="s" s="0">
        <v>10296</v>
      </c>
      <c r="BI456" t="s" s="0">
        <v>81</v>
      </c>
      <c r="BJ456" t="s" s="0">
        <v>10297</v>
      </c>
      <c r="BK456" t="s" s="904">
        <f>HYPERLINK("http://dx.doi.org/10.1109/ACCESS.2026.3660305","http://dx.doi.org/10.1109/ACCESS.2026.3660305")</f>
        <v>10298</v>
      </c>
      <c r="BL456" t="s" s="0">
        <v>81</v>
      </c>
      <c r="BM456" t="s" s="0">
        <v>81</v>
      </c>
      <c r="BN456" t="s" s="0">
        <v>104</v>
      </c>
      <c r="BO456" t="s" s="0">
        <v>110</v>
      </c>
      <c r="BP456" t="s" s="0">
        <v>111</v>
      </c>
      <c r="BQ456" t="s" s="0">
        <v>10299</v>
      </c>
      <c r="BR456" t="s" s="0">
        <v>81</v>
      </c>
      <c r="BS456" t="s" s="0">
        <v>10300</v>
      </c>
      <c r="BT456" t="s" s="905">
        <f>HYPERLINK("https://www.webofscience.com/wos/woscc/full-record/WOS:001694521500026","View Record in Web of Science")</f>
        <v>114</v>
      </c>
      <c r="BU456" t="s" s="0">
        <v>115</v>
      </c>
      <c r="BV456" t="s" s="0">
        <v>81</v>
      </c>
      <c r="BW456" t="s" s="0">
        <v>81</v>
      </c>
      <c r="BX456" t="s" s="0">
        <v>116</v>
      </c>
    </row>
    <row r="457">
      <c r="A457" t="s" s="0">
        <v>77</v>
      </c>
      <c r="B457" t="s" s="0">
        <v>77</v>
      </c>
      <c r="C457" t="s" s="0">
        <v>97</v>
      </c>
      <c r="D457" t="s" s="0">
        <v>77</v>
      </c>
      <c r="E457" t="s" s="0">
        <v>10301</v>
      </c>
      <c r="F457" t="s" s="0">
        <v>10302</v>
      </c>
      <c r="G457" t="s" s="0">
        <v>10303</v>
      </c>
      <c r="H457" t="s" s="0">
        <v>81</v>
      </c>
      <c r="I457" t="s" s="0">
        <v>82</v>
      </c>
      <c r="J457" t="s" s="0">
        <v>10304</v>
      </c>
      <c r="K457" t="s" s="0">
        <v>10305</v>
      </c>
      <c r="L457" t="s" s="0">
        <v>10306</v>
      </c>
      <c r="M457" t="s" s="0">
        <v>5731</v>
      </c>
      <c r="N457" t="s" s="0">
        <v>10307</v>
      </c>
      <c r="O457" t="s" s="0">
        <v>10308</v>
      </c>
      <c r="P457" t="s" s="0">
        <v>10309</v>
      </c>
      <c r="Q457" t="s" s="0">
        <v>87</v>
      </c>
      <c r="R457" t="s" s="0">
        <v>81</v>
      </c>
      <c r="S457" t="s" s="0">
        <v>81</v>
      </c>
      <c r="T457" t="s" s="0">
        <v>81</v>
      </c>
      <c r="U457" t="s" s="0">
        <v>81</v>
      </c>
      <c r="V457" t="s" s="0">
        <v>10310</v>
      </c>
      <c r="W457" t="s" s="0">
        <v>89</v>
      </c>
      <c r="X457" t="s" s="0">
        <v>81</v>
      </c>
      <c r="Y457" t="s" s="0">
        <v>81</v>
      </c>
      <c r="Z457" t="s" s="0">
        <v>90</v>
      </c>
      <c r="AA457" t="s" s="0">
        <v>91</v>
      </c>
      <c r="AB457" t="s" s="0">
        <v>81</v>
      </c>
      <c r="AC457" t="s" s="0">
        <v>81</v>
      </c>
      <c r="AD457" t="s" s="0">
        <v>81</v>
      </c>
      <c r="AE457" t="s" s="0">
        <v>81</v>
      </c>
      <c r="AF457" t="s" s="0">
        <v>81</v>
      </c>
      <c r="AG457" t="s" s="0">
        <v>10311</v>
      </c>
      <c r="AH457" t="s" s="0">
        <v>81</v>
      </c>
      <c r="AI457" t="s" s="0">
        <v>10312</v>
      </c>
      <c r="AJ457" t="s" s="0">
        <v>10313</v>
      </c>
      <c r="AK457" t="s" s="0">
        <v>81</v>
      </c>
      <c r="AL457" t="s" s="0">
        <v>399</v>
      </c>
      <c r="AM457" t="s" s="0">
        <v>196</v>
      </c>
      <c r="AN457" t="s" s="0">
        <v>175</v>
      </c>
      <c r="AO457" t="s" s="0">
        <v>156</v>
      </c>
      <c r="AP457" t="s" s="0">
        <v>133</v>
      </c>
      <c r="AQ457" t="s" s="0">
        <v>98</v>
      </c>
      <c r="AR457" t="s" s="0">
        <v>99</v>
      </c>
      <c r="AS457" t="s" s="0">
        <v>100</v>
      </c>
      <c r="AT457" t="s" s="0">
        <v>101</v>
      </c>
      <c r="AU457" t="s" s="0">
        <v>81</v>
      </c>
      <c r="AV457" t="s" s="0">
        <v>81</v>
      </c>
      <c r="AW457" t="s" s="0">
        <v>89</v>
      </c>
      <c r="AX457" t="s" s="0">
        <v>102</v>
      </c>
      <c r="AY457" t="s" s="0">
        <v>290</v>
      </c>
      <c r="AZ457" t="s" s="0">
        <v>290</v>
      </c>
      <c r="BA457" t="s" s="0">
        <v>486</v>
      </c>
      <c r="BB457" t="s" s="0">
        <v>81</v>
      </c>
      <c r="BC457" t="s" s="0">
        <v>81</v>
      </c>
      <c r="BD457" t="s" s="0">
        <v>81</v>
      </c>
      <c r="BE457" t="s" s="0">
        <v>81</v>
      </c>
      <c r="BF457" t="s" s="0">
        <v>81</v>
      </c>
      <c r="BG457" t="s" s="0">
        <v>10314</v>
      </c>
      <c r="BH457" t="s" s="0">
        <v>10315</v>
      </c>
      <c r="BI457" t="s" s="0">
        <v>81</v>
      </c>
      <c r="BJ457" t="s" s="0">
        <v>10316</v>
      </c>
      <c r="BK457" t="s" s="906">
        <f>HYPERLINK("http://dx.doi.org/10.1109/ACCESS.2025.3588683","http://dx.doi.org/10.1109/ACCESS.2025.3588683")</f>
        <v>10317</v>
      </c>
      <c r="BL457" t="s" s="0">
        <v>81</v>
      </c>
      <c r="BM457" t="s" s="0">
        <v>81</v>
      </c>
      <c r="BN457" t="s" s="0">
        <v>295</v>
      </c>
      <c r="BO457" t="s" s="0">
        <v>110</v>
      </c>
      <c r="BP457" t="s" s="0">
        <v>111</v>
      </c>
      <c r="BQ457" t="s" s="0">
        <v>10318</v>
      </c>
      <c r="BR457" t="s" s="0">
        <v>81</v>
      </c>
      <c r="BS457" t="s" s="0">
        <v>10319</v>
      </c>
      <c r="BT457" t="s" s="907">
        <f>HYPERLINK("https://www.webofscience.com/wos/woscc/full-record/WOS:001549816000008","View Record in Web of Science")</f>
        <v>114</v>
      </c>
      <c r="BU457" t="s" s="0">
        <v>301</v>
      </c>
      <c r="BV457" t="s" s="0">
        <v>81</v>
      </c>
      <c r="BW457" t="s" s="0">
        <v>81</v>
      </c>
      <c r="BX457" t="s" s="0">
        <v>116</v>
      </c>
    </row>
    <row r="458">
      <c r="A458" t="s" s="0">
        <v>77</v>
      </c>
      <c r="B458" t="s" s="0">
        <v>77</v>
      </c>
      <c r="C458" t="s" s="0">
        <v>77</v>
      </c>
      <c r="D458" t="s" s="0">
        <v>77</v>
      </c>
      <c r="E458" t="s" s="0">
        <v>10320</v>
      </c>
      <c r="F458" t="s" s="0">
        <v>10321</v>
      </c>
      <c r="G458" t="s" s="0">
        <v>10322</v>
      </c>
      <c r="H458" t="s" s="0">
        <v>81</v>
      </c>
      <c r="I458" t="s" s="0">
        <v>82</v>
      </c>
      <c r="J458" t="s" s="0">
        <v>10323</v>
      </c>
      <c r="K458" t="s" s="0">
        <v>10324</v>
      </c>
      <c r="L458" t="s" s="0">
        <v>10325</v>
      </c>
      <c r="M458" t="s" s="0">
        <v>10326</v>
      </c>
      <c r="N458" t="s" s="0">
        <v>10327</v>
      </c>
      <c r="O458" t="s" s="0">
        <v>10328</v>
      </c>
      <c r="P458" t="s" s="0">
        <v>10329</v>
      </c>
      <c r="Q458" t="s" s="0">
        <v>87</v>
      </c>
      <c r="R458" t="s" s="0">
        <v>81</v>
      </c>
      <c r="S458" t="s" s="0">
        <v>81</v>
      </c>
      <c r="T458" t="s" s="0">
        <v>81</v>
      </c>
      <c r="U458" t="s" s="0">
        <v>81</v>
      </c>
      <c r="V458" t="s" s="0">
        <v>10330</v>
      </c>
      <c r="W458" t="s" s="0">
        <v>10331</v>
      </c>
      <c r="X458" t="s" s="0">
        <v>81</v>
      </c>
      <c r="Y458" t="s" s="0">
        <v>81</v>
      </c>
      <c r="Z458" t="s" s="0">
        <v>90</v>
      </c>
      <c r="AA458" t="s" s="0">
        <v>91</v>
      </c>
      <c r="AB458" t="s" s="0">
        <v>81</v>
      </c>
      <c r="AC458" t="s" s="0">
        <v>81</v>
      </c>
      <c r="AD458" t="s" s="0">
        <v>81</v>
      </c>
      <c r="AE458" t="s" s="0">
        <v>81</v>
      </c>
      <c r="AF458" t="s" s="0">
        <v>81</v>
      </c>
      <c r="AG458" t="s" s="0">
        <v>10332</v>
      </c>
      <c r="AH458" t="s" s="0">
        <v>10333</v>
      </c>
      <c r="AI458" t="s" s="0">
        <v>10334</v>
      </c>
      <c r="AJ458" t="s" s="0">
        <v>81</v>
      </c>
      <c r="AK458" t="s" s="0">
        <v>81</v>
      </c>
      <c r="AL458" t="s" s="0">
        <v>543</v>
      </c>
      <c r="AM458" t="s" s="0">
        <v>77</v>
      </c>
      <c r="AN458" t="s" s="0">
        <v>77</v>
      </c>
      <c r="AO458" t="s" s="0">
        <v>77</v>
      </c>
      <c r="AP458" t="s" s="0">
        <v>77</v>
      </c>
      <c r="AQ458" t="s" s="0">
        <v>212</v>
      </c>
      <c r="AR458" t="s" s="0">
        <v>429</v>
      </c>
      <c r="AS458" t="s" s="0">
        <v>784</v>
      </c>
      <c r="AT458" t="s" s="0">
        <v>10335</v>
      </c>
      <c r="AU458" t="s" s="0">
        <v>10336</v>
      </c>
      <c r="AV458" t="s" s="0">
        <v>81</v>
      </c>
      <c r="AW458" t="s" s="0">
        <v>10337</v>
      </c>
      <c r="AX458" t="s" s="0">
        <v>10338</v>
      </c>
      <c r="AY458" t="s" s="0">
        <v>10339</v>
      </c>
      <c r="AZ458" t="s" s="0">
        <v>103</v>
      </c>
      <c r="BA458" t="s" s="0">
        <v>756</v>
      </c>
      <c r="BB458" t="s" s="0">
        <v>261</v>
      </c>
      <c r="BC458" t="s" s="0">
        <v>81</v>
      </c>
      <c r="BD458" t="s" s="0">
        <v>81</v>
      </c>
      <c r="BE458" t="s" s="0">
        <v>81</v>
      </c>
      <c r="BF458" t="s" s="0">
        <v>81</v>
      </c>
      <c r="BG458" t="s" s="0">
        <v>81</v>
      </c>
      <c r="BH458" t="s" s="0">
        <v>81</v>
      </c>
      <c r="BI458" t="s" s="0">
        <v>10340</v>
      </c>
      <c r="BJ458" t="s" s="0">
        <v>10341</v>
      </c>
      <c r="BK458" t="s" s="908">
        <f>HYPERLINK("http://dx.doi.org/10.1007/s00371-026-04558-z","http://dx.doi.org/10.1007/s00371-026-04558-z")</f>
        <v>10342</v>
      </c>
      <c r="BL458" t="s" s="0">
        <v>81</v>
      </c>
      <c r="BM458" t="s" s="0">
        <v>849</v>
      </c>
      <c r="BN458" t="s" s="0">
        <v>434</v>
      </c>
      <c r="BO458" t="s" s="0">
        <v>7685</v>
      </c>
      <c r="BP458" t="s" s="0">
        <v>152</v>
      </c>
      <c r="BQ458" t="s" s="0">
        <v>10343</v>
      </c>
      <c r="BR458" t="s" s="0">
        <v>81</v>
      </c>
      <c r="BS458" t="s" s="0">
        <v>10344</v>
      </c>
      <c r="BT458" t="s" s="909">
        <f>HYPERLINK("https://www.webofscience.com/wos/woscc/full-record/WOS:001805813700003","View Record in Web of Science")</f>
        <v>114</v>
      </c>
      <c r="BU458" t="s" s="0">
        <v>1055</v>
      </c>
      <c r="BV458" t="s" s="0">
        <v>81</v>
      </c>
      <c r="BW458" t="s" s="0">
        <v>81</v>
      </c>
      <c r="BX458" t="s" s="0">
        <v>116</v>
      </c>
    </row>
    <row r="459">
      <c r="A459" t="s" s="0">
        <v>77</v>
      </c>
      <c r="B459" t="s" s="0">
        <v>77</v>
      </c>
      <c r="C459" t="s" s="0">
        <v>77</v>
      </c>
      <c r="D459" t="s" s="0">
        <v>77</v>
      </c>
      <c r="E459" t="s" s="0">
        <v>10345</v>
      </c>
      <c r="F459" t="s" s="0">
        <v>10346</v>
      </c>
      <c r="G459" t="s" s="0">
        <v>10347</v>
      </c>
      <c r="H459" t="s" s="0">
        <v>81</v>
      </c>
      <c r="I459" t="s" s="0">
        <v>82</v>
      </c>
      <c r="J459" t="s" s="0">
        <v>10348</v>
      </c>
      <c r="K459" t="s" s="0">
        <v>10349</v>
      </c>
      <c r="L459" t="s" s="0">
        <v>81</v>
      </c>
      <c r="M459" t="s" s="0">
        <v>81</v>
      </c>
      <c r="N459" t="s" s="0">
        <v>81</v>
      </c>
      <c r="O459" t="s" s="0">
        <v>10350</v>
      </c>
      <c r="P459" t="s" s="0">
        <v>10351</v>
      </c>
      <c r="Q459" t="s" s="0">
        <v>87</v>
      </c>
      <c r="R459" t="s" s="0">
        <v>81</v>
      </c>
      <c r="S459" t="s" s="0">
        <v>81</v>
      </c>
      <c r="T459" t="s" s="0">
        <v>81</v>
      </c>
      <c r="U459" t="s" s="0">
        <v>81</v>
      </c>
      <c r="V459" t="s" s="0">
        <v>10352</v>
      </c>
      <c r="W459" t="s" s="0">
        <v>2158</v>
      </c>
      <c r="X459" t="s" s="0">
        <v>81</v>
      </c>
      <c r="Y459" t="s" s="0">
        <v>81</v>
      </c>
      <c r="Z459" t="s" s="0">
        <v>90</v>
      </c>
      <c r="AA459" t="s" s="0">
        <v>91</v>
      </c>
      <c r="AB459" t="s" s="0">
        <v>81</v>
      </c>
      <c r="AC459" t="s" s="0">
        <v>81</v>
      </c>
      <c r="AD459" t="s" s="0">
        <v>81</v>
      </c>
      <c r="AE459" t="s" s="0">
        <v>81</v>
      </c>
      <c r="AF459" t="s" s="0">
        <v>81</v>
      </c>
      <c r="AG459" t="s" s="0">
        <v>10353</v>
      </c>
      <c r="AH459" t="s" s="0">
        <v>10354</v>
      </c>
      <c r="AI459" t="s" s="0">
        <v>10355</v>
      </c>
      <c r="AJ459" t="s" s="0">
        <v>81</v>
      </c>
      <c r="AK459" t="s" s="0">
        <v>81</v>
      </c>
      <c r="AL459" t="s" s="0">
        <v>672</v>
      </c>
      <c r="AM459" t="s" s="0">
        <v>77</v>
      </c>
      <c r="AN459" t="s" s="0">
        <v>77</v>
      </c>
      <c r="AO459" t="s" s="0">
        <v>77</v>
      </c>
      <c r="AP459" t="s" s="0">
        <v>77</v>
      </c>
      <c r="AQ459" t="s" s="0">
        <v>1344</v>
      </c>
      <c r="AR459" t="s" s="0">
        <v>1345</v>
      </c>
      <c r="AS459" t="s" s="0">
        <v>1346</v>
      </c>
      <c r="AT459" t="s" s="0">
        <v>2163</v>
      </c>
      <c r="AU459" t="s" s="0">
        <v>2164</v>
      </c>
      <c r="AV459" t="s" s="0">
        <v>81</v>
      </c>
      <c r="AW459" t="s" s="0">
        <v>2165</v>
      </c>
      <c r="AX459" t="s" s="0">
        <v>2166</v>
      </c>
      <c r="AY459" t="s" s="0">
        <v>7288</v>
      </c>
      <c r="AZ459" t="s" s="0">
        <v>103</v>
      </c>
      <c r="BA459" t="s" s="0">
        <v>10356</v>
      </c>
      <c r="BB459" t="s" s="0">
        <v>81</v>
      </c>
      <c r="BC459" t="s" s="0">
        <v>81</v>
      </c>
      <c r="BD459" t="s" s="0">
        <v>316</v>
      </c>
      <c r="BE459" t="s" s="0">
        <v>81</v>
      </c>
      <c r="BF459" t="s" s="0">
        <v>81</v>
      </c>
      <c r="BG459" t="s" s="0">
        <v>81</v>
      </c>
      <c r="BH459" t="s" s="0">
        <v>81</v>
      </c>
      <c r="BI459" t="s" s="0">
        <v>10357</v>
      </c>
      <c r="BJ459" t="s" s="0">
        <v>10358</v>
      </c>
      <c r="BK459" t="s" s="910">
        <f>HYPERLINK("http://dx.doi.org/10.1016/j.engappai.2026.115635","http://dx.doi.org/10.1016/j.engappai.2026.115635")</f>
        <v>10359</v>
      </c>
      <c r="BL459" t="s" s="0">
        <v>81</v>
      </c>
      <c r="BM459" t="s" s="0">
        <v>81</v>
      </c>
      <c r="BN459" t="s" s="0">
        <v>291</v>
      </c>
      <c r="BO459" t="s" s="0">
        <v>2172</v>
      </c>
      <c r="BP459" t="s" s="0">
        <v>2173</v>
      </c>
      <c r="BQ459" t="s" s="0">
        <v>10360</v>
      </c>
      <c r="BR459" t="s" s="0">
        <v>81</v>
      </c>
      <c r="BS459" t="s" s="0">
        <v>10361</v>
      </c>
      <c r="BT459" t="s" s="911">
        <f>HYPERLINK("https://www.webofscience.com/wos/woscc/full-record/WOS:001828864400001","View Record in Web of Science")</f>
        <v>114</v>
      </c>
      <c r="BU459" t="s" s="0">
        <v>81</v>
      </c>
      <c r="BV459" t="s" s="0">
        <v>81</v>
      </c>
      <c r="BW459" t="s" s="0">
        <v>81</v>
      </c>
      <c r="BX459" t="s" s="0">
        <v>116</v>
      </c>
    </row>
    <row r="460">
      <c r="A460" t="s" s="0">
        <v>77</v>
      </c>
      <c r="B460" t="s" s="0">
        <v>77</v>
      </c>
      <c r="C460" t="s" s="0">
        <v>97</v>
      </c>
      <c r="D460" t="s" s="0">
        <v>77</v>
      </c>
      <c r="E460" t="s" s="0">
        <v>10362</v>
      </c>
      <c r="F460" t="s" s="0">
        <v>10363</v>
      </c>
      <c r="G460" t="s" s="0">
        <v>10364</v>
      </c>
      <c r="H460" t="s" s="0">
        <v>81</v>
      </c>
      <c r="I460" t="s" s="0">
        <v>82</v>
      </c>
      <c r="J460" t="s" s="0">
        <v>10365</v>
      </c>
      <c r="K460" t="s" s="0">
        <v>10366</v>
      </c>
      <c r="L460" t="s" s="0">
        <v>81</v>
      </c>
      <c r="M460" t="s" s="0">
        <v>81</v>
      </c>
      <c r="N460" t="s" s="0">
        <v>81</v>
      </c>
      <c r="O460" t="s" s="0">
        <v>10367</v>
      </c>
      <c r="P460" t="s" s="0">
        <v>10368</v>
      </c>
      <c r="Q460" t="s" s="0">
        <v>87</v>
      </c>
      <c r="R460" t="s" s="0">
        <v>81</v>
      </c>
      <c r="S460" t="s" s="0">
        <v>81</v>
      </c>
      <c r="T460" t="s" s="0">
        <v>81</v>
      </c>
      <c r="U460" t="s" s="0">
        <v>81</v>
      </c>
      <c r="V460" t="s" s="0">
        <v>10369</v>
      </c>
      <c r="W460" t="s" s="0">
        <v>10370</v>
      </c>
      <c r="X460" t="s" s="0">
        <v>81</v>
      </c>
      <c r="Y460" t="s" s="0">
        <v>81</v>
      </c>
      <c r="Z460" t="s" s="0">
        <v>90</v>
      </c>
      <c r="AA460" t="s" s="0">
        <v>91</v>
      </c>
      <c r="AB460" t="s" s="0">
        <v>81</v>
      </c>
      <c r="AC460" t="s" s="0">
        <v>81</v>
      </c>
      <c r="AD460" t="s" s="0">
        <v>81</v>
      </c>
      <c r="AE460" t="s" s="0">
        <v>81</v>
      </c>
      <c r="AF460" t="s" s="0">
        <v>81</v>
      </c>
      <c r="AG460" t="s" s="0">
        <v>10371</v>
      </c>
      <c r="AH460" t="s" s="0">
        <v>81</v>
      </c>
      <c r="AI460" t="s" s="0">
        <v>10372</v>
      </c>
      <c r="AJ460" t="s" s="0">
        <v>10373</v>
      </c>
      <c r="AK460" t="s" s="0">
        <v>81</v>
      </c>
      <c r="AL460" t="s" s="0">
        <v>696</v>
      </c>
      <c r="AM460" t="s" s="0">
        <v>134</v>
      </c>
      <c r="AN460" t="s" s="0">
        <v>134</v>
      </c>
      <c r="AO460" t="s" s="0">
        <v>77</v>
      </c>
      <c r="AP460" t="s" s="0">
        <v>486</v>
      </c>
      <c r="AQ460" t="s" s="0">
        <v>136</v>
      </c>
      <c r="AR460" t="s" s="0">
        <v>137</v>
      </c>
      <c r="AS460" t="s" s="0">
        <v>138</v>
      </c>
      <c r="AT460" t="s" s="0">
        <v>10374</v>
      </c>
      <c r="AU460" t="s" s="0">
        <v>10375</v>
      </c>
      <c r="AV460" t="s" s="0">
        <v>81</v>
      </c>
      <c r="AW460" t="s" s="0">
        <v>10370</v>
      </c>
      <c r="AX460" t="s" s="0">
        <v>10376</v>
      </c>
      <c r="AY460" t="s" s="0">
        <v>1183</v>
      </c>
      <c r="AZ460" t="s" s="0">
        <v>185</v>
      </c>
      <c r="BA460" t="s" s="0">
        <v>782</v>
      </c>
      <c r="BB460" t="s" s="0">
        <v>81</v>
      </c>
      <c r="BC460" t="s" s="0">
        <v>81</v>
      </c>
      <c r="BD460" t="s" s="0">
        <v>81</v>
      </c>
      <c r="BE460" t="s" s="0">
        <v>81</v>
      </c>
      <c r="BF460" t="s" s="0">
        <v>81</v>
      </c>
      <c r="BG460" t="s" s="0">
        <v>81</v>
      </c>
      <c r="BH460" t="s" s="0">
        <v>81</v>
      </c>
      <c r="BI460" t="s" s="0">
        <v>10377</v>
      </c>
      <c r="BJ460" t="s" s="0">
        <v>10378</v>
      </c>
      <c r="BK460" t="s" s="912">
        <f>HYPERLINK("http://dx.doi.org/10.1016/j.displa.2024.102874","http://dx.doi.org/10.1016/j.displa.2024.102874")</f>
        <v>10379</v>
      </c>
      <c r="BL460" t="s" s="0">
        <v>81</v>
      </c>
      <c r="BM460" t="s" s="0">
        <v>2427</v>
      </c>
      <c r="BN460" t="s" s="0">
        <v>134</v>
      </c>
      <c r="BO460" t="s" s="0">
        <v>10380</v>
      </c>
      <c r="BP460" t="s" s="0">
        <v>10381</v>
      </c>
      <c r="BQ460" t="s" s="0">
        <v>10382</v>
      </c>
      <c r="BR460" t="s" s="0">
        <v>81</v>
      </c>
      <c r="BS460" t="s" s="0">
        <v>10383</v>
      </c>
      <c r="BT460" t="s" s="913">
        <f>HYPERLINK("https://www.webofscience.com/wos/woscc/full-record/WOS:001355500800001","View Record in Web of Science")</f>
        <v>114</v>
      </c>
      <c r="BU460" t="s" s="0">
        <v>81</v>
      </c>
      <c r="BV460" t="s" s="0">
        <v>81</v>
      </c>
      <c r="BW460" t="s" s="0">
        <v>81</v>
      </c>
      <c r="BX460" t="s" s="0">
        <v>116</v>
      </c>
    </row>
    <row r="461">
      <c r="A461" t="s" s="0">
        <v>77</v>
      </c>
      <c r="B461" t="s" s="0">
        <v>77</v>
      </c>
      <c r="C461" t="s" s="0">
        <v>156</v>
      </c>
      <c r="D461" t="s" s="0">
        <v>77</v>
      </c>
      <c r="E461" t="s" s="0">
        <v>10384</v>
      </c>
      <c r="F461" t="s" s="0">
        <v>10385</v>
      </c>
      <c r="G461" t="s" s="0">
        <v>10386</v>
      </c>
      <c r="H461" t="s" s="0">
        <v>81</v>
      </c>
      <c r="I461" t="s" s="0">
        <v>82</v>
      </c>
      <c r="J461" t="s" s="0">
        <v>10387</v>
      </c>
      <c r="K461" t="s" s="0">
        <v>10388</v>
      </c>
      <c r="L461" t="s" s="0">
        <v>81</v>
      </c>
      <c r="M461" t="s" s="0">
        <v>81</v>
      </c>
      <c r="N461" t="s" s="0">
        <v>81</v>
      </c>
      <c r="O461" t="s" s="0">
        <v>10389</v>
      </c>
      <c r="P461" t="s" s="0">
        <v>10390</v>
      </c>
      <c r="Q461" t="s" s="0">
        <v>87</v>
      </c>
      <c r="R461" t="s" s="0">
        <v>81</v>
      </c>
      <c r="S461" t="s" s="0">
        <v>81</v>
      </c>
      <c r="T461" t="s" s="0">
        <v>81</v>
      </c>
      <c r="U461" t="s" s="0">
        <v>81</v>
      </c>
      <c r="V461" t="s" s="0">
        <v>10391</v>
      </c>
      <c r="W461" t="s" s="0">
        <v>89</v>
      </c>
      <c r="X461" t="s" s="0">
        <v>81</v>
      </c>
      <c r="Y461" t="s" s="0">
        <v>81</v>
      </c>
      <c r="Z461" t="s" s="0">
        <v>90</v>
      </c>
      <c r="AA461" t="s" s="0">
        <v>91</v>
      </c>
      <c r="AB461" t="s" s="0">
        <v>81</v>
      </c>
      <c r="AC461" t="s" s="0">
        <v>81</v>
      </c>
      <c r="AD461" t="s" s="0">
        <v>81</v>
      </c>
      <c r="AE461" t="s" s="0">
        <v>81</v>
      </c>
      <c r="AF461" t="s" s="0">
        <v>81</v>
      </c>
      <c r="AG461" t="s" s="0">
        <v>10392</v>
      </c>
      <c r="AH461" t="s" s="0">
        <v>10393</v>
      </c>
      <c r="AI461" t="s" s="0">
        <v>81</v>
      </c>
      <c r="AJ461" t="s" s="0">
        <v>10394</v>
      </c>
      <c r="AK461" t="s" s="0">
        <v>81</v>
      </c>
      <c r="AL461" t="s" s="0">
        <v>914</v>
      </c>
      <c r="AM461" t="s" s="0">
        <v>211</v>
      </c>
      <c r="AN461" t="s" s="0">
        <v>211</v>
      </c>
      <c r="AO461" t="s" s="0">
        <v>156</v>
      </c>
      <c r="AP461" t="s" s="0">
        <v>211</v>
      </c>
      <c r="AQ461" t="s" s="0">
        <v>98</v>
      </c>
      <c r="AR461" t="s" s="0">
        <v>99</v>
      </c>
      <c r="AS461" t="s" s="0">
        <v>100</v>
      </c>
      <c r="AT461" t="s" s="0">
        <v>101</v>
      </c>
      <c r="AU461" t="s" s="0">
        <v>81</v>
      </c>
      <c r="AV461" t="s" s="0">
        <v>81</v>
      </c>
      <c r="AW461" t="s" s="0">
        <v>89</v>
      </c>
      <c r="AX461" t="s" s="0">
        <v>102</v>
      </c>
      <c r="AY461" t="s" s="0">
        <v>290</v>
      </c>
      <c r="AZ461" t="s" s="0">
        <v>290</v>
      </c>
      <c r="BA461" t="s" s="0">
        <v>486</v>
      </c>
      <c r="BB461" t="s" s="0">
        <v>81</v>
      </c>
      <c r="BC461" t="s" s="0">
        <v>81</v>
      </c>
      <c r="BD461" t="s" s="0">
        <v>81</v>
      </c>
      <c r="BE461" t="s" s="0">
        <v>81</v>
      </c>
      <c r="BF461" t="s" s="0">
        <v>81</v>
      </c>
      <c r="BG461" t="s" s="0">
        <v>10395</v>
      </c>
      <c r="BH461" t="s" s="0">
        <v>10396</v>
      </c>
      <c r="BI461" t="s" s="0">
        <v>81</v>
      </c>
      <c r="BJ461" t="s" s="0">
        <v>10397</v>
      </c>
      <c r="BK461" t="s" s="914">
        <f>HYPERLINK("http://dx.doi.org/10.1109/ACCESS.2025.3535692","http://dx.doi.org/10.1109/ACCESS.2025.3535692")</f>
        <v>10398</v>
      </c>
      <c r="BL461" t="s" s="0">
        <v>81</v>
      </c>
      <c r="BM461" t="s" s="0">
        <v>81</v>
      </c>
      <c r="BN461" t="s" s="0">
        <v>485</v>
      </c>
      <c r="BO461" t="s" s="0">
        <v>110</v>
      </c>
      <c r="BP461" t="s" s="0">
        <v>111</v>
      </c>
      <c r="BQ461" t="s" s="0">
        <v>10399</v>
      </c>
      <c r="BR461" t="s" s="0">
        <v>81</v>
      </c>
      <c r="BS461" t="s" s="0">
        <v>10400</v>
      </c>
      <c r="BT461" t="s" s="915">
        <f>HYPERLINK("https://www.webofscience.com/wos/woscc/full-record/WOS:001420293500037","View Record in Web of Science")</f>
        <v>114</v>
      </c>
      <c r="BU461" t="s" s="0">
        <v>301</v>
      </c>
      <c r="BV461" t="s" s="0">
        <v>81</v>
      </c>
      <c r="BW461" t="s" s="0">
        <v>81</v>
      </c>
      <c r="BX461" t="s" s="0">
        <v>116</v>
      </c>
    </row>
    <row r="462">
      <c r="A462" t="s" s="0">
        <v>77</v>
      </c>
      <c r="B462" t="s" s="0">
        <v>77</v>
      </c>
      <c r="C462" t="s" s="0">
        <v>77</v>
      </c>
      <c r="D462" t="s" s="0">
        <v>77</v>
      </c>
      <c r="E462" t="s" s="0">
        <v>10401</v>
      </c>
      <c r="F462" t="s" s="0">
        <v>10402</v>
      </c>
      <c r="G462" t="s" s="0">
        <v>10403</v>
      </c>
      <c r="H462" t="s" s="0">
        <v>81</v>
      </c>
      <c r="I462" t="s" s="0">
        <v>82</v>
      </c>
      <c r="J462" t="s" s="0">
        <v>10404</v>
      </c>
      <c r="K462" t="s" s="0">
        <v>10405</v>
      </c>
      <c r="L462" t="s" s="0">
        <v>10406</v>
      </c>
      <c r="M462" t="s" s="0">
        <v>10407</v>
      </c>
      <c r="N462" t="s" s="0">
        <v>10408</v>
      </c>
      <c r="O462" t="s" s="0">
        <v>10409</v>
      </c>
      <c r="P462" t="s" s="0">
        <v>10410</v>
      </c>
      <c r="Q462" t="s" s="0">
        <v>87</v>
      </c>
      <c r="R462" t="s" s="0">
        <v>81</v>
      </c>
      <c r="S462" t="s" s="0">
        <v>81</v>
      </c>
      <c r="T462" t="s" s="0">
        <v>81</v>
      </c>
      <c r="U462" t="s" s="0">
        <v>81</v>
      </c>
      <c r="V462" t="s" s="0">
        <v>10411</v>
      </c>
      <c r="W462" t="s" s="0">
        <v>10412</v>
      </c>
      <c r="X462" t="s" s="0">
        <v>81</v>
      </c>
      <c r="Y462" t="s" s="0">
        <v>81</v>
      </c>
      <c r="Z462" t="s" s="0">
        <v>90</v>
      </c>
      <c r="AA462" t="s" s="0">
        <v>91</v>
      </c>
      <c r="AB462" t="s" s="0">
        <v>81</v>
      </c>
      <c r="AC462" t="s" s="0">
        <v>81</v>
      </c>
      <c r="AD462" t="s" s="0">
        <v>81</v>
      </c>
      <c r="AE462" t="s" s="0">
        <v>81</v>
      </c>
      <c r="AF462" t="s" s="0">
        <v>81</v>
      </c>
      <c r="AG462" t="s" s="0">
        <v>10413</v>
      </c>
      <c r="AH462" t="s" s="0">
        <v>10414</v>
      </c>
      <c r="AI462" t="s" s="0">
        <v>10415</v>
      </c>
      <c r="AJ462" t="s" s="0">
        <v>81</v>
      </c>
      <c r="AK462" t="s" s="0">
        <v>81</v>
      </c>
      <c r="AL462" t="s" s="0">
        <v>1785</v>
      </c>
      <c r="AM462" t="s" s="0">
        <v>77</v>
      </c>
      <c r="AN462" t="s" s="0">
        <v>77</v>
      </c>
      <c r="AO462" t="s" s="0">
        <v>77</v>
      </c>
      <c r="AP462" t="s" s="0">
        <v>77</v>
      </c>
      <c r="AQ462" t="s" s="0">
        <v>368</v>
      </c>
      <c r="AR462" t="s" s="0">
        <v>369</v>
      </c>
      <c r="AS462" t="s" s="0">
        <v>370</v>
      </c>
      <c r="AT462" t="s" s="0">
        <v>10416</v>
      </c>
      <c r="AU462" t="s" s="0">
        <v>81</v>
      </c>
      <c r="AV462" t="s" s="0">
        <v>81</v>
      </c>
      <c r="AW462" t="s" s="0">
        <v>10417</v>
      </c>
      <c r="AX462" t="s" s="0">
        <v>10418</v>
      </c>
      <c r="AY462" t="s" s="0">
        <v>10419</v>
      </c>
      <c r="AZ462" t="s" s="0">
        <v>103</v>
      </c>
      <c r="BA462" t="s" s="0">
        <v>925</v>
      </c>
      <c r="BB462" t="s" s="0">
        <v>81</v>
      </c>
      <c r="BC462" t="s" s="0">
        <v>81</v>
      </c>
      <c r="BD462" t="s" s="0">
        <v>81</v>
      </c>
      <c r="BE462" t="s" s="0">
        <v>81</v>
      </c>
      <c r="BF462" t="s" s="0">
        <v>81</v>
      </c>
      <c r="BG462" t="s" s="0">
        <v>81</v>
      </c>
      <c r="BH462" t="s" s="0">
        <v>81</v>
      </c>
      <c r="BI462" t="s" s="0">
        <v>10420</v>
      </c>
      <c r="BJ462" t="s" s="0">
        <v>10421</v>
      </c>
      <c r="BK462" t="s" s="916">
        <f>HYPERLINK("http://dx.doi.org/10.3389/fonc.2026.1836325","http://dx.doi.org/10.3389/fonc.2026.1836325")</f>
        <v>10422</v>
      </c>
      <c r="BL462" t="s" s="0">
        <v>81</v>
      </c>
      <c r="BM462" t="s" s="0">
        <v>849</v>
      </c>
      <c r="BN462" t="s" s="0">
        <v>295</v>
      </c>
      <c r="BO462" t="s" s="0">
        <v>1380</v>
      </c>
      <c r="BP462" t="s" s="0">
        <v>1380</v>
      </c>
      <c r="BQ462" t="s" s="0">
        <v>10423</v>
      </c>
      <c r="BR462" t="s" s="0">
        <v>10424</v>
      </c>
      <c r="BS462" t="s" s="0">
        <v>10425</v>
      </c>
      <c r="BT462" t="s" s="917">
        <f>HYPERLINK("https://www.webofscience.com/wos/woscc/full-record/WOS:001794192300001","View Record in Web of Science")</f>
        <v>114</v>
      </c>
      <c r="BU462" t="s" s="0">
        <v>301</v>
      </c>
      <c r="BV462" t="s" s="0">
        <v>81</v>
      </c>
      <c r="BW462" t="s" s="0">
        <v>81</v>
      </c>
      <c r="BX462" t="s" s="0">
        <v>116</v>
      </c>
    </row>
    <row r="463">
      <c r="A463" t="s" s="0">
        <v>77</v>
      </c>
      <c r="B463" t="s" s="0">
        <v>77</v>
      </c>
      <c r="C463" t="s" s="0">
        <v>77</v>
      </c>
      <c r="D463" t="s" s="0">
        <v>77</v>
      </c>
      <c r="E463" t="s" s="0">
        <v>10426</v>
      </c>
      <c r="F463" t="s" s="0">
        <v>10427</v>
      </c>
      <c r="G463" t="s" s="0">
        <v>10428</v>
      </c>
      <c r="H463" t="s" s="0">
        <v>81</v>
      </c>
      <c r="I463" t="s" s="0">
        <v>82</v>
      </c>
      <c r="J463" t="s" s="0">
        <v>10429</v>
      </c>
      <c r="K463" t="s" s="0">
        <v>10430</v>
      </c>
      <c r="L463" t="s" s="0">
        <v>81</v>
      </c>
      <c r="M463" t="s" s="0">
        <v>81</v>
      </c>
      <c r="N463" t="s" s="0">
        <v>81</v>
      </c>
      <c r="O463" t="s" s="0">
        <v>10431</v>
      </c>
      <c r="P463" t="s" s="0">
        <v>10432</v>
      </c>
      <c r="Q463" t="s" s="0">
        <v>87</v>
      </c>
      <c r="R463" t="s" s="0">
        <v>81</v>
      </c>
      <c r="S463" t="s" s="0">
        <v>81</v>
      </c>
      <c r="T463" t="s" s="0">
        <v>81</v>
      </c>
      <c r="U463" t="s" s="0">
        <v>81</v>
      </c>
      <c r="V463" t="s" s="0">
        <v>10433</v>
      </c>
      <c r="W463" t="s" s="0">
        <v>10434</v>
      </c>
      <c r="X463" t="s" s="0">
        <v>81</v>
      </c>
      <c r="Y463" t="s" s="0">
        <v>81</v>
      </c>
      <c r="Z463" t="s" s="0">
        <v>90</v>
      </c>
      <c r="AA463" t="s" s="0">
        <v>91</v>
      </c>
      <c r="AB463" t="s" s="0">
        <v>81</v>
      </c>
      <c r="AC463" t="s" s="0">
        <v>81</v>
      </c>
      <c r="AD463" t="s" s="0">
        <v>81</v>
      </c>
      <c r="AE463" t="s" s="0">
        <v>81</v>
      </c>
      <c r="AF463" t="s" s="0">
        <v>81</v>
      </c>
      <c r="AG463" t="s" s="0">
        <v>10435</v>
      </c>
      <c r="AH463" t="s" s="0">
        <v>81</v>
      </c>
      <c r="AI463" t="s" s="0">
        <v>81</v>
      </c>
      <c r="AJ463" t="s" s="0">
        <v>10436</v>
      </c>
      <c r="AK463" t="s" s="0">
        <v>81</v>
      </c>
      <c r="AL463" t="s" s="0">
        <v>367</v>
      </c>
      <c r="AM463" t="s" s="0">
        <v>156</v>
      </c>
      <c r="AN463" t="s" s="0">
        <v>156</v>
      </c>
      <c r="AO463" t="s" s="0">
        <v>77</v>
      </c>
      <c r="AP463" t="s" s="0">
        <v>77</v>
      </c>
      <c r="AQ463" t="s" s="0">
        <v>212</v>
      </c>
      <c r="AR463" t="s" s="0">
        <v>429</v>
      </c>
      <c r="AS463" t="s" s="0">
        <v>784</v>
      </c>
      <c r="AT463" t="s" s="0">
        <v>10437</v>
      </c>
      <c r="AU463" t="s" s="0">
        <v>10438</v>
      </c>
      <c r="AV463" t="s" s="0">
        <v>81</v>
      </c>
      <c r="AW463" t="s" s="0">
        <v>10439</v>
      </c>
      <c r="AX463" t="s" s="0">
        <v>10440</v>
      </c>
      <c r="AY463" t="s" s="0">
        <v>948</v>
      </c>
      <c r="AZ463" t="s" s="0">
        <v>103</v>
      </c>
      <c r="BA463" t="s" s="0">
        <v>756</v>
      </c>
      <c r="BB463" t="s" s="0">
        <v>156</v>
      </c>
      <c r="BC463" t="s" s="0">
        <v>81</v>
      </c>
      <c r="BD463" t="s" s="0">
        <v>81</v>
      </c>
      <c r="BE463" t="s" s="0">
        <v>81</v>
      </c>
      <c r="BF463" t="s" s="0">
        <v>81</v>
      </c>
      <c r="BG463" t="s" s="0">
        <v>10441</v>
      </c>
      <c r="BH463" t="s" s="0">
        <v>10442</v>
      </c>
      <c r="BI463" t="s" s="0">
        <v>81</v>
      </c>
      <c r="BJ463" t="s" s="0">
        <v>10443</v>
      </c>
      <c r="BK463" t="s" s="918">
        <f>HYPERLINK("http://dx.doi.org/10.1007/s11282-025-00871-w","http://dx.doi.org/10.1007/s11282-025-00871-w")</f>
        <v>10444</v>
      </c>
      <c r="BL463" t="s" s="0">
        <v>81</v>
      </c>
      <c r="BM463" t="s" s="0">
        <v>149</v>
      </c>
      <c r="BN463" t="s" s="0">
        <v>175</v>
      </c>
      <c r="BO463" t="s" s="0">
        <v>5166</v>
      </c>
      <c r="BP463" t="s" s="0">
        <v>5166</v>
      </c>
      <c r="BQ463" t="s" s="0">
        <v>10445</v>
      </c>
      <c r="BR463" t="s" s="0">
        <v>10446</v>
      </c>
      <c r="BS463" t="s" s="0">
        <v>10447</v>
      </c>
      <c r="BT463" t="s" s="919">
        <f>HYPERLINK("https://www.webofscience.com/wos/woscc/full-record/WOS:001595633700001","View Record in Web of Science")</f>
        <v>114</v>
      </c>
      <c r="BU463" t="s" s="0">
        <v>81</v>
      </c>
      <c r="BV463" t="s" s="0">
        <v>81</v>
      </c>
      <c r="BW463" t="s" s="0">
        <v>81</v>
      </c>
      <c r="BX463" t="s" s="0">
        <v>116</v>
      </c>
    </row>
    <row r="464">
      <c r="A464" t="s" s="0">
        <v>77</v>
      </c>
      <c r="B464" t="s" s="0">
        <v>77</v>
      </c>
      <c r="C464" t="s" s="0">
        <v>97</v>
      </c>
      <c r="D464" t="s" s="0">
        <v>77</v>
      </c>
      <c r="E464" t="s" s="0">
        <v>10448</v>
      </c>
      <c r="F464" t="s" s="0">
        <v>10449</v>
      </c>
      <c r="G464" t="s" s="0">
        <v>10450</v>
      </c>
      <c r="H464" t="s" s="0">
        <v>81</v>
      </c>
      <c r="I464" t="s" s="0">
        <v>82</v>
      </c>
      <c r="J464" t="s" s="0">
        <v>10451</v>
      </c>
      <c r="K464" t="s" s="0">
        <v>10452</v>
      </c>
      <c r="L464" t="s" s="0">
        <v>10453</v>
      </c>
      <c r="M464" t="s" s="0">
        <v>10454</v>
      </c>
      <c r="N464" t="s" s="0">
        <v>10455</v>
      </c>
      <c r="O464" t="s" s="0">
        <v>10456</v>
      </c>
      <c r="P464" t="s" s="0">
        <v>10457</v>
      </c>
      <c r="Q464" t="s" s="0">
        <v>87</v>
      </c>
      <c r="R464" t="s" s="0">
        <v>81</v>
      </c>
      <c r="S464" t="s" s="0">
        <v>81</v>
      </c>
      <c r="T464" t="s" s="0">
        <v>81</v>
      </c>
      <c r="U464" t="s" s="0">
        <v>81</v>
      </c>
      <c r="V464" t="s" s="0">
        <v>10458</v>
      </c>
      <c r="W464" t="s" s="0">
        <v>2797</v>
      </c>
      <c r="X464" t="s" s="0">
        <v>81</v>
      </c>
      <c r="Y464" t="s" s="0">
        <v>81</v>
      </c>
      <c r="Z464" t="s" s="0">
        <v>90</v>
      </c>
      <c r="AA464" t="s" s="0">
        <v>91</v>
      </c>
      <c r="AB464" t="s" s="0">
        <v>81</v>
      </c>
      <c r="AC464" t="s" s="0">
        <v>81</v>
      </c>
      <c r="AD464" t="s" s="0">
        <v>81</v>
      </c>
      <c r="AE464" t="s" s="0">
        <v>81</v>
      </c>
      <c r="AF464" t="s" s="0">
        <v>81</v>
      </c>
      <c r="AG464" t="s" s="0">
        <v>10459</v>
      </c>
      <c r="AH464" t="s" s="0">
        <v>10460</v>
      </c>
      <c r="AI464" t="s" s="0">
        <v>10461</v>
      </c>
      <c r="AJ464" t="s" s="0">
        <v>10462</v>
      </c>
      <c r="AK464" t="s" s="0">
        <v>81</v>
      </c>
      <c r="AL464" t="s" s="0">
        <v>1684</v>
      </c>
      <c r="AM464" t="s" s="0">
        <v>134</v>
      </c>
      <c r="AN464" t="s" s="0">
        <v>104</v>
      </c>
      <c r="AO464" t="s" s="0">
        <v>77</v>
      </c>
      <c r="AP464" t="s" s="0">
        <v>234</v>
      </c>
      <c r="AQ464" t="s" s="0">
        <v>284</v>
      </c>
      <c r="AR464" t="s" s="0">
        <v>285</v>
      </c>
      <c r="AS464" t="s" s="0">
        <v>286</v>
      </c>
      <c r="AT464" t="s" s="0">
        <v>81</v>
      </c>
      <c r="AU464" t="s" s="0">
        <v>2801</v>
      </c>
      <c r="AV464" t="s" s="0">
        <v>81</v>
      </c>
      <c r="AW464" t="s" s="0">
        <v>2802</v>
      </c>
      <c r="AX464" t="s" s="0">
        <v>2803</v>
      </c>
      <c r="AY464" t="s" s="0">
        <v>5575</v>
      </c>
      <c r="AZ464" t="s" s="0">
        <v>220</v>
      </c>
      <c r="BA464" t="s" s="0">
        <v>134</v>
      </c>
      <c r="BB464" t="s" s="0">
        <v>222</v>
      </c>
      <c r="BC464" t="s" s="0">
        <v>81</v>
      </c>
      <c r="BD464" t="s" s="0">
        <v>81</v>
      </c>
      <c r="BE464" t="s" s="0">
        <v>81</v>
      </c>
      <c r="BF464" t="s" s="0">
        <v>81</v>
      </c>
      <c r="BG464" t="s" s="0">
        <v>81</v>
      </c>
      <c r="BH464" t="s" s="0">
        <v>81</v>
      </c>
      <c r="BI464" t="s" s="0">
        <v>10463</v>
      </c>
      <c r="BJ464" t="s" s="0">
        <v>10464</v>
      </c>
      <c r="BK464" t="s" s="920">
        <f>HYPERLINK("http://dx.doi.org/10.3390/app12178755","http://dx.doi.org/10.3390/app12178755")</f>
        <v>10465</v>
      </c>
      <c r="BL464" t="s" s="0">
        <v>81</v>
      </c>
      <c r="BM464" t="s" s="0">
        <v>81</v>
      </c>
      <c r="BN464" t="s" s="0">
        <v>890</v>
      </c>
      <c r="BO464" t="s" s="0">
        <v>2807</v>
      </c>
      <c r="BP464" t="s" s="0">
        <v>2808</v>
      </c>
      <c r="BQ464" t="s" s="0">
        <v>10466</v>
      </c>
      <c r="BR464" t="s" s="0">
        <v>81</v>
      </c>
      <c r="BS464" t="s" s="0">
        <v>10467</v>
      </c>
      <c r="BT464" t="s" s="921">
        <f>HYPERLINK("https://www.webofscience.com/wos/woscc/full-record/WOS:000850986400001","View Record in Web of Science")</f>
        <v>114</v>
      </c>
      <c r="BU464" t="s" s="0">
        <v>301</v>
      </c>
      <c r="BV464" t="s" s="0">
        <v>81</v>
      </c>
      <c r="BW464" t="s" s="0">
        <v>81</v>
      </c>
      <c r="BX464" t="s" s="0">
        <v>116</v>
      </c>
    </row>
    <row r="465">
      <c r="A465" t="s" s="0">
        <v>77</v>
      </c>
      <c r="B465" t="s" s="0">
        <v>77</v>
      </c>
      <c r="C465" t="s" s="0">
        <v>77</v>
      </c>
      <c r="D465" t="s" s="0">
        <v>77</v>
      </c>
      <c r="E465" t="s" s="0">
        <v>10468</v>
      </c>
      <c r="F465" t="s" s="0">
        <v>10469</v>
      </c>
      <c r="G465" t="s" s="0">
        <v>10470</v>
      </c>
      <c r="H465" t="s" s="0">
        <v>81</v>
      </c>
      <c r="I465" t="s" s="0">
        <v>528</v>
      </c>
      <c r="J465" t="s" s="0">
        <v>10471</v>
      </c>
      <c r="K465" t="s" s="0">
        <v>10472</v>
      </c>
      <c r="L465" t="s" s="0">
        <v>81</v>
      </c>
      <c r="M465" t="s" s="0">
        <v>81</v>
      </c>
      <c r="N465" t="s" s="0">
        <v>81</v>
      </c>
      <c r="O465" t="s" s="0">
        <v>10473</v>
      </c>
      <c r="P465" t="s" s="0">
        <v>10474</v>
      </c>
      <c r="Q465" t="s" s="0">
        <v>87</v>
      </c>
      <c r="R465" t="s" s="0">
        <v>81</v>
      </c>
      <c r="S465" t="s" s="0">
        <v>81</v>
      </c>
      <c r="T465" t="s" s="0">
        <v>81</v>
      </c>
      <c r="U465" t="s" s="0">
        <v>81</v>
      </c>
      <c r="V465" t="s" s="0">
        <v>10475</v>
      </c>
      <c r="W465" t="s" s="0">
        <v>10476</v>
      </c>
      <c r="X465" t="s" s="0">
        <v>81</v>
      </c>
      <c r="Y465" t="s" s="0">
        <v>81</v>
      </c>
      <c r="Z465" t="s" s="0">
        <v>90</v>
      </c>
      <c r="AA465" t="s" s="0">
        <v>91</v>
      </c>
      <c r="AB465" t="s" s="0">
        <v>81</v>
      </c>
      <c r="AC465" t="s" s="0">
        <v>81</v>
      </c>
      <c r="AD465" t="s" s="0">
        <v>81</v>
      </c>
      <c r="AE465" t="s" s="0">
        <v>81</v>
      </c>
      <c r="AF465" t="s" s="0">
        <v>81</v>
      </c>
      <c r="AG465" t="s" s="0">
        <v>81</v>
      </c>
      <c r="AH465" t="s" s="0">
        <v>81</v>
      </c>
      <c r="AI465" t="s" s="0">
        <v>10477</v>
      </c>
      <c r="AJ465" t="s" s="0">
        <v>81</v>
      </c>
      <c r="AK465" t="s" s="0">
        <v>81</v>
      </c>
      <c r="AL465" t="s" s="0">
        <v>109</v>
      </c>
      <c r="AM465" t="s" s="0">
        <v>261</v>
      </c>
      <c r="AN465" t="s" s="0">
        <v>191</v>
      </c>
      <c r="AO465" t="s" s="0">
        <v>196</v>
      </c>
      <c r="AP465" t="s" s="0">
        <v>381</v>
      </c>
      <c r="AQ465" t="s" s="0">
        <v>136</v>
      </c>
      <c r="AR465" t="s" s="0">
        <v>137</v>
      </c>
      <c r="AS465" t="s" s="0">
        <v>138</v>
      </c>
      <c r="AT465" t="s" s="0">
        <v>81</v>
      </c>
      <c r="AU465" t="s" s="0">
        <v>10478</v>
      </c>
      <c r="AV465" t="s" s="0">
        <v>81</v>
      </c>
      <c r="AW465" t="s" s="0">
        <v>10479</v>
      </c>
      <c r="AX465" t="s" s="0">
        <v>10480</v>
      </c>
      <c r="AY465" t="s" s="0">
        <v>578</v>
      </c>
      <c r="AZ465" t="s" s="0">
        <v>290</v>
      </c>
      <c r="BA465" t="s" s="0">
        <v>1883</v>
      </c>
      <c r="BB465" t="s" s="0">
        <v>81</v>
      </c>
      <c r="BC465" t="s" s="0">
        <v>81</v>
      </c>
      <c r="BD465" t="s" s="0">
        <v>81</v>
      </c>
      <c r="BE465" t="s" s="0">
        <v>81</v>
      </c>
      <c r="BF465" t="s" s="0">
        <v>81</v>
      </c>
      <c r="BG465" t="s" s="0">
        <v>81</v>
      </c>
      <c r="BH465" t="s" s="0">
        <v>81</v>
      </c>
      <c r="BI465" t="s" s="0">
        <v>10481</v>
      </c>
      <c r="BJ465" t="s" s="0">
        <v>10482</v>
      </c>
      <c r="BK465" t="s" s="922">
        <f>HYPERLINK("http://dx.doi.org/10.1016/j.invent.2025.100844","http://dx.doi.org/10.1016/j.invent.2025.100844")</f>
        <v>10483</v>
      </c>
      <c r="BL465" t="s" s="0">
        <v>81</v>
      </c>
      <c r="BM465" t="s" s="0">
        <v>552</v>
      </c>
      <c r="BN465" t="s" s="0">
        <v>196</v>
      </c>
      <c r="BO465" t="s" s="0">
        <v>10484</v>
      </c>
      <c r="BP465" t="s" s="0">
        <v>10485</v>
      </c>
      <c r="BQ465" t="s" s="0">
        <v>10486</v>
      </c>
      <c r="BR465" t="s" s="0">
        <v>10487</v>
      </c>
      <c r="BS465" t="s" s="0">
        <v>10488</v>
      </c>
      <c r="BT465" t="s" s="923">
        <f>HYPERLINK("https://www.webofscience.com/wos/woscc/full-record/WOS:001510137900001","View Record in Web of Science")</f>
        <v>114</v>
      </c>
      <c r="BU465" t="s" s="0">
        <v>301</v>
      </c>
      <c r="BV465" t="s" s="0">
        <v>81</v>
      </c>
      <c r="BW465" t="s" s="0">
        <v>81</v>
      </c>
      <c r="BX465" t="s" s="0">
        <v>116</v>
      </c>
    </row>
    <row r="466">
      <c r="A466" t="s" s="0">
        <v>77</v>
      </c>
      <c r="B466" t="s" s="0">
        <v>77</v>
      </c>
      <c r="C466" t="s" s="0">
        <v>156</v>
      </c>
      <c r="D466" t="s" s="0">
        <v>77</v>
      </c>
      <c r="E466" t="s" s="0">
        <v>10489</v>
      </c>
      <c r="F466" t="s" s="0">
        <v>10490</v>
      </c>
      <c r="G466" t="s" s="0">
        <v>10491</v>
      </c>
      <c r="H466" t="s" s="0">
        <v>81</v>
      </c>
      <c r="I466" t="s" s="0">
        <v>82</v>
      </c>
      <c r="J466" t="s" s="0">
        <v>10492</v>
      </c>
      <c r="K466" t="s" s="0">
        <v>10493</v>
      </c>
      <c r="L466" t="s" s="0">
        <v>10494</v>
      </c>
      <c r="M466" t="s" s="0">
        <v>10495</v>
      </c>
      <c r="N466" t="s" s="0">
        <v>10496</v>
      </c>
      <c r="O466" t="s" s="0">
        <v>10497</v>
      </c>
      <c r="P466" t="s" s="0">
        <v>81</v>
      </c>
      <c r="Q466" t="s" s="0">
        <v>87</v>
      </c>
      <c r="R466" t="s" s="0">
        <v>81</v>
      </c>
      <c r="S466" t="s" s="0">
        <v>81</v>
      </c>
      <c r="T466" t="s" s="0">
        <v>81</v>
      </c>
      <c r="U466" t="s" s="0">
        <v>81</v>
      </c>
      <c r="V466" t="s" s="0">
        <v>10498</v>
      </c>
      <c r="W466" t="s" s="0">
        <v>3058</v>
      </c>
      <c r="X466" t="s" s="0">
        <v>81</v>
      </c>
      <c r="Y466" t="s" s="0">
        <v>81</v>
      </c>
      <c r="Z466" t="s" s="0">
        <v>90</v>
      </c>
      <c r="AA466" t="s" s="0">
        <v>91</v>
      </c>
      <c r="AB466" t="s" s="0">
        <v>81</v>
      </c>
      <c r="AC466" t="s" s="0">
        <v>81</v>
      </c>
      <c r="AD466" t="s" s="0">
        <v>81</v>
      </c>
      <c r="AE466" t="s" s="0">
        <v>81</v>
      </c>
      <c r="AF466" t="s" s="0">
        <v>81</v>
      </c>
      <c r="AG466" t="s" s="0">
        <v>10499</v>
      </c>
      <c r="AH466" t="s" s="0">
        <v>10500</v>
      </c>
      <c r="AI466" t="s" s="0">
        <v>10501</v>
      </c>
      <c r="AJ466" t="s" s="0">
        <v>10502</v>
      </c>
      <c r="AK466" t="s" s="0">
        <v>81</v>
      </c>
      <c r="AL466" t="s" s="0">
        <v>1511</v>
      </c>
      <c r="AM466" t="s" s="0">
        <v>344</v>
      </c>
      <c r="AN466" t="s" s="0">
        <v>664</v>
      </c>
      <c r="AO466" t="s" s="0">
        <v>104</v>
      </c>
      <c r="AP466" t="s" s="0">
        <v>174</v>
      </c>
      <c r="AQ466" t="s" s="0">
        <v>3061</v>
      </c>
      <c r="AR466" t="s" s="0">
        <v>3062</v>
      </c>
      <c r="AS466" t="s" s="0">
        <v>3063</v>
      </c>
      <c r="AT466" t="s" s="0">
        <v>3064</v>
      </c>
      <c r="AU466" t="s" s="0">
        <v>3065</v>
      </c>
      <c r="AV466" t="s" s="0">
        <v>81</v>
      </c>
      <c r="AW466" t="s" s="0">
        <v>3066</v>
      </c>
      <c r="AX466" t="s" s="0">
        <v>3067</v>
      </c>
      <c r="AY466" t="s" s="0">
        <v>10503</v>
      </c>
      <c r="AZ466" t="s" s="0">
        <v>290</v>
      </c>
      <c r="BA466" t="s" s="0">
        <v>671</v>
      </c>
      <c r="BB466" t="s" s="0">
        <v>81</v>
      </c>
      <c r="BC466" t="s" s="0">
        <v>81</v>
      </c>
      <c r="BD466" t="s" s="0">
        <v>81</v>
      </c>
      <c r="BE466" t="s" s="0">
        <v>81</v>
      </c>
      <c r="BF466" t="s" s="0">
        <v>81</v>
      </c>
      <c r="BG466" t="s" s="0">
        <v>81</v>
      </c>
      <c r="BH466" t="s" s="0">
        <v>81</v>
      </c>
      <c r="BI466" t="s" s="0">
        <v>10504</v>
      </c>
      <c r="BJ466" t="s" s="0">
        <v>10505</v>
      </c>
      <c r="BK466" t="s" s="924">
        <f>HYPERLINK("http://dx.doi.org/10.2196/74187","http://dx.doi.org/10.2196/74187")</f>
        <v>10506</v>
      </c>
      <c r="BL466" t="s" s="0">
        <v>81</v>
      </c>
      <c r="BM466" t="s" s="0">
        <v>81</v>
      </c>
      <c r="BN466" t="s" s="0">
        <v>485</v>
      </c>
      <c r="BO466" t="s" s="0">
        <v>792</v>
      </c>
      <c r="BP466" t="s" s="0">
        <v>792</v>
      </c>
      <c r="BQ466" t="s" s="0">
        <v>10507</v>
      </c>
      <c r="BR466" t="s" s="0">
        <v>10508</v>
      </c>
      <c r="BS466" t="s" s="0">
        <v>10509</v>
      </c>
      <c r="BT466" t="s" s="925">
        <f>HYPERLINK("https://www.webofscience.com/wos/woscc/full-record/WOS:001563910000001","View Record in Web of Science")</f>
        <v>114</v>
      </c>
      <c r="BU466" t="s" s="0">
        <v>270</v>
      </c>
      <c r="BV466" t="s" s="0">
        <v>81</v>
      </c>
      <c r="BW466" t="s" s="0">
        <v>81</v>
      </c>
      <c r="BX466" t="s" s="0">
        <v>116</v>
      </c>
    </row>
    <row r="467">
      <c r="A467" t="s" s="0">
        <v>97</v>
      </c>
      <c r="B467" t="s" s="0">
        <v>77</v>
      </c>
      <c r="C467" t="s" s="0">
        <v>175</v>
      </c>
      <c r="D467" t="s" s="0">
        <v>77</v>
      </c>
      <c r="E467" t="s" s="0">
        <v>10510</v>
      </c>
      <c r="F467" t="s" s="0">
        <v>10511</v>
      </c>
      <c r="G467" t="s" s="0">
        <v>10512</v>
      </c>
      <c r="H467" t="s" s="0">
        <v>81</v>
      </c>
      <c r="I467" t="s" s="0">
        <v>528</v>
      </c>
      <c r="J467" t="s" s="0">
        <v>10513</v>
      </c>
      <c r="K467" t="s" s="0">
        <v>10514</v>
      </c>
      <c r="L467" t="s" s="0">
        <v>5923</v>
      </c>
      <c r="M467" t="s" s="0">
        <v>5924</v>
      </c>
      <c r="N467" t="s" s="0">
        <v>10515</v>
      </c>
      <c r="O467" t="s" s="0">
        <v>10516</v>
      </c>
      <c r="P467" t="s" s="0">
        <v>10517</v>
      </c>
      <c r="Q467" t="s" s="0">
        <v>87</v>
      </c>
      <c r="R467" t="s" s="0">
        <v>81</v>
      </c>
      <c r="S467" t="s" s="0">
        <v>81</v>
      </c>
      <c r="T467" t="s" s="0">
        <v>81</v>
      </c>
      <c r="U467" t="s" s="0">
        <v>81</v>
      </c>
      <c r="V467" t="s" s="0">
        <v>10518</v>
      </c>
      <c r="W467" t="s" s="0">
        <v>3853</v>
      </c>
      <c r="X467" t="s" s="0">
        <v>81</v>
      </c>
      <c r="Y467" t="s" s="0">
        <v>81</v>
      </c>
      <c r="Z467" t="s" s="0">
        <v>90</v>
      </c>
      <c r="AA467" t="s" s="0">
        <v>91</v>
      </c>
      <c r="AB467" t="s" s="0">
        <v>81</v>
      </c>
      <c r="AC467" t="s" s="0">
        <v>81</v>
      </c>
      <c r="AD467" t="s" s="0">
        <v>81</v>
      </c>
      <c r="AE467" t="s" s="0">
        <v>81</v>
      </c>
      <c r="AF467" t="s" s="0">
        <v>81</v>
      </c>
      <c r="AG467" t="s" s="0">
        <v>10519</v>
      </c>
      <c r="AH467" t="s" s="0">
        <v>10520</v>
      </c>
      <c r="AI467" t="s" s="0">
        <v>10521</v>
      </c>
      <c r="AJ467" t="s" s="0">
        <v>10522</v>
      </c>
      <c r="AK467" t="s" s="0">
        <v>81</v>
      </c>
      <c r="AL467" t="s" s="0">
        <v>1047</v>
      </c>
      <c r="AM467" t="s" s="0">
        <v>1912</v>
      </c>
      <c r="AN467" t="s" s="0">
        <v>150</v>
      </c>
      <c r="AO467" t="s" s="0">
        <v>316</v>
      </c>
      <c r="AP467" t="s" s="0">
        <v>315</v>
      </c>
      <c r="AQ467" t="s" s="0">
        <v>284</v>
      </c>
      <c r="AR467" t="s" s="0">
        <v>285</v>
      </c>
      <c r="AS467" t="s" s="0">
        <v>286</v>
      </c>
      <c r="AT467" t="s" s="0">
        <v>81</v>
      </c>
      <c r="AU467" t="s" s="0">
        <v>3858</v>
      </c>
      <c r="AV467" t="s" s="0">
        <v>81</v>
      </c>
      <c r="AW467" t="s" s="0">
        <v>3859</v>
      </c>
      <c r="AX467" t="s" s="0">
        <v>3860</v>
      </c>
      <c r="AY467" t="s" s="0">
        <v>4523</v>
      </c>
      <c r="AZ467" t="s" s="0">
        <v>220</v>
      </c>
      <c r="BA467" t="s" s="0">
        <v>485</v>
      </c>
      <c r="BB467" t="s" s="0">
        <v>925</v>
      </c>
      <c r="BC467" t="s" s="0">
        <v>81</v>
      </c>
      <c r="BD467" t="s" s="0">
        <v>81</v>
      </c>
      <c r="BE467" t="s" s="0">
        <v>81</v>
      </c>
      <c r="BF467" t="s" s="0">
        <v>81</v>
      </c>
      <c r="BG467" t="s" s="0">
        <v>81</v>
      </c>
      <c r="BH467" t="s" s="0">
        <v>81</v>
      </c>
      <c r="BI467" t="s" s="0">
        <v>10523</v>
      </c>
      <c r="BJ467" t="s" s="0">
        <v>10524</v>
      </c>
      <c r="BK467" t="s" s="926">
        <f>HYPERLINK("http://dx.doi.org/10.3390/ijerph19169952","http://dx.doi.org/10.3390/ijerph19169952")</f>
        <v>10525</v>
      </c>
      <c r="BL467" t="s" s="0">
        <v>81</v>
      </c>
      <c r="BM467" t="s" s="0">
        <v>81</v>
      </c>
      <c r="BN467" t="s" s="0">
        <v>222</v>
      </c>
      <c r="BO467" t="s" s="0">
        <v>3864</v>
      </c>
      <c r="BP467" t="s" s="0">
        <v>3865</v>
      </c>
      <c r="BQ467" t="s" s="0">
        <v>10526</v>
      </c>
      <c r="BR467" t="s" s="0">
        <v>10527</v>
      </c>
      <c r="BS467" t="s" s="0">
        <v>10528</v>
      </c>
      <c r="BT467" t="s" s="927">
        <f>HYPERLINK("https://www.webofscience.com/wos/woscc/full-record/WOS:000846592300001","View Record in Web of Science")</f>
        <v>114</v>
      </c>
      <c r="BU467" t="s" s="0">
        <v>301</v>
      </c>
      <c r="BV467" t="s" s="0">
        <v>81</v>
      </c>
      <c r="BW467" t="s" s="0">
        <v>81</v>
      </c>
      <c r="BX467" t="s" s="0">
        <v>116</v>
      </c>
    </row>
    <row r="468">
      <c r="A468" t="s" s="0">
        <v>77</v>
      </c>
      <c r="B468" t="s" s="0">
        <v>77</v>
      </c>
      <c r="C468" t="s" s="0">
        <v>77</v>
      </c>
      <c r="D468" t="s" s="0">
        <v>77</v>
      </c>
      <c r="E468" t="s" s="0">
        <v>10529</v>
      </c>
      <c r="F468" t="s" s="0">
        <v>10530</v>
      </c>
      <c r="G468" t="s" s="0">
        <v>10531</v>
      </c>
      <c r="H468" t="s" s="0">
        <v>81</v>
      </c>
      <c r="I468" t="s" s="0">
        <v>82</v>
      </c>
      <c r="J468" t="s" s="0">
        <v>10532</v>
      </c>
      <c r="K468" t="s" s="0">
        <v>10533</v>
      </c>
      <c r="L468" t="s" s="0">
        <v>81</v>
      </c>
      <c r="M468" t="s" s="0">
        <v>81</v>
      </c>
      <c r="N468" t="s" s="0">
        <v>81</v>
      </c>
      <c r="O468" t="s" s="0">
        <v>10534</v>
      </c>
      <c r="P468" t="s" s="0">
        <v>81</v>
      </c>
      <c r="Q468" t="s" s="0">
        <v>87</v>
      </c>
      <c r="R468" t="s" s="0">
        <v>81</v>
      </c>
      <c r="S468" t="s" s="0">
        <v>81</v>
      </c>
      <c r="T468" t="s" s="0">
        <v>81</v>
      </c>
      <c r="U468" t="s" s="0">
        <v>81</v>
      </c>
      <c r="V468" t="s" s="0">
        <v>10535</v>
      </c>
      <c r="W468" t="s" s="0">
        <v>910</v>
      </c>
      <c r="X468" t="s" s="0">
        <v>81</v>
      </c>
      <c r="Y468" t="s" s="0">
        <v>81</v>
      </c>
      <c r="Z468" t="s" s="0">
        <v>90</v>
      </c>
      <c r="AA468" t="s" s="0">
        <v>91</v>
      </c>
      <c r="AB468" t="s" s="0">
        <v>81</v>
      </c>
      <c r="AC468" t="s" s="0">
        <v>81</v>
      </c>
      <c r="AD468" t="s" s="0">
        <v>81</v>
      </c>
      <c r="AE468" t="s" s="0">
        <v>81</v>
      </c>
      <c r="AF468" t="s" s="0">
        <v>81</v>
      </c>
      <c r="AG468" t="s" s="0">
        <v>10536</v>
      </c>
      <c r="AH468" t="s" s="0">
        <v>10537</v>
      </c>
      <c r="AI468" t="s" s="0">
        <v>81</v>
      </c>
      <c r="AJ468" t="s" s="0">
        <v>81</v>
      </c>
      <c r="AK468" t="s" s="0">
        <v>81</v>
      </c>
      <c r="AL468" t="s" s="0">
        <v>1511</v>
      </c>
      <c r="AM468" t="s" s="0">
        <v>316</v>
      </c>
      <c r="AN468" t="s" s="0">
        <v>381</v>
      </c>
      <c r="AO468" t="s" s="0">
        <v>196</v>
      </c>
      <c r="AP468" t="s" s="0">
        <v>261</v>
      </c>
      <c r="AQ468" t="s" s="0">
        <v>915</v>
      </c>
      <c r="AR468" t="s" s="0">
        <v>916</v>
      </c>
      <c r="AS468" t="s" s="0">
        <v>917</v>
      </c>
      <c r="AT468" t="s" s="0">
        <v>918</v>
      </c>
      <c r="AU468" t="s" s="0">
        <v>81</v>
      </c>
      <c r="AV468" t="s" s="0">
        <v>81</v>
      </c>
      <c r="AW468" t="s" s="0">
        <v>919</v>
      </c>
      <c r="AX468" t="s" s="0">
        <v>920</v>
      </c>
      <c r="AY468" t="s" s="0">
        <v>7782</v>
      </c>
      <c r="AZ468" t="s" s="0">
        <v>290</v>
      </c>
      <c r="BA468" t="s" s="0">
        <v>291</v>
      </c>
      <c r="BB468" t="s" s="0">
        <v>97</v>
      </c>
      <c r="BC468" t="s" s="0">
        <v>81</v>
      </c>
      <c r="BD468" t="s" s="0">
        <v>81</v>
      </c>
      <c r="BE468" t="s" s="0">
        <v>81</v>
      </c>
      <c r="BF468" t="s" s="0">
        <v>81</v>
      </c>
      <c r="BG468" t="s" s="0">
        <v>81</v>
      </c>
      <c r="BH468" t="s" s="0">
        <v>81</v>
      </c>
      <c r="BI468" t="s" s="0">
        <v>10538</v>
      </c>
      <c r="BJ468" t="s" s="0">
        <v>10539</v>
      </c>
      <c r="BK468" t="s" s="928">
        <f>HYPERLINK("http://dx.doi.org/10.1038/s41598-025-09236-z","http://dx.doi.org/10.1038/s41598-025-09236-z")</f>
        <v>10540</v>
      </c>
      <c r="BL468" t="s" s="0">
        <v>81</v>
      </c>
      <c r="BM468" t="s" s="0">
        <v>81</v>
      </c>
      <c r="BN468" t="s" s="0">
        <v>134</v>
      </c>
      <c r="BO468" t="s" s="0">
        <v>926</v>
      </c>
      <c r="BP468" t="s" s="0">
        <v>927</v>
      </c>
      <c r="BQ468" t="s" s="0">
        <v>10541</v>
      </c>
      <c r="BR468" t="s" s="0">
        <v>10542</v>
      </c>
      <c r="BS468" t="s" s="0">
        <v>10543</v>
      </c>
      <c r="BT468" t="s" s="929">
        <f>HYPERLINK("https://www.webofscience.com/wos/woscc/full-record/WOS:001524953600009","View Record in Web of Science")</f>
        <v>114</v>
      </c>
      <c r="BU468" t="s" s="0">
        <v>301</v>
      </c>
      <c r="BV468" t="s" s="0">
        <v>81</v>
      </c>
      <c r="BW468" t="s" s="0">
        <v>81</v>
      </c>
      <c r="BX468" t="s" s="0">
        <v>116</v>
      </c>
    </row>
    <row r="469">
      <c r="A469" t="s" s="0">
        <v>77</v>
      </c>
      <c r="B469" t="s" s="0">
        <v>77</v>
      </c>
      <c r="C469" t="s" s="0">
        <v>77</v>
      </c>
      <c r="D469" t="s" s="0">
        <v>77</v>
      </c>
      <c r="E469" t="s" s="0">
        <v>10544</v>
      </c>
      <c r="F469" t="s" s="0">
        <v>10545</v>
      </c>
      <c r="G469" t="s" s="0">
        <v>10546</v>
      </c>
      <c r="H469" t="s" s="0">
        <v>81</v>
      </c>
      <c r="I469" t="s" s="0">
        <v>528</v>
      </c>
      <c r="J469" t="s" s="0">
        <v>10547</v>
      </c>
      <c r="K469" t="s" s="0">
        <v>10548</v>
      </c>
      <c r="L469" t="s" s="0">
        <v>81</v>
      </c>
      <c r="M469" t="s" s="0">
        <v>81</v>
      </c>
      <c r="N469" t="s" s="0">
        <v>81</v>
      </c>
      <c r="O469" t="s" s="0">
        <v>10549</v>
      </c>
      <c r="P469" t="s" s="0">
        <v>10550</v>
      </c>
      <c r="Q469" t="s" s="0">
        <v>87</v>
      </c>
      <c r="R469" t="s" s="0">
        <v>81</v>
      </c>
      <c r="S469" t="s" s="0">
        <v>81</v>
      </c>
      <c r="T469" t="s" s="0">
        <v>81</v>
      </c>
      <c r="U469" t="s" s="0">
        <v>81</v>
      </c>
      <c r="V469" t="s" s="0">
        <v>10551</v>
      </c>
      <c r="W469" t="s" s="0">
        <v>10552</v>
      </c>
      <c r="X469" t="s" s="0">
        <v>81</v>
      </c>
      <c r="Y469" t="s" s="0">
        <v>81</v>
      </c>
      <c r="Z469" t="s" s="0">
        <v>90</v>
      </c>
      <c r="AA469" t="s" s="0">
        <v>91</v>
      </c>
      <c r="AB469" t="s" s="0">
        <v>81</v>
      </c>
      <c r="AC469" t="s" s="0">
        <v>81</v>
      </c>
      <c r="AD469" t="s" s="0">
        <v>81</v>
      </c>
      <c r="AE469" t="s" s="0">
        <v>81</v>
      </c>
      <c r="AF469" t="s" s="0">
        <v>81</v>
      </c>
      <c r="AG469" t="s" s="0">
        <v>10553</v>
      </c>
      <c r="AH469" t="s" s="0">
        <v>81</v>
      </c>
      <c r="AI469" t="s" s="0">
        <v>10554</v>
      </c>
      <c r="AJ469" t="s" s="0">
        <v>10555</v>
      </c>
      <c r="AK469" t="s" s="0">
        <v>81</v>
      </c>
      <c r="AL469" t="s" s="0">
        <v>10556</v>
      </c>
      <c r="AM469" t="s" s="0">
        <v>175</v>
      </c>
      <c r="AN469" t="s" s="0">
        <v>133</v>
      </c>
      <c r="AO469" t="s" s="0">
        <v>381</v>
      </c>
      <c r="AP469" t="s" s="0">
        <v>211</v>
      </c>
      <c r="AQ469" t="s" s="0">
        <v>136</v>
      </c>
      <c r="AR469" t="s" s="0">
        <v>137</v>
      </c>
      <c r="AS469" t="s" s="0">
        <v>138</v>
      </c>
      <c r="AT469" t="s" s="0">
        <v>10557</v>
      </c>
      <c r="AU469" t="s" s="0">
        <v>10558</v>
      </c>
      <c r="AV469" t="s" s="0">
        <v>81</v>
      </c>
      <c r="AW469" t="s" s="0">
        <v>10559</v>
      </c>
      <c r="AX469" t="s" s="0">
        <v>10560</v>
      </c>
      <c r="AY469" t="s" s="0">
        <v>149</v>
      </c>
      <c r="AZ469" t="s" s="0">
        <v>290</v>
      </c>
      <c r="BA469" t="s" s="0">
        <v>925</v>
      </c>
      <c r="BB469" t="s" s="0">
        <v>196</v>
      </c>
      <c r="BC469" t="s" s="0">
        <v>81</v>
      </c>
      <c r="BD469" t="s" s="0">
        <v>81</v>
      </c>
      <c r="BE469" t="s" s="0">
        <v>81</v>
      </c>
      <c r="BF469" t="s" s="0">
        <v>81</v>
      </c>
      <c r="BG469" t="s" s="0">
        <v>10561</v>
      </c>
      <c r="BH469" t="s" s="0">
        <v>5009</v>
      </c>
      <c r="BI469" t="s" s="0">
        <v>81</v>
      </c>
      <c r="BJ469" t="s" s="0">
        <v>10562</v>
      </c>
      <c r="BK469" t="s" s="930">
        <f>HYPERLINK("http://dx.doi.org/10.1016/j.jnr.2025.08.012","http://dx.doi.org/10.1016/j.jnr.2025.08.012")</f>
        <v>10563</v>
      </c>
      <c r="BL469" t="s" s="0">
        <v>81</v>
      </c>
      <c r="BM469" t="s" s="0">
        <v>149</v>
      </c>
      <c r="BN469" t="s" s="0">
        <v>261</v>
      </c>
      <c r="BO469" t="s" s="0">
        <v>5034</v>
      </c>
      <c r="BP469" t="s" s="0">
        <v>5034</v>
      </c>
      <c r="BQ469" t="s" s="0">
        <v>10564</v>
      </c>
      <c r="BR469" t="s" s="0">
        <v>81</v>
      </c>
      <c r="BS469" t="s" s="0">
        <v>10565</v>
      </c>
      <c r="BT469" t="s" s="931">
        <f>HYPERLINK("https://www.webofscience.com/wos/woscc/full-record/WOS:001598173900009","View Record in Web of Science")</f>
        <v>114</v>
      </c>
      <c r="BU469" t="s" s="0">
        <v>81</v>
      </c>
      <c r="BV469" t="s" s="0">
        <v>81</v>
      </c>
      <c r="BW469" t="s" s="0">
        <v>81</v>
      </c>
      <c r="BX469" t="s" s="0">
        <v>116</v>
      </c>
    </row>
    <row r="470">
      <c r="A470" t="s" s="0">
        <v>77</v>
      </c>
      <c r="B470" t="s" s="0">
        <v>77</v>
      </c>
      <c r="C470" t="s" s="0">
        <v>156</v>
      </c>
      <c r="D470" t="s" s="0">
        <v>77</v>
      </c>
      <c r="E470" t="s" s="0">
        <v>10566</v>
      </c>
      <c r="F470" t="s" s="0">
        <v>81</v>
      </c>
      <c r="G470" t="s" s="0">
        <v>10567</v>
      </c>
      <c r="H470" t="s" s="0">
        <v>81</v>
      </c>
      <c r="I470" t="s" s="0">
        <v>82</v>
      </c>
      <c r="J470" t="s" s="0">
        <v>10568</v>
      </c>
      <c r="K470" t="s" s="0">
        <v>10569</v>
      </c>
      <c r="L470" t="s" s="0">
        <v>10570</v>
      </c>
      <c r="M470" t="s" s="0">
        <v>10571</v>
      </c>
      <c r="N470" t="s" s="0">
        <v>81</v>
      </c>
      <c r="O470" t="s" s="0">
        <v>10572</v>
      </c>
      <c r="P470" t="s" s="0">
        <v>10573</v>
      </c>
      <c r="Q470" t="s" s="0">
        <v>87</v>
      </c>
      <c r="R470" t="s" s="0">
        <v>81</v>
      </c>
      <c r="S470" t="s" s="0">
        <v>81</v>
      </c>
      <c r="T470" t="s" s="0">
        <v>81</v>
      </c>
      <c r="U470" t="s" s="0">
        <v>81</v>
      </c>
      <c r="V470" t="s" s="0">
        <v>10574</v>
      </c>
      <c r="W470" t="s" s="0">
        <v>10575</v>
      </c>
      <c r="X470" t="s" s="0">
        <v>81</v>
      </c>
      <c r="Y470" t="s" s="0">
        <v>81</v>
      </c>
      <c r="Z470" t="s" s="0">
        <v>90</v>
      </c>
      <c r="AA470" t="s" s="0">
        <v>91</v>
      </c>
      <c r="AB470" t="s" s="0">
        <v>81</v>
      </c>
      <c r="AC470" t="s" s="0">
        <v>81</v>
      </c>
      <c r="AD470" t="s" s="0">
        <v>81</v>
      </c>
      <c r="AE470" t="s" s="0">
        <v>81</v>
      </c>
      <c r="AF470" t="s" s="0">
        <v>81</v>
      </c>
      <c r="AG470" t="s" s="0">
        <v>81</v>
      </c>
      <c r="AH470" t="s" s="0">
        <v>81</v>
      </c>
      <c r="AI470" t="s" s="0">
        <v>10576</v>
      </c>
      <c r="AJ470" t="s" s="0">
        <v>10577</v>
      </c>
      <c r="AK470" t="s" s="0">
        <v>81</v>
      </c>
      <c r="AL470" t="s" s="0">
        <v>316</v>
      </c>
      <c r="AM470" t="s" s="0">
        <v>175</v>
      </c>
      <c r="AN470" t="s" s="0">
        <v>133</v>
      </c>
      <c r="AO470" t="s" s="0">
        <v>77</v>
      </c>
      <c r="AP470" t="s" s="0">
        <v>196</v>
      </c>
      <c r="AQ470" t="s" s="0">
        <v>10578</v>
      </c>
      <c r="AR470" t="s" s="0">
        <v>10579</v>
      </c>
      <c r="AS470" t="s" s="0">
        <v>10580</v>
      </c>
      <c r="AT470" t="s" s="0">
        <v>10581</v>
      </c>
      <c r="AU470" t="s" s="0">
        <v>10582</v>
      </c>
      <c r="AV470" t="s" s="0">
        <v>81</v>
      </c>
      <c r="AW470" t="s" s="0">
        <v>10583</v>
      </c>
      <c r="AX470" t="s" s="0">
        <v>10584</v>
      </c>
      <c r="AY470" t="s" s="0">
        <v>10585</v>
      </c>
      <c r="AZ470" t="s" s="0">
        <v>260</v>
      </c>
      <c r="BA470" t="s" s="0">
        <v>1615</v>
      </c>
      <c r="BB470" t="s" s="0">
        <v>81</v>
      </c>
      <c r="BC470" t="s" s="0">
        <v>81</v>
      </c>
      <c r="BD470" t="s" s="0">
        <v>81</v>
      </c>
      <c r="BE470" t="s" s="0">
        <v>81</v>
      </c>
      <c r="BF470" t="s" s="0">
        <v>81</v>
      </c>
      <c r="BG470" t="s" s="0">
        <v>10586</v>
      </c>
      <c r="BH470" t="s" s="0">
        <v>6682</v>
      </c>
      <c r="BI470" t="s" s="0">
        <v>81</v>
      </c>
      <c r="BJ470" t="s" s="0">
        <v>10587</v>
      </c>
      <c r="BK470" t="s" s="932">
        <f>HYPERLINK("http://dx.doi.org/10.1016/j.amjcard.2023.05.064","http://dx.doi.org/10.1016/j.amjcard.2023.05.064")</f>
        <v>10588</v>
      </c>
      <c r="BL470" t="s" s="0">
        <v>81</v>
      </c>
      <c r="BM470" t="s" s="0">
        <v>5526</v>
      </c>
      <c r="BN470" t="s" s="0">
        <v>196</v>
      </c>
      <c r="BO470" t="s" s="0">
        <v>2628</v>
      </c>
      <c r="BP470" t="s" s="0">
        <v>2629</v>
      </c>
      <c r="BQ470" t="s" s="0">
        <v>10589</v>
      </c>
      <c r="BR470" t="s" s="0">
        <v>10590</v>
      </c>
      <c r="BS470" t="s" s="0">
        <v>10591</v>
      </c>
      <c r="BT470" t="s" s="933">
        <f>HYPERLINK("https://www.webofscience.com/wos/woscc/full-record/WOS:001029909000001","View Record in Web of Science")</f>
        <v>114</v>
      </c>
      <c r="BU470" t="s" s="0">
        <v>233</v>
      </c>
      <c r="BV470" t="s" s="0">
        <v>81</v>
      </c>
      <c r="BW470" t="s" s="0">
        <v>81</v>
      </c>
      <c r="BX470" t="s" s="0">
        <v>116</v>
      </c>
    </row>
    <row r="471">
      <c r="A471" t="s" s="0">
        <v>77</v>
      </c>
      <c r="B471" t="s" s="0">
        <v>77</v>
      </c>
      <c r="C471" t="s" s="0">
        <v>175</v>
      </c>
      <c r="D471" t="s" s="0">
        <v>77</v>
      </c>
      <c r="E471" t="s" s="0">
        <v>10592</v>
      </c>
      <c r="F471" t="s" s="0">
        <v>10593</v>
      </c>
      <c r="G471" t="s" s="0">
        <v>10594</v>
      </c>
      <c r="H471" t="s" s="0">
        <v>81</v>
      </c>
      <c r="I471" t="s" s="0">
        <v>82</v>
      </c>
      <c r="J471" t="s" s="0">
        <v>10595</v>
      </c>
      <c r="K471" t="s" s="0">
        <v>10596</v>
      </c>
      <c r="L471" t="s" s="0">
        <v>10597</v>
      </c>
      <c r="M471" t="s" s="0">
        <v>10598</v>
      </c>
      <c r="N471" t="s" s="0">
        <v>10599</v>
      </c>
      <c r="O471" t="s" s="0">
        <v>10600</v>
      </c>
      <c r="P471" t="s" s="0">
        <v>10601</v>
      </c>
      <c r="Q471" t="s" s="0">
        <v>87</v>
      </c>
      <c r="R471" t="s" s="0">
        <v>81</v>
      </c>
      <c r="S471" t="s" s="0">
        <v>81</v>
      </c>
      <c r="T471" t="s" s="0">
        <v>81</v>
      </c>
      <c r="U471" t="s" s="0">
        <v>81</v>
      </c>
      <c r="V471" t="s" s="0">
        <v>10602</v>
      </c>
      <c r="W471" t="s" s="0">
        <v>2797</v>
      </c>
      <c r="X471" t="s" s="0">
        <v>81</v>
      </c>
      <c r="Y471" t="s" s="0">
        <v>81</v>
      </c>
      <c r="Z471" t="s" s="0">
        <v>90</v>
      </c>
      <c r="AA471" t="s" s="0">
        <v>91</v>
      </c>
      <c r="AB471" t="s" s="0">
        <v>81</v>
      </c>
      <c r="AC471" t="s" s="0">
        <v>81</v>
      </c>
      <c r="AD471" t="s" s="0">
        <v>81</v>
      </c>
      <c r="AE471" t="s" s="0">
        <v>81</v>
      </c>
      <c r="AF471" t="s" s="0">
        <v>81</v>
      </c>
      <c r="AG471" t="s" s="0">
        <v>10603</v>
      </c>
      <c r="AH471" t="s" s="0">
        <v>81</v>
      </c>
      <c r="AI471" t="s" s="0">
        <v>10604</v>
      </c>
      <c r="AJ471" t="s" s="0">
        <v>10605</v>
      </c>
      <c r="AK471" t="s" s="0">
        <v>81</v>
      </c>
      <c r="AL471" t="s" s="0">
        <v>3518</v>
      </c>
      <c r="AM471" t="s" s="0">
        <v>211</v>
      </c>
      <c r="AN471" t="s" s="0">
        <v>134</v>
      </c>
      <c r="AO471" t="s" s="0">
        <v>316</v>
      </c>
      <c r="AP471" t="s" s="0">
        <v>134</v>
      </c>
      <c r="AQ471" t="s" s="0">
        <v>284</v>
      </c>
      <c r="AR471" t="s" s="0">
        <v>285</v>
      </c>
      <c r="AS471" t="s" s="0">
        <v>286</v>
      </c>
      <c r="AT471" t="s" s="0">
        <v>81</v>
      </c>
      <c r="AU471" t="s" s="0">
        <v>2801</v>
      </c>
      <c r="AV471" t="s" s="0">
        <v>81</v>
      </c>
      <c r="AW471" t="s" s="0">
        <v>2802</v>
      </c>
      <c r="AX471" t="s" s="0">
        <v>2803</v>
      </c>
      <c r="AY471" t="s" s="0">
        <v>10606</v>
      </c>
      <c r="AZ471" t="s" s="0">
        <v>290</v>
      </c>
      <c r="BA471" t="s" s="0">
        <v>291</v>
      </c>
      <c r="BB471" t="s" s="0">
        <v>211</v>
      </c>
      <c r="BC471" t="s" s="0">
        <v>81</v>
      </c>
      <c r="BD471" t="s" s="0">
        <v>81</v>
      </c>
      <c r="BE471" t="s" s="0">
        <v>81</v>
      </c>
      <c r="BF471" t="s" s="0">
        <v>81</v>
      </c>
      <c r="BG471" t="s" s="0">
        <v>81</v>
      </c>
      <c r="BH471" t="s" s="0">
        <v>81</v>
      </c>
      <c r="BI471" t="s" s="0">
        <v>10607</v>
      </c>
      <c r="BJ471" t="s" s="0">
        <v>10608</v>
      </c>
      <c r="BK471" t="s" s="934">
        <f>HYPERLINK("http://dx.doi.org/10.3390/app15105412","http://dx.doi.org/10.3390/app15105412")</f>
        <v>10609</v>
      </c>
      <c r="BL471" t="s" s="0">
        <v>81</v>
      </c>
      <c r="BM471" t="s" s="0">
        <v>81</v>
      </c>
      <c r="BN471" t="s" s="0">
        <v>135</v>
      </c>
      <c r="BO471" t="s" s="0">
        <v>2807</v>
      </c>
      <c r="BP471" t="s" s="0">
        <v>2808</v>
      </c>
      <c r="BQ471" t="s" s="0">
        <v>10610</v>
      </c>
      <c r="BR471" t="s" s="0">
        <v>81</v>
      </c>
      <c r="BS471" t="s" s="0">
        <v>10611</v>
      </c>
      <c r="BT471" t="s" s="935">
        <f>HYPERLINK("https://www.webofscience.com/wos/woscc/full-record/WOS:001496493400001","View Record in Web of Science")</f>
        <v>114</v>
      </c>
      <c r="BU471" t="s" s="0">
        <v>301</v>
      </c>
      <c r="BV471" t="s" s="0">
        <v>81</v>
      </c>
      <c r="BW471" t="s" s="0">
        <v>81</v>
      </c>
      <c r="BX471" t="s" s="0">
        <v>116</v>
      </c>
    </row>
    <row r="472">
      <c r="A472" t="s" s="0">
        <v>77</v>
      </c>
      <c r="B472" t="s" s="0">
        <v>77</v>
      </c>
      <c r="C472" t="s" s="0">
        <v>77</v>
      </c>
      <c r="D472" t="s" s="0">
        <v>77</v>
      </c>
      <c r="E472" t="s" s="0">
        <v>10612</v>
      </c>
      <c r="F472" t="s" s="0">
        <v>10613</v>
      </c>
      <c r="G472" t="s" s="0">
        <v>10614</v>
      </c>
      <c r="H472" t="s" s="0">
        <v>81</v>
      </c>
      <c r="I472" t="s" s="0">
        <v>82</v>
      </c>
      <c r="J472" t="s" s="0">
        <v>10615</v>
      </c>
      <c r="K472" t="s" s="0">
        <v>10616</v>
      </c>
      <c r="L472" t="s" s="0">
        <v>81</v>
      </c>
      <c r="M472" t="s" s="0">
        <v>81</v>
      </c>
      <c r="N472" t="s" s="0">
        <v>81</v>
      </c>
      <c r="O472" t="s" s="0">
        <v>10617</v>
      </c>
      <c r="P472" t="s" s="0">
        <v>10618</v>
      </c>
      <c r="Q472" t="s" s="0">
        <v>87</v>
      </c>
      <c r="R472" t="s" s="0">
        <v>81</v>
      </c>
      <c r="S472" t="s" s="0">
        <v>81</v>
      </c>
      <c r="T472" t="s" s="0">
        <v>81</v>
      </c>
      <c r="U472" t="s" s="0">
        <v>81</v>
      </c>
      <c r="V472" t="s" s="0">
        <v>10619</v>
      </c>
      <c r="W472" t="s" s="0">
        <v>10620</v>
      </c>
      <c r="X472" t="s" s="0">
        <v>81</v>
      </c>
      <c r="Y472" t="s" s="0">
        <v>81</v>
      </c>
      <c r="Z472" t="s" s="0">
        <v>90</v>
      </c>
      <c r="AA472" t="s" s="0">
        <v>91</v>
      </c>
      <c r="AB472" t="s" s="0">
        <v>81</v>
      </c>
      <c r="AC472" t="s" s="0">
        <v>81</v>
      </c>
      <c r="AD472" t="s" s="0">
        <v>81</v>
      </c>
      <c r="AE472" t="s" s="0">
        <v>81</v>
      </c>
      <c r="AF472" t="s" s="0">
        <v>81</v>
      </c>
      <c r="AG472" t="s" s="0">
        <v>10621</v>
      </c>
      <c r="AH472" t="s" s="0">
        <v>81</v>
      </c>
      <c r="AI472" t="s" s="0">
        <v>10622</v>
      </c>
      <c r="AJ472" t="s" s="0">
        <v>10623</v>
      </c>
      <c r="AK472" t="s" s="0">
        <v>81</v>
      </c>
      <c r="AL472" t="s" s="0">
        <v>222</v>
      </c>
      <c r="AM472" t="s" s="0">
        <v>97</v>
      </c>
      <c r="AN472" t="s" s="0">
        <v>97</v>
      </c>
      <c r="AO472" t="s" s="0">
        <v>156</v>
      </c>
      <c r="AP472" t="s" s="0">
        <v>175</v>
      </c>
      <c r="AQ472" t="s" s="0">
        <v>2927</v>
      </c>
      <c r="AR472" t="s" s="0">
        <v>546</v>
      </c>
      <c r="AS472" t="s" s="0">
        <v>2928</v>
      </c>
      <c r="AT472" t="s" s="0">
        <v>10624</v>
      </c>
      <c r="AU472" t="s" s="0">
        <v>10625</v>
      </c>
      <c r="AV472" t="s" s="0">
        <v>81</v>
      </c>
      <c r="AW472" t="s" s="0">
        <v>10626</v>
      </c>
      <c r="AX472" t="s" s="0">
        <v>10627</v>
      </c>
      <c r="AY472" t="s" s="0">
        <v>149</v>
      </c>
      <c r="AZ472" t="s" s="0">
        <v>290</v>
      </c>
      <c r="BA472" t="s" s="0">
        <v>1207</v>
      </c>
      <c r="BB472" t="s" s="0">
        <v>81</v>
      </c>
      <c r="BC472" t="s" s="0">
        <v>81</v>
      </c>
      <c r="BD472" t="s" s="0">
        <v>81</v>
      </c>
      <c r="BE472" t="s" s="0">
        <v>81</v>
      </c>
      <c r="BF472" t="s" s="0">
        <v>81</v>
      </c>
      <c r="BG472" t="s" s="0">
        <v>81</v>
      </c>
      <c r="BH472" t="s" s="0">
        <v>81</v>
      </c>
      <c r="BI472" t="s" s="0">
        <v>10628</v>
      </c>
      <c r="BJ472" t="s" s="0">
        <v>10629</v>
      </c>
      <c r="BK472" t="s" s="936">
        <f>HYPERLINK("http://dx.doi.org/10.1016/j.smrv.2025.102152","http://dx.doi.org/10.1016/j.smrv.2025.102152")</f>
        <v>10630</v>
      </c>
      <c r="BL472" t="s" s="0">
        <v>81</v>
      </c>
      <c r="BM472" t="s" s="0">
        <v>1869</v>
      </c>
      <c r="BN472" t="s" s="0">
        <v>156</v>
      </c>
      <c r="BO472" t="s" s="0">
        <v>3906</v>
      </c>
      <c r="BP472" t="s" s="0">
        <v>2504</v>
      </c>
      <c r="BQ472" t="s" s="0">
        <v>10631</v>
      </c>
      <c r="BR472" t="s" s="0">
        <v>10632</v>
      </c>
      <c r="BS472" t="s" s="0">
        <v>10633</v>
      </c>
      <c r="BT472" t="s" s="937">
        <f>HYPERLINK("https://www.webofscience.com/wos/woscc/full-record/WOS:001581998400001","View Record in Web of Science")</f>
        <v>114</v>
      </c>
      <c r="BU472" t="s" s="0">
        <v>81</v>
      </c>
      <c r="BV472" t="s" s="0">
        <v>81</v>
      </c>
      <c r="BW472" t="s" s="0">
        <v>81</v>
      </c>
      <c r="BX472" t="s" s="0">
        <v>116</v>
      </c>
    </row>
    <row r="473">
      <c r="A473" t="s" s="0">
        <v>196</v>
      </c>
      <c r="B473" t="s" s="0">
        <v>77</v>
      </c>
      <c r="C473" t="s" s="0">
        <v>196</v>
      </c>
      <c r="D473" t="s" s="0">
        <v>77</v>
      </c>
      <c r="E473" t="s" s="0">
        <v>10634</v>
      </c>
      <c r="F473" t="s" s="0">
        <v>10635</v>
      </c>
      <c r="G473" t="s" s="0">
        <v>10636</v>
      </c>
      <c r="H473" t="s" s="0">
        <v>81</v>
      </c>
      <c r="I473" t="s" s="0">
        <v>82</v>
      </c>
      <c r="J473" t="s" s="0">
        <v>10637</v>
      </c>
      <c r="K473" t="s" s="0">
        <v>10638</v>
      </c>
      <c r="L473" t="s" s="0">
        <v>81</v>
      </c>
      <c r="M473" t="s" s="0">
        <v>81</v>
      </c>
      <c r="N473" t="s" s="0">
        <v>81</v>
      </c>
      <c r="O473" t="s" s="0">
        <v>10639</v>
      </c>
      <c r="P473" t="s" s="0">
        <v>10640</v>
      </c>
      <c r="Q473" t="s" s="0">
        <v>87</v>
      </c>
      <c r="R473" t="s" s="0">
        <v>81</v>
      </c>
      <c r="S473" t="s" s="0">
        <v>81</v>
      </c>
      <c r="T473" t="s" s="0">
        <v>81</v>
      </c>
      <c r="U473" t="s" s="0">
        <v>81</v>
      </c>
      <c r="V473" t="s" s="0">
        <v>10641</v>
      </c>
      <c r="W473" t="s" s="0">
        <v>10642</v>
      </c>
      <c r="X473" t="s" s="0">
        <v>81</v>
      </c>
      <c r="Y473" t="s" s="0">
        <v>81</v>
      </c>
      <c r="Z473" t="s" s="0">
        <v>90</v>
      </c>
      <c r="AA473" t="s" s="0">
        <v>91</v>
      </c>
      <c r="AB473" t="s" s="0">
        <v>81</v>
      </c>
      <c r="AC473" t="s" s="0">
        <v>81</v>
      </c>
      <c r="AD473" t="s" s="0">
        <v>81</v>
      </c>
      <c r="AE473" t="s" s="0">
        <v>81</v>
      </c>
      <c r="AF473" t="s" s="0">
        <v>81</v>
      </c>
      <c r="AG473" t="s" s="0">
        <v>10643</v>
      </c>
      <c r="AH473" t="s" s="0">
        <v>10644</v>
      </c>
      <c r="AI473" t="s" s="0">
        <v>10645</v>
      </c>
      <c r="AJ473" t="s" s="0">
        <v>10646</v>
      </c>
      <c r="AK473" t="s" s="0">
        <v>81</v>
      </c>
      <c r="AL473" t="s" s="0">
        <v>176</v>
      </c>
      <c r="AM473" t="s" s="0">
        <v>134</v>
      </c>
      <c r="AN473" t="s" s="0">
        <v>485</v>
      </c>
      <c r="AO473" t="s" s="0">
        <v>77</v>
      </c>
      <c r="AP473" t="s" s="0">
        <v>316</v>
      </c>
      <c r="AQ473" t="s" s="0">
        <v>212</v>
      </c>
      <c r="AR473" t="s" s="0">
        <v>429</v>
      </c>
      <c r="AS473" t="s" s="0">
        <v>784</v>
      </c>
      <c r="AT473" t="s" s="0">
        <v>10647</v>
      </c>
      <c r="AU473" t="s" s="0">
        <v>10648</v>
      </c>
      <c r="AV473" t="s" s="0">
        <v>81</v>
      </c>
      <c r="AW473" t="s" s="0">
        <v>10649</v>
      </c>
      <c r="AX473" t="s" s="0">
        <v>10650</v>
      </c>
      <c r="AY473" t="s" s="0">
        <v>1816</v>
      </c>
      <c r="AZ473" t="s" s="0">
        <v>185</v>
      </c>
      <c r="BA473" t="s" s="0">
        <v>150</v>
      </c>
      <c r="BB473" t="s" s="0">
        <v>211</v>
      </c>
      <c r="BC473" t="s" s="0">
        <v>81</v>
      </c>
      <c r="BD473" t="s" s="0">
        <v>81</v>
      </c>
      <c r="BE473" t="s" s="0">
        <v>81</v>
      </c>
      <c r="BF473" t="s" s="0">
        <v>81</v>
      </c>
      <c r="BG473" t="s" s="0">
        <v>10651</v>
      </c>
      <c r="BH473" t="s" s="0">
        <v>10652</v>
      </c>
      <c r="BI473" t="s" s="0">
        <v>81</v>
      </c>
      <c r="BJ473" t="s" s="0">
        <v>10653</v>
      </c>
      <c r="BK473" t="s" s="938">
        <f>HYPERLINK("http://dx.doi.org/10.1007/s11695-024-07501-0","http://dx.doi.org/10.1007/s11695-024-07501-0")</f>
        <v>10654</v>
      </c>
      <c r="BL473" t="s" s="0">
        <v>81</v>
      </c>
      <c r="BM473" t="s" s="0">
        <v>6550</v>
      </c>
      <c r="BN473" t="s" s="0">
        <v>134</v>
      </c>
      <c r="BO473" t="s" s="0">
        <v>4529</v>
      </c>
      <c r="BP473" t="s" s="0">
        <v>4529</v>
      </c>
      <c r="BQ473" t="s" s="0">
        <v>10655</v>
      </c>
      <c r="BR473" t="s" s="0">
        <v>10656</v>
      </c>
      <c r="BS473" t="s" s="0">
        <v>10657</v>
      </c>
      <c r="BT473" t="s" s="939">
        <f>HYPERLINK("https://www.webofscience.com/wos/woscc/full-record/WOS:001313276800001","View Record in Web of Science")</f>
        <v>114</v>
      </c>
      <c r="BU473" t="s" s="0">
        <v>81</v>
      </c>
      <c r="BV473" t="s" s="0">
        <v>81</v>
      </c>
      <c r="BW473" t="s" s="0">
        <v>81</v>
      </c>
      <c r="BX473" t="s" s="0">
        <v>116</v>
      </c>
    </row>
    <row r="474">
      <c r="A474" t="s" s="0">
        <v>77</v>
      </c>
      <c r="B474" t="s" s="0">
        <v>77</v>
      </c>
      <c r="C474" t="s" s="0">
        <v>196</v>
      </c>
      <c r="D474" t="s" s="0">
        <v>77</v>
      </c>
      <c r="E474" t="s" s="0">
        <v>10658</v>
      </c>
      <c r="F474" t="s" s="0">
        <v>10659</v>
      </c>
      <c r="G474" t="s" s="0">
        <v>10660</v>
      </c>
      <c r="H474" t="s" s="0">
        <v>81</v>
      </c>
      <c r="I474" t="s" s="0">
        <v>82</v>
      </c>
      <c r="J474" t="s" s="0">
        <v>10661</v>
      </c>
      <c r="K474" t="s" s="0">
        <v>10662</v>
      </c>
      <c r="L474" t="s" s="0">
        <v>10663</v>
      </c>
      <c r="M474" t="s" s="0">
        <v>10664</v>
      </c>
      <c r="N474" t="s" s="0">
        <v>10665</v>
      </c>
      <c r="O474" t="s" s="0">
        <v>10666</v>
      </c>
      <c r="P474" t="s" s="0">
        <v>10667</v>
      </c>
      <c r="Q474" t="s" s="0">
        <v>87</v>
      </c>
      <c r="R474" t="s" s="0">
        <v>81</v>
      </c>
      <c r="S474" t="s" s="0">
        <v>81</v>
      </c>
      <c r="T474" t="s" s="0">
        <v>81</v>
      </c>
      <c r="U474" t="s" s="0">
        <v>81</v>
      </c>
      <c r="V474" t="s" s="0">
        <v>10668</v>
      </c>
      <c r="W474" t="s" s="0">
        <v>10669</v>
      </c>
      <c r="X474" t="s" s="0">
        <v>81</v>
      </c>
      <c r="Y474" t="s" s="0">
        <v>81</v>
      </c>
      <c r="Z474" t="s" s="0">
        <v>90</v>
      </c>
      <c r="AA474" t="s" s="0">
        <v>91</v>
      </c>
      <c r="AB474" t="s" s="0">
        <v>81</v>
      </c>
      <c r="AC474" t="s" s="0">
        <v>81</v>
      </c>
      <c r="AD474" t="s" s="0">
        <v>81</v>
      </c>
      <c r="AE474" t="s" s="0">
        <v>81</v>
      </c>
      <c r="AF474" t="s" s="0">
        <v>81</v>
      </c>
      <c r="AG474" t="s" s="0">
        <v>10670</v>
      </c>
      <c r="AH474" t="s" s="0">
        <v>10671</v>
      </c>
      <c r="AI474" t="s" s="0">
        <v>10672</v>
      </c>
      <c r="AJ474" t="s" s="0">
        <v>10673</v>
      </c>
      <c r="AK474" t="s" s="0">
        <v>81</v>
      </c>
      <c r="AL474" t="s" s="0">
        <v>1511</v>
      </c>
      <c r="AM474" t="s" s="0">
        <v>381</v>
      </c>
      <c r="AN474" t="s" s="0">
        <v>381</v>
      </c>
      <c r="AO474" t="s" s="0">
        <v>77</v>
      </c>
      <c r="AP474" t="s" s="0">
        <v>211</v>
      </c>
      <c r="AQ474" t="s" s="0">
        <v>177</v>
      </c>
      <c r="AR474" t="s" s="0">
        <v>178</v>
      </c>
      <c r="AS474" t="s" s="0">
        <v>179</v>
      </c>
      <c r="AT474" t="s" s="0">
        <v>10674</v>
      </c>
      <c r="AU474" t="s" s="0">
        <v>10675</v>
      </c>
      <c r="AV474" t="s" s="0">
        <v>81</v>
      </c>
      <c r="AW474" t="s" s="0">
        <v>10669</v>
      </c>
      <c r="AX474" t="s" s="0">
        <v>10676</v>
      </c>
      <c r="AY474" t="s" s="0">
        <v>6722</v>
      </c>
      <c r="AZ474" t="s" s="0">
        <v>185</v>
      </c>
      <c r="BA474" t="s" s="0">
        <v>1184</v>
      </c>
      <c r="BB474" t="s" s="0">
        <v>81</v>
      </c>
      <c r="BC474" t="s" s="0">
        <v>81</v>
      </c>
      <c r="BD474" t="s" s="0">
        <v>81</v>
      </c>
      <c r="BE474" t="s" s="0">
        <v>81</v>
      </c>
      <c r="BF474" t="s" s="0">
        <v>81</v>
      </c>
      <c r="BG474" t="s" s="0">
        <v>81</v>
      </c>
      <c r="BH474" t="s" s="0">
        <v>81</v>
      </c>
      <c r="BI474" t="s" s="0">
        <v>10677</v>
      </c>
      <c r="BJ474" t="s" s="0">
        <v>10678</v>
      </c>
      <c r="BK474" t="s" s="940">
        <f>HYPERLINK("http://dx.doi.org/10.1016/j.mito.2023.11.004","http://dx.doi.org/10.1016/j.mito.2023.11.004")</f>
        <v>10679</v>
      </c>
      <c r="BL474" t="s" s="0">
        <v>81</v>
      </c>
      <c r="BM474" t="s" s="0">
        <v>4259</v>
      </c>
      <c r="BN474" t="s" s="0">
        <v>291</v>
      </c>
      <c r="BO474" t="s" s="0">
        <v>10680</v>
      </c>
      <c r="BP474" t="s" s="0">
        <v>10680</v>
      </c>
      <c r="BQ474" t="s" s="0">
        <v>10681</v>
      </c>
      <c r="BR474" t="s" s="0">
        <v>10682</v>
      </c>
      <c r="BS474" t="s" s="0">
        <v>10683</v>
      </c>
      <c r="BT474" t="s" s="941">
        <f>HYPERLINK("https://www.webofscience.com/wos/woscc/full-record/WOS:001134234000001","View Record in Web of Science")</f>
        <v>114</v>
      </c>
      <c r="BU474" t="s" s="0">
        <v>81</v>
      </c>
      <c r="BV474" t="s" s="0">
        <v>81</v>
      </c>
      <c r="BW474" t="s" s="0">
        <v>81</v>
      </c>
      <c r="BX474" t="s" s="0">
        <v>116</v>
      </c>
    </row>
    <row r="475">
      <c r="A475" t="s" s="0">
        <v>77</v>
      </c>
      <c r="B475" t="s" s="0">
        <v>77</v>
      </c>
      <c r="C475" t="s" s="0">
        <v>175</v>
      </c>
      <c r="D475" t="s" s="0">
        <v>77</v>
      </c>
      <c r="E475" t="s" s="0">
        <v>10684</v>
      </c>
      <c r="F475" t="s" s="0">
        <v>10685</v>
      </c>
      <c r="G475" t="s" s="0">
        <v>10686</v>
      </c>
      <c r="H475" t="s" s="0">
        <v>81</v>
      </c>
      <c r="I475" t="s" s="0">
        <v>82</v>
      </c>
      <c r="J475" t="s" s="0">
        <v>10687</v>
      </c>
      <c r="K475" t="s" s="0">
        <v>10688</v>
      </c>
      <c r="L475" t="s" s="0">
        <v>10689</v>
      </c>
      <c r="M475" t="s" s="0">
        <v>10689</v>
      </c>
      <c r="N475" t="s" s="0">
        <v>10690</v>
      </c>
      <c r="O475" t="s" s="0">
        <v>10691</v>
      </c>
      <c r="P475" t="s" s="0">
        <v>10692</v>
      </c>
      <c r="Q475" t="s" s="0">
        <v>87</v>
      </c>
      <c r="R475" t="s" s="0">
        <v>81</v>
      </c>
      <c r="S475" t="s" s="0">
        <v>81</v>
      </c>
      <c r="T475" t="s" s="0">
        <v>81</v>
      </c>
      <c r="U475" t="s" s="0">
        <v>81</v>
      </c>
      <c r="V475" t="s" s="0">
        <v>10693</v>
      </c>
      <c r="W475" t="s" s="0">
        <v>910</v>
      </c>
      <c r="X475" t="s" s="0">
        <v>81</v>
      </c>
      <c r="Y475" t="s" s="0">
        <v>81</v>
      </c>
      <c r="Z475" t="s" s="0">
        <v>90</v>
      </c>
      <c r="AA475" t="s" s="0">
        <v>91</v>
      </c>
      <c r="AB475" t="s" s="0">
        <v>81</v>
      </c>
      <c r="AC475" t="s" s="0">
        <v>81</v>
      </c>
      <c r="AD475" t="s" s="0">
        <v>81</v>
      </c>
      <c r="AE475" t="s" s="0">
        <v>81</v>
      </c>
      <c r="AF475" t="s" s="0">
        <v>81</v>
      </c>
      <c r="AG475" t="s" s="0">
        <v>81</v>
      </c>
      <c r="AH475" t="s" s="0">
        <v>10694</v>
      </c>
      <c r="AI475" t="s" s="0">
        <v>10695</v>
      </c>
      <c r="AJ475" t="s" s="0">
        <v>10696</v>
      </c>
      <c r="AK475" t="s" s="0">
        <v>81</v>
      </c>
      <c r="AL475" t="s" s="0">
        <v>3984</v>
      </c>
      <c r="AM475" t="s" s="0">
        <v>211</v>
      </c>
      <c r="AN475" t="s" s="0">
        <v>191</v>
      </c>
      <c r="AO475" t="s" s="0">
        <v>77</v>
      </c>
      <c r="AP475" t="s" s="0">
        <v>196</v>
      </c>
      <c r="AQ475" t="s" s="0">
        <v>915</v>
      </c>
      <c r="AR475" t="s" s="0">
        <v>916</v>
      </c>
      <c r="AS475" t="s" s="0">
        <v>917</v>
      </c>
      <c r="AT475" t="s" s="0">
        <v>918</v>
      </c>
      <c r="AU475" t="s" s="0">
        <v>81</v>
      </c>
      <c r="AV475" t="s" s="0">
        <v>81</v>
      </c>
      <c r="AW475" t="s" s="0">
        <v>919</v>
      </c>
      <c r="AX475" t="s" s="0">
        <v>920</v>
      </c>
      <c r="AY475" t="s" s="0">
        <v>10697</v>
      </c>
      <c r="AZ475" t="s" s="0">
        <v>290</v>
      </c>
      <c r="BA475" t="s" s="0">
        <v>291</v>
      </c>
      <c r="BB475" t="s" s="0">
        <v>97</v>
      </c>
      <c r="BC475" t="s" s="0">
        <v>81</v>
      </c>
      <c r="BD475" t="s" s="0">
        <v>81</v>
      </c>
      <c r="BE475" t="s" s="0">
        <v>81</v>
      </c>
      <c r="BF475" t="s" s="0">
        <v>81</v>
      </c>
      <c r="BG475" t="s" s="0">
        <v>81</v>
      </c>
      <c r="BH475" t="s" s="0">
        <v>81</v>
      </c>
      <c r="BI475" t="s" s="0">
        <v>10698</v>
      </c>
      <c r="BJ475" t="s" s="0">
        <v>10699</v>
      </c>
      <c r="BK475" t="s" s="942">
        <f>HYPERLINK("http://dx.doi.org/10.1038/s41598-025-95351-w","http://dx.doi.org/10.1038/s41598-025-95351-w")</f>
        <v>10700</v>
      </c>
      <c r="BL475" t="s" s="0">
        <v>81</v>
      </c>
      <c r="BM475" t="s" s="0">
        <v>81</v>
      </c>
      <c r="BN475" t="s" s="0">
        <v>925</v>
      </c>
      <c r="BO475" t="s" s="0">
        <v>926</v>
      </c>
      <c r="BP475" t="s" s="0">
        <v>927</v>
      </c>
      <c r="BQ475" t="s" s="0">
        <v>10701</v>
      </c>
      <c r="BR475" t="s" s="0">
        <v>10702</v>
      </c>
      <c r="BS475" t="s" s="0">
        <v>10703</v>
      </c>
      <c r="BT475" t="s" s="943">
        <f>HYPERLINK("https://www.webofscience.com/wos/woscc/full-record/WOS:001456731400012","View Record in Web of Science")</f>
        <v>114</v>
      </c>
      <c r="BU475" t="s" s="0">
        <v>301</v>
      </c>
      <c r="BV475" t="s" s="0">
        <v>81</v>
      </c>
      <c r="BW475" t="s" s="0">
        <v>81</v>
      </c>
      <c r="BX475" t="s" s="0">
        <v>116</v>
      </c>
    </row>
    <row r="476">
      <c r="A476" t="s" s="0">
        <v>77</v>
      </c>
      <c r="B476" t="s" s="0">
        <v>77</v>
      </c>
      <c r="C476" t="s" s="0">
        <v>156</v>
      </c>
      <c r="D476" t="s" s="0">
        <v>77</v>
      </c>
      <c r="E476" t="s" s="0">
        <v>10704</v>
      </c>
      <c r="F476" t="s" s="0">
        <v>10705</v>
      </c>
      <c r="G476" t="s" s="0">
        <v>10706</v>
      </c>
      <c r="H476" t="s" s="0">
        <v>81</v>
      </c>
      <c r="I476" t="s" s="0">
        <v>82</v>
      </c>
      <c r="J476" t="s" s="0">
        <v>10707</v>
      </c>
      <c r="K476" t="s" s="0">
        <v>10708</v>
      </c>
      <c r="L476" t="s" s="0">
        <v>10709</v>
      </c>
      <c r="M476" t="s" s="0">
        <v>10710</v>
      </c>
      <c r="N476" t="s" s="0">
        <v>10711</v>
      </c>
      <c r="O476" t="s" s="0">
        <v>10712</v>
      </c>
      <c r="P476" t="s" s="0">
        <v>10713</v>
      </c>
      <c r="Q476" t="s" s="0">
        <v>87</v>
      </c>
      <c r="R476" t="s" s="0">
        <v>81</v>
      </c>
      <c r="S476" t="s" s="0">
        <v>81</v>
      </c>
      <c r="T476" t="s" s="0">
        <v>81</v>
      </c>
      <c r="U476" t="s" s="0">
        <v>81</v>
      </c>
      <c r="V476" t="s" s="0">
        <v>10714</v>
      </c>
      <c r="W476" t="s" s="0">
        <v>168</v>
      </c>
      <c r="X476" t="s" s="0">
        <v>81</v>
      </c>
      <c r="Y476" t="s" s="0">
        <v>81</v>
      </c>
      <c r="Z476" t="s" s="0">
        <v>90</v>
      </c>
      <c r="AA476" t="s" s="0">
        <v>91</v>
      </c>
      <c r="AB476" t="s" s="0">
        <v>81</v>
      </c>
      <c r="AC476" t="s" s="0">
        <v>81</v>
      </c>
      <c r="AD476" t="s" s="0">
        <v>81</v>
      </c>
      <c r="AE476" t="s" s="0">
        <v>81</v>
      </c>
      <c r="AF476" t="s" s="0">
        <v>81</v>
      </c>
      <c r="AG476" t="s" s="0">
        <v>10715</v>
      </c>
      <c r="AH476" t="s" s="0">
        <v>81</v>
      </c>
      <c r="AI476" t="s" s="0">
        <v>10716</v>
      </c>
      <c r="AJ476" t="s" s="0">
        <v>10717</v>
      </c>
      <c r="AK476" t="s" s="0">
        <v>81</v>
      </c>
      <c r="AL476" t="s" s="0">
        <v>399</v>
      </c>
      <c r="AM476" t="s" s="0">
        <v>291</v>
      </c>
      <c r="AN476" t="s" s="0">
        <v>222</v>
      </c>
      <c r="AO476" t="s" s="0">
        <v>97</v>
      </c>
      <c r="AP476" t="s" s="0">
        <v>486</v>
      </c>
      <c r="AQ476" t="s" s="0">
        <v>177</v>
      </c>
      <c r="AR476" t="s" s="0">
        <v>178</v>
      </c>
      <c r="AS476" t="s" s="0">
        <v>179</v>
      </c>
      <c r="AT476" t="s" s="0">
        <v>180</v>
      </c>
      <c r="AU476" t="s" s="0">
        <v>181</v>
      </c>
      <c r="AV476" t="s" s="0">
        <v>81</v>
      </c>
      <c r="AW476" t="s" s="0">
        <v>182</v>
      </c>
      <c r="AX476" t="s" s="0">
        <v>183</v>
      </c>
      <c r="AY476" t="s" s="0">
        <v>6555</v>
      </c>
      <c r="AZ476" t="s" s="0">
        <v>185</v>
      </c>
      <c r="BA476" t="s" s="0">
        <v>1186</v>
      </c>
      <c r="BB476" t="s" s="0">
        <v>81</v>
      </c>
      <c r="BC476" t="s" s="0">
        <v>81</v>
      </c>
      <c r="BD476" t="s" s="0">
        <v>81</v>
      </c>
      <c r="BE476" t="s" s="0">
        <v>81</v>
      </c>
      <c r="BF476" t="s" s="0">
        <v>81</v>
      </c>
      <c r="BG476" t="s" s="0">
        <v>81</v>
      </c>
      <c r="BH476" t="s" s="0">
        <v>81</v>
      </c>
      <c r="BI476" t="s" s="0">
        <v>10718</v>
      </c>
      <c r="BJ476" t="s" s="0">
        <v>10719</v>
      </c>
      <c r="BK476" t="s" s="944">
        <f>HYPERLINK("http://dx.doi.org/10.1016/j.patcog.2024.110418","http://dx.doi.org/10.1016/j.patcog.2024.110418")</f>
        <v>10720</v>
      </c>
      <c r="BL476" t="s" s="0">
        <v>81</v>
      </c>
      <c r="BM476" t="s" s="0">
        <v>4409</v>
      </c>
      <c r="BN476" t="s" s="0">
        <v>367</v>
      </c>
      <c r="BO476" t="s" s="0">
        <v>192</v>
      </c>
      <c r="BP476" t="s" s="0">
        <v>193</v>
      </c>
      <c r="BQ476" t="s" s="0">
        <v>10721</v>
      </c>
      <c r="BR476" t="s" s="0">
        <v>81</v>
      </c>
      <c r="BS476" t="s" s="0">
        <v>10722</v>
      </c>
      <c r="BT476" t="s" s="945">
        <f>HYPERLINK("https://www.webofscience.com/wos/woscc/full-record/WOS:001221629600001","View Record in Web of Science")</f>
        <v>114</v>
      </c>
      <c r="BU476" t="s" s="0">
        <v>1055</v>
      </c>
      <c r="BV476" t="s" s="0">
        <v>81</v>
      </c>
      <c r="BW476" t="s" s="0">
        <v>81</v>
      </c>
      <c r="BX476" t="s" s="0">
        <v>116</v>
      </c>
    </row>
    <row r="477">
      <c r="A477" t="s" s="0">
        <v>77</v>
      </c>
      <c r="B477" t="s" s="0">
        <v>77</v>
      </c>
      <c r="C477" t="s" s="0">
        <v>156</v>
      </c>
      <c r="D477" t="s" s="0">
        <v>77</v>
      </c>
      <c r="E477" t="s" s="0">
        <v>10723</v>
      </c>
      <c r="F477" t="s" s="0">
        <v>10724</v>
      </c>
      <c r="G477" t="s" s="0">
        <v>10725</v>
      </c>
      <c r="H477" t="s" s="0">
        <v>81</v>
      </c>
      <c r="I477" t="s" s="0">
        <v>82</v>
      </c>
      <c r="J477" t="s" s="0">
        <v>10726</v>
      </c>
      <c r="K477" t="s" s="0">
        <v>10727</v>
      </c>
      <c r="L477" t="s" s="0">
        <v>10728</v>
      </c>
      <c r="M477" t="s" s="0">
        <v>10729</v>
      </c>
      <c r="N477" t="s" s="0">
        <v>10730</v>
      </c>
      <c r="O477" t="s" s="0">
        <v>10731</v>
      </c>
      <c r="P477" t="s" s="0">
        <v>10732</v>
      </c>
      <c r="Q477" t="s" s="0">
        <v>87</v>
      </c>
      <c r="R477" t="s" s="0">
        <v>81</v>
      </c>
      <c r="S477" t="s" s="0">
        <v>81</v>
      </c>
      <c r="T477" t="s" s="0">
        <v>81</v>
      </c>
      <c r="U477" t="s" s="0">
        <v>81</v>
      </c>
      <c r="V477" t="s" s="0">
        <v>10733</v>
      </c>
      <c r="W477" t="s" s="0">
        <v>10734</v>
      </c>
      <c r="X477" t="s" s="0">
        <v>81</v>
      </c>
      <c r="Y477" t="s" s="0">
        <v>81</v>
      </c>
      <c r="Z477" t="s" s="0">
        <v>90</v>
      </c>
      <c r="AA477" t="s" s="0">
        <v>91</v>
      </c>
      <c r="AB477" t="s" s="0">
        <v>81</v>
      </c>
      <c r="AC477" t="s" s="0">
        <v>81</v>
      </c>
      <c r="AD477" t="s" s="0">
        <v>81</v>
      </c>
      <c r="AE477" t="s" s="0">
        <v>81</v>
      </c>
      <c r="AF477" t="s" s="0">
        <v>81</v>
      </c>
      <c r="AG477" t="s" s="0">
        <v>81</v>
      </c>
      <c r="AH477" t="s" s="0">
        <v>10735</v>
      </c>
      <c r="AI477" t="s" s="0">
        <v>10736</v>
      </c>
      <c r="AJ477" t="s" s="0">
        <v>10737</v>
      </c>
      <c r="AK477" t="s" s="0">
        <v>81</v>
      </c>
      <c r="AL477" t="s" s="0">
        <v>1442</v>
      </c>
      <c r="AM477" t="s" s="0">
        <v>381</v>
      </c>
      <c r="AN477" t="s" s="0">
        <v>261</v>
      </c>
      <c r="AO477" t="s" s="0">
        <v>77</v>
      </c>
      <c r="AP477" t="s" s="0">
        <v>196</v>
      </c>
      <c r="AQ477" t="s" s="0">
        <v>915</v>
      </c>
      <c r="AR477" t="s" s="0">
        <v>916</v>
      </c>
      <c r="AS477" t="s" s="0">
        <v>917</v>
      </c>
      <c r="AT477" t="s" s="0">
        <v>81</v>
      </c>
      <c r="AU477" t="s" s="0">
        <v>10738</v>
      </c>
      <c r="AV477" t="s" s="0">
        <v>81</v>
      </c>
      <c r="AW477" t="s" s="0">
        <v>10739</v>
      </c>
      <c r="AX477" t="s" s="0">
        <v>10740</v>
      </c>
      <c r="AY477" t="s" s="0">
        <v>10606</v>
      </c>
      <c r="AZ477" t="s" s="0">
        <v>290</v>
      </c>
      <c r="BA477" t="s" s="0">
        <v>261</v>
      </c>
      <c r="BB477" t="s" s="0">
        <v>97</v>
      </c>
      <c r="BC477" t="s" s="0">
        <v>81</v>
      </c>
      <c r="BD477" t="s" s="0">
        <v>81</v>
      </c>
      <c r="BE477" t="s" s="0">
        <v>81</v>
      </c>
      <c r="BF477" t="s" s="0">
        <v>81</v>
      </c>
      <c r="BG477" t="s" s="0">
        <v>81</v>
      </c>
      <c r="BH477" t="s" s="0">
        <v>81</v>
      </c>
      <c r="BI477" t="s" s="0">
        <v>10741</v>
      </c>
      <c r="BJ477" t="s" s="0">
        <v>10742</v>
      </c>
      <c r="BK477" t="s" s="946">
        <f>HYPERLINK("http://dx.doi.org/10.1038/s41698-025-00899-5","http://dx.doi.org/10.1038/s41698-025-00899-5")</f>
        <v>10743</v>
      </c>
      <c r="BL477" t="s" s="0">
        <v>81</v>
      </c>
      <c r="BM477" t="s" s="0">
        <v>81</v>
      </c>
      <c r="BN477" t="s" s="0">
        <v>486</v>
      </c>
      <c r="BO477" t="s" s="0">
        <v>1380</v>
      </c>
      <c r="BP477" t="s" s="0">
        <v>1380</v>
      </c>
      <c r="BQ477" t="s" s="0">
        <v>10744</v>
      </c>
      <c r="BR477" t="s" s="0">
        <v>10745</v>
      </c>
      <c r="BS477" t="s" s="0">
        <v>10746</v>
      </c>
      <c r="BT477" t="s" s="947">
        <f>HYPERLINK("https://www.webofscience.com/wos/woscc/full-record/WOS:001501102700001","View Record in Web of Science")</f>
        <v>114</v>
      </c>
      <c r="BU477" t="s" s="0">
        <v>301</v>
      </c>
      <c r="BV477" t="s" s="0">
        <v>81</v>
      </c>
      <c r="BW477" t="s" s="0">
        <v>81</v>
      </c>
      <c r="BX477" t="s" s="0">
        <v>116</v>
      </c>
    </row>
    <row r="478">
      <c r="A478" t="s" s="0">
        <v>77</v>
      </c>
      <c r="B478" t="s" s="0">
        <v>77</v>
      </c>
      <c r="C478" t="s" s="0">
        <v>196</v>
      </c>
      <c r="D478" t="s" s="0">
        <v>77</v>
      </c>
      <c r="E478" t="s" s="0">
        <v>10747</v>
      </c>
      <c r="F478" t="s" s="0">
        <v>10748</v>
      </c>
      <c r="G478" t="s" s="0">
        <v>10749</v>
      </c>
      <c r="H478" t="s" s="0">
        <v>81</v>
      </c>
      <c r="I478" t="s" s="0">
        <v>82</v>
      </c>
      <c r="J478" t="s" s="0">
        <v>10750</v>
      </c>
      <c r="K478" t="s" s="0">
        <v>10751</v>
      </c>
      <c r="L478" t="s" s="0">
        <v>81</v>
      </c>
      <c r="M478" t="s" s="0">
        <v>81</v>
      </c>
      <c r="N478" t="s" s="0">
        <v>81</v>
      </c>
      <c r="O478" t="s" s="0">
        <v>10752</v>
      </c>
      <c r="P478" t="s" s="0">
        <v>10753</v>
      </c>
      <c r="Q478" t="s" s="0">
        <v>87</v>
      </c>
      <c r="R478" t="s" s="0">
        <v>81</v>
      </c>
      <c r="S478" t="s" s="0">
        <v>81</v>
      </c>
      <c r="T478" t="s" s="0">
        <v>81</v>
      </c>
      <c r="U478" t="s" s="0">
        <v>81</v>
      </c>
      <c r="V478" t="s" s="0">
        <v>10754</v>
      </c>
      <c r="W478" t="s" s="0">
        <v>10755</v>
      </c>
      <c r="X478" t="s" s="0">
        <v>81</v>
      </c>
      <c r="Y478" t="s" s="0">
        <v>81</v>
      </c>
      <c r="Z478" t="s" s="0">
        <v>90</v>
      </c>
      <c r="AA478" t="s" s="0">
        <v>91</v>
      </c>
      <c r="AB478" t="s" s="0">
        <v>81</v>
      </c>
      <c r="AC478" t="s" s="0">
        <v>81</v>
      </c>
      <c r="AD478" t="s" s="0">
        <v>81</v>
      </c>
      <c r="AE478" t="s" s="0">
        <v>81</v>
      </c>
      <c r="AF478" t="s" s="0">
        <v>81</v>
      </c>
      <c r="AG478" t="s" s="0">
        <v>10756</v>
      </c>
      <c r="AH478" t="s" s="0">
        <v>10757</v>
      </c>
      <c r="AI478" t="s" s="0">
        <v>10758</v>
      </c>
      <c r="AJ478" t="s" s="0">
        <v>10759</v>
      </c>
      <c r="AK478" t="s" s="0">
        <v>81</v>
      </c>
      <c r="AL478" t="s" s="0">
        <v>1254</v>
      </c>
      <c r="AM478" t="s" s="0">
        <v>191</v>
      </c>
      <c r="AN478" t="s" s="0">
        <v>191</v>
      </c>
      <c r="AO478" t="s" s="0">
        <v>77</v>
      </c>
      <c r="AP478" t="s" s="0">
        <v>133</v>
      </c>
      <c r="AQ478" t="s" s="0">
        <v>212</v>
      </c>
      <c r="AR478" t="s" s="0">
        <v>429</v>
      </c>
      <c r="AS478" t="s" s="0">
        <v>784</v>
      </c>
      <c r="AT478" t="s" s="0">
        <v>10760</v>
      </c>
      <c r="AU478" t="s" s="0">
        <v>10761</v>
      </c>
      <c r="AV478" t="s" s="0">
        <v>81</v>
      </c>
      <c r="AW478" t="s" s="0">
        <v>10762</v>
      </c>
      <c r="AX478" t="s" s="0">
        <v>10763</v>
      </c>
      <c r="AY478" t="s" s="0">
        <v>1029</v>
      </c>
      <c r="AZ478" t="s" s="0">
        <v>290</v>
      </c>
      <c r="BA478" t="s" s="0">
        <v>5162</v>
      </c>
      <c r="BB478" t="s" s="0">
        <v>97</v>
      </c>
      <c r="BC478" t="s" s="0">
        <v>81</v>
      </c>
      <c r="BD478" t="s" s="0">
        <v>81</v>
      </c>
      <c r="BE478" t="s" s="0">
        <v>81</v>
      </c>
      <c r="BF478" t="s" s="0">
        <v>81</v>
      </c>
      <c r="BG478" t="s" s="0">
        <v>5576</v>
      </c>
      <c r="BH478" t="s" s="0">
        <v>10764</v>
      </c>
      <c r="BI478" t="s" s="0">
        <v>81</v>
      </c>
      <c r="BJ478" t="s" s="0">
        <v>10765</v>
      </c>
      <c r="BK478" t="s" s="948">
        <f>HYPERLINK("http://dx.doi.org/10.1007/s11060-024-04844-7","http://dx.doi.org/10.1007/s11060-024-04844-7")</f>
        <v>10766</v>
      </c>
      <c r="BL478" t="s" s="0">
        <v>81</v>
      </c>
      <c r="BM478" t="s" s="0">
        <v>1816</v>
      </c>
      <c r="BN478" t="s" s="0">
        <v>486</v>
      </c>
      <c r="BO478" t="s" s="0">
        <v>10767</v>
      </c>
      <c r="BP478" t="s" s="0">
        <v>10768</v>
      </c>
      <c r="BQ478" t="s" s="0">
        <v>10769</v>
      </c>
      <c r="BR478" t="s" s="0">
        <v>10770</v>
      </c>
      <c r="BS478" t="s" s="0">
        <v>10771</v>
      </c>
      <c r="BT478" t="s" s="949">
        <f>HYPERLINK("https://www.webofscience.com/wos/woscc/full-record/WOS:001330062700001","View Record in Web of Science")</f>
        <v>114</v>
      </c>
      <c r="BU478" t="s" s="0">
        <v>155</v>
      </c>
      <c r="BV478" t="s" s="0">
        <v>81</v>
      </c>
      <c r="BW478" t="s" s="0">
        <v>81</v>
      </c>
      <c r="BX478" t="s" s="0">
        <v>116</v>
      </c>
    </row>
    <row r="479">
      <c r="A479" t="s" s="0">
        <v>77</v>
      </c>
      <c r="B479" t="s" s="0">
        <v>77</v>
      </c>
      <c r="C479" t="s" s="0">
        <v>77</v>
      </c>
      <c r="D479" t="s" s="0">
        <v>77</v>
      </c>
      <c r="E479" t="s" s="0">
        <v>10772</v>
      </c>
      <c r="F479" t="s" s="0">
        <v>10773</v>
      </c>
      <c r="G479" t="s" s="0">
        <v>10774</v>
      </c>
      <c r="H479" t="s" s="0">
        <v>81</v>
      </c>
      <c r="I479" t="s" s="0">
        <v>528</v>
      </c>
      <c r="J479" t="s" s="0">
        <v>10775</v>
      </c>
      <c r="K479" t="s" s="0">
        <v>10776</v>
      </c>
      <c r="L479" t="s" s="0">
        <v>10777</v>
      </c>
      <c r="M479" t="s" s="0">
        <v>10778</v>
      </c>
      <c r="N479" t="s" s="0">
        <v>10779</v>
      </c>
      <c r="O479" t="s" s="0">
        <v>10780</v>
      </c>
      <c r="P479" t="s" s="0">
        <v>10781</v>
      </c>
      <c r="Q479" t="s" s="0">
        <v>87</v>
      </c>
      <c r="R479" t="s" s="0">
        <v>81</v>
      </c>
      <c r="S479" t="s" s="0">
        <v>81</v>
      </c>
      <c r="T479" t="s" s="0">
        <v>81</v>
      </c>
      <c r="U479" t="s" s="0">
        <v>81</v>
      </c>
      <c r="V479" t="s" s="0">
        <v>10782</v>
      </c>
      <c r="W479" t="s" s="0">
        <v>10783</v>
      </c>
      <c r="X479" t="s" s="0">
        <v>81</v>
      </c>
      <c r="Y479" t="s" s="0">
        <v>81</v>
      </c>
      <c r="Z479" t="s" s="0">
        <v>90</v>
      </c>
      <c r="AA479" t="s" s="0">
        <v>91</v>
      </c>
      <c r="AB479" t="s" s="0">
        <v>81</v>
      </c>
      <c r="AC479" t="s" s="0">
        <v>81</v>
      </c>
      <c r="AD479" t="s" s="0">
        <v>81</v>
      </c>
      <c r="AE479" t="s" s="0">
        <v>81</v>
      </c>
      <c r="AF479" t="s" s="0">
        <v>81</v>
      </c>
      <c r="AG479" t="s" s="0">
        <v>10784</v>
      </c>
      <c r="AH479" t="s" s="0">
        <v>10785</v>
      </c>
      <c r="AI479" t="s" s="0">
        <v>10786</v>
      </c>
      <c r="AJ479" t="s" s="0">
        <v>10787</v>
      </c>
      <c r="AK479" t="s" s="0">
        <v>81</v>
      </c>
      <c r="AL479" t="s" s="0">
        <v>251</v>
      </c>
      <c r="AM479" t="s" s="0">
        <v>77</v>
      </c>
      <c r="AN479" t="s" s="0">
        <v>77</v>
      </c>
      <c r="AO479" t="s" s="0">
        <v>175</v>
      </c>
      <c r="AP479" t="s" s="0">
        <v>316</v>
      </c>
      <c r="AQ479" t="s" s="0">
        <v>136</v>
      </c>
      <c r="AR479" t="s" s="0">
        <v>137</v>
      </c>
      <c r="AS479" t="s" s="0">
        <v>138</v>
      </c>
      <c r="AT479" t="s" s="0">
        <v>10788</v>
      </c>
      <c r="AU479" t="s" s="0">
        <v>10789</v>
      </c>
      <c r="AV479" t="s" s="0">
        <v>81</v>
      </c>
      <c r="AW479" t="s" s="0">
        <v>10790</v>
      </c>
      <c r="AX479" t="s" s="0">
        <v>10791</v>
      </c>
      <c r="AY479" t="s" s="0">
        <v>10792</v>
      </c>
      <c r="AZ479" t="s" s="0">
        <v>103</v>
      </c>
      <c r="BA479" t="s" s="0">
        <v>10793</v>
      </c>
      <c r="BB479" t="s" s="0">
        <v>81</v>
      </c>
      <c r="BC479" t="s" s="0">
        <v>81</v>
      </c>
      <c r="BD479" t="s" s="0">
        <v>81</v>
      </c>
      <c r="BE479" t="s" s="0">
        <v>81</v>
      </c>
      <c r="BF479" t="s" s="0">
        <v>81</v>
      </c>
      <c r="BG479" t="s" s="0">
        <v>81</v>
      </c>
      <c r="BH479" t="s" s="0">
        <v>81</v>
      </c>
      <c r="BI479" t="s" s="0">
        <v>10794</v>
      </c>
      <c r="BJ479" t="s" s="0">
        <v>10795</v>
      </c>
      <c r="BK479" t="s" s="950">
        <f>HYPERLINK("http://dx.doi.org/10.1016/j.jad.2025.120985","http://dx.doi.org/10.1016/j.jad.2025.120985")</f>
        <v>10796</v>
      </c>
      <c r="BL479" t="s" s="0">
        <v>81</v>
      </c>
      <c r="BM479" t="s" s="0">
        <v>2353</v>
      </c>
      <c r="BN479" t="s" s="0">
        <v>191</v>
      </c>
      <c r="BO479" t="s" s="0">
        <v>10797</v>
      </c>
      <c r="BP479" t="s" s="0">
        <v>8096</v>
      </c>
      <c r="BQ479" t="s" s="0">
        <v>10798</v>
      </c>
      <c r="BR479" t="s" s="0">
        <v>10799</v>
      </c>
      <c r="BS479" t="s" s="0">
        <v>10800</v>
      </c>
      <c r="BT479" t="s" s="951">
        <f>HYPERLINK("https://www.webofscience.com/wos/woscc/full-record/WOS:001650769500001","View Record in Web of Science")</f>
        <v>114</v>
      </c>
      <c r="BU479" t="s" s="0">
        <v>81</v>
      </c>
      <c r="BV479" t="s" s="0">
        <v>81</v>
      </c>
      <c r="BW479" t="s" s="0">
        <v>81</v>
      </c>
      <c r="BX479" t="s" s="0">
        <v>116</v>
      </c>
    </row>
    <row r="480">
      <c r="A480" t="s" s="0">
        <v>77</v>
      </c>
      <c r="B480" t="s" s="0">
        <v>77</v>
      </c>
      <c r="C480" t="s" s="0">
        <v>77</v>
      </c>
      <c r="D480" t="s" s="0">
        <v>77</v>
      </c>
      <c r="E480" t="s" s="0">
        <v>10801</v>
      </c>
      <c r="F480" t="s" s="0">
        <v>10802</v>
      </c>
      <c r="G480" t="s" s="0">
        <v>10803</v>
      </c>
      <c r="H480" t="s" s="0">
        <v>81</v>
      </c>
      <c r="I480" t="s" s="0">
        <v>82</v>
      </c>
      <c r="J480" t="s" s="0">
        <v>10804</v>
      </c>
      <c r="K480" t="s" s="0">
        <v>10805</v>
      </c>
      <c r="L480" t="s" s="0">
        <v>10806</v>
      </c>
      <c r="M480" t="s" s="0">
        <v>10807</v>
      </c>
      <c r="N480" t="s" s="0">
        <v>10327</v>
      </c>
      <c r="O480" t="s" s="0">
        <v>10808</v>
      </c>
      <c r="P480" t="s" s="0">
        <v>10809</v>
      </c>
      <c r="Q480" t="s" s="0">
        <v>87</v>
      </c>
      <c r="R480" t="s" s="0">
        <v>81</v>
      </c>
      <c r="S480" t="s" s="0">
        <v>81</v>
      </c>
      <c r="T480" t="s" s="0">
        <v>81</v>
      </c>
      <c r="U480" t="s" s="0">
        <v>81</v>
      </c>
      <c r="V480" t="s" s="0">
        <v>10810</v>
      </c>
      <c r="W480" t="s" s="0">
        <v>10811</v>
      </c>
      <c r="X480" t="s" s="0">
        <v>81</v>
      </c>
      <c r="Y480" t="s" s="0">
        <v>81</v>
      </c>
      <c r="Z480" t="s" s="0">
        <v>90</v>
      </c>
      <c r="AA480" t="s" s="0">
        <v>91</v>
      </c>
      <c r="AB480" t="s" s="0">
        <v>81</v>
      </c>
      <c r="AC480" t="s" s="0">
        <v>81</v>
      </c>
      <c r="AD480" t="s" s="0">
        <v>81</v>
      </c>
      <c r="AE480" t="s" s="0">
        <v>81</v>
      </c>
      <c r="AF480" t="s" s="0">
        <v>81</v>
      </c>
      <c r="AG480" t="s" s="0">
        <v>10812</v>
      </c>
      <c r="AH480" t="s" s="0">
        <v>10813</v>
      </c>
      <c r="AI480" t="s" s="0">
        <v>10814</v>
      </c>
      <c r="AJ480" t="s" s="0">
        <v>81</v>
      </c>
      <c r="AK480" t="s" s="0">
        <v>81</v>
      </c>
      <c r="AL480" t="s" s="0">
        <v>485</v>
      </c>
      <c r="AM480" t="s" s="0">
        <v>77</v>
      </c>
      <c r="AN480" t="s" s="0">
        <v>77</v>
      </c>
      <c r="AO480" t="s" s="0">
        <v>156</v>
      </c>
      <c r="AP480" t="s" s="0">
        <v>156</v>
      </c>
      <c r="AQ480" t="s" s="0">
        <v>212</v>
      </c>
      <c r="AR480" t="s" s="0">
        <v>429</v>
      </c>
      <c r="AS480" t="s" s="0">
        <v>784</v>
      </c>
      <c r="AT480" t="s" s="0">
        <v>10815</v>
      </c>
      <c r="AU480" t="s" s="0">
        <v>10816</v>
      </c>
      <c r="AV480" t="s" s="0">
        <v>81</v>
      </c>
      <c r="AW480" t="s" s="0">
        <v>10817</v>
      </c>
      <c r="AX480" t="s" s="0">
        <v>10818</v>
      </c>
      <c r="AY480" t="s" s="0">
        <v>6947</v>
      </c>
      <c r="AZ480" t="s" s="0">
        <v>103</v>
      </c>
      <c r="BA480" t="s" s="0">
        <v>173</v>
      </c>
      <c r="BB480" t="s" s="0">
        <v>97</v>
      </c>
      <c r="BC480" t="s" s="0">
        <v>81</v>
      </c>
      <c r="BD480" t="s" s="0">
        <v>81</v>
      </c>
      <c r="BE480" t="s" s="0">
        <v>81</v>
      </c>
      <c r="BF480" t="s" s="0">
        <v>81</v>
      </c>
      <c r="BG480" t="s" s="0">
        <v>81</v>
      </c>
      <c r="BH480" t="s" s="0">
        <v>81</v>
      </c>
      <c r="BI480" t="s" s="0">
        <v>466</v>
      </c>
      <c r="BJ480" t="s" s="0">
        <v>10819</v>
      </c>
      <c r="BK480" t="s" s="952">
        <f>HYPERLINK("http://dx.doi.org/10.1007/s00345-026-06448-4","http://dx.doi.org/10.1007/s00345-026-06448-4")</f>
        <v>10820</v>
      </c>
      <c r="BL480" t="s" s="0">
        <v>81</v>
      </c>
      <c r="BM480" t="s" s="0">
        <v>849</v>
      </c>
      <c r="BN480" t="s" s="0">
        <v>925</v>
      </c>
      <c r="BO480" t="s" s="0">
        <v>2334</v>
      </c>
      <c r="BP480" t="s" s="0">
        <v>2334</v>
      </c>
      <c r="BQ480" t="s" s="0">
        <v>10821</v>
      </c>
      <c r="BR480" t="s" s="0">
        <v>10822</v>
      </c>
      <c r="BS480" t="s" s="0">
        <v>10823</v>
      </c>
      <c r="BT480" t="s" s="953">
        <f>HYPERLINK("https://www.webofscience.com/wos/woscc/full-record/WOS:001787645200001","View Record in Web of Science")</f>
        <v>114</v>
      </c>
      <c r="BU480" t="s" s="0">
        <v>155</v>
      </c>
      <c r="BV480" t="s" s="0">
        <v>81</v>
      </c>
      <c r="BW480" t="s" s="0">
        <v>81</v>
      </c>
      <c r="BX480" t="s" s="0">
        <v>116</v>
      </c>
    </row>
    <row r="481">
      <c r="A481" t="s" s="0">
        <v>97</v>
      </c>
      <c r="B481" t="s" s="0">
        <v>77</v>
      </c>
      <c r="C481" t="s" s="0">
        <v>196</v>
      </c>
      <c r="D481" t="s" s="0">
        <v>77</v>
      </c>
      <c r="E481" t="s" s="0">
        <v>10824</v>
      </c>
      <c r="F481" t="s" s="0">
        <v>10825</v>
      </c>
      <c r="G481" t="s" s="0">
        <v>10826</v>
      </c>
      <c r="H481" t="s" s="0">
        <v>81</v>
      </c>
      <c r="I481" t="s" s="0">
        <v>82</v>
      </c>
      <c r="J481" t="s" s="0">
        <v>10827</v>
      </c>
      <c r="K481" t="s" s="0">
        <v>10828</v>
      </c>
      <c r="L481" t="s" s="0">
        <v>81</v>
      </c>
      <c r="M481" t="s" s="0">
        <v>81</v>
      </c>
      <c r="N481" t="s" s="0">
        <v>81</v>
      </c>
      <c r="O481" t="s" s="0">
        <v>10829</v>
      </c>
      <c r="P481" t="s" s="0">
        <v>10830</v>
      </c>
      <c r="Q481" t="s" s="0">
        <v>87</v>
      </c>
      <c r="R481" t="s" s="0">
        <v>81</v>
      </c>
      <c r="S481" t="s" s="0">
        <v>81</v>
      </c>
      <c r="T481" t="s" s="0">
        <v>81</v>
      </c>
      <c r="U481" t="s" s="0">
        <v>81</v>
      </c>
      <c r="V481" t="s" s="0">
        <v>10831</v>
      </c>
      <c r="W481" t="s" s="0">
        <v>1438</v>
      </c>
      <c r="X481" t="s" s="0">
        <v>81</v>
      </c>
      <c r="Y481" t="s" s="0">
        <v>81</v>
      </c>
      <c r="Z481" t="s" s="0">
        <v>90</v>
      </c>
      <c r="AA481" t="s" s="0">
        <v>91</v>
      </c>
      <c r="AB481" t="s" s="0">
        <v>81</v>
      </c>
      <c r="AC481" t="s" s="0">
        <v>81</v>
      </c>
      <c r="AD481" t="s" s="0">
        <v>81</v>
      </c>
      <c r="AE481" t="s" s="0">
        <v>81</v>
      </c>
      <c r="AF481" t="s" s="0">
        <v>81</v>
      </c>
      <c r="AG481" t="s" s="0">
        <v>10832</v>
      </c>
      <c r="AH481" t="s" s="0">
        <v>10833</v>
      </c>
      <c r="AI481" t="s" s="0">
        <v>10834</v>
      </c>
      <c r="AJ481" t="s" s="0">
        <v>10835</v>
      </c>
      <c r="AK481" t="s" s="0">
        <v>81</v>
      </c>
      <c r="AL481" t="s" s="0">
        <v>2422</v>
      </c>
      <c r="AM481" t="s" s="0">
        <v>1049</v>
      </c>
      <c r="AN481" t="s" s="0">
        <v>1511</v>
      </c>
      <c r="AO481" t="s" s="0">
        <v>97</v>
      </c>
      <c r="AP481" t="s" s="0">
        <v>1635</v>
      </c>
      <c r="AQ481" t="s" s="0">
        <v>254</v>
      </c>
      <c r="AR481" t="s" s="0">
        <v>255</v>
      </c>
      <c r="AS481" t="s" s="0">
        <v>256</v>
      </c>
      <c r="AT481" t="s" s="0">
        <v>81</v>
      </c>
      <c r="AU481" t="s" s="0">
        <v>1443</v>
      </c>
      <c r="AV481" t="s" s="0">
        <v>81</v>
      </c>
      <c r="AW481" t="s" s="0">
        <v>1438</v>
      </c>
      <c r="AX481" t="s" s="0">
        <v>1444</v>
      </c>
      <c r="AY481" t="s" s="0">
        <v>10836</v>
      </c>
      <c r="AZ481" t="s" s="0">
        <v>185</v>
      </c>
      <c r="BA481" t="s" s="0">
        <v>211</v>
      </c>
      <c r="BB481" t="s" s="0">
        <v>222</v>
      </c>
      <c r="BC481" t="s" s="0">
        <v>81</v>
      </c>
      <c r="BD481" t="s" s="0">
        <v>81</v>
      </c>
      <c r="BE481" t="s" s="0">
        <v>81</v>
      </c>
      <c r="BF481" t="s" s="0">
        <v>81</v>
      </c>
      <c r="BG481" t="s" s="0">
        <v>81</v>
      </c>
      <c r="BH481" t="s" s="0">
        <v>81</v>
      </c>
      <c r="BI481" t="s" s="0">
        <v>10837</v>
      </c>
      <c r="BJ481" t="s" s="0">
        <v>10838</v>
      </c>
      <c r="BK481" t="s" s="954">
        <f>HYPERLINK("http://dx.doi.org/10.1016/j.heliyon.2024.e36702","http://dx.doi.org/10.1016/j.heliyon.2024.e36702")</f>
        <v>10839</v>
      </c>
      <c r="BL481" t="s" s="0">
        <v>81</v>
      </c>
      <c r="BM481" t="s" s="0">
        <v>2879</v>
      </c>
      <c r="BN481" t="s" s="0">
        <v>925</v>
      </c>
      <c r="BO481" t="s" s="0">
        <v>926</v>
      </c>
      <c r="BP481" t="s" s="0">
        <v>927</v>
      </c>
      <c r="BQ481" t="s" s="0">
        <v>10840</v>
      </c>
      <c r="BR481" t="s" s="0">
        <v>10841</v>
      </c>
      <c r="BS481" t="s" s="0">
        <v>10842</v>
      </c>
      <c r="BT481" t="s" s="955">
        <f>HYPERLINK("https://www.webofscience.com/wos/woscc/full-record/WOS:001302437600001","View Record in Web of Science")</f>
        <v>114</v>
      </c>
      <c r="BU481" t="s" s="0">
        <v>301</v>
      </c>
      <c r="BV481" t="s" s="0">
        <v>81</v>
      </c>
      <c r="BW481" t="s" s="0">
        <v>81</v>
      </c>
      <c r="BX481" t="s" s="0">
        <v>116</v>
      </c>
    </row>
    <row r="482">
      <c r="A482" t="s" s="0">
        <v>77</v>
      </c>
      <c r="B482" t="s" s="0">
        <v>77</v>
      </c>
      <c r="C482" t="s" s="0">
        <v>77</v>
      </c>
      <c r="D482" t="s" s="0">
        <v>77</v>
      </c>
      <c r="E482" t="s" s="0">
        <v>4182</v>
      </c>
      <c r="F482" t="s" s="0">
        <v>10843</v>
      </c>
      <c r="G482" t="s" s="0">
        <v>4184</v>
      </c>
      <c r="H482" t="s" s="0">
        <v>81</v>
      </c>
      <c r="I482" t="s" s="0">
        <v>528</v>
      </c>
      <c r="J482" t="s" s="0">
        <v>10844</v>
      </c>
      <c r="K482" t="s" s="0">
        <v>4186</v>
      </c>
      <c r="L482" t="s" s="0">
        <v>81</v>
      </c>
      <c r="M482" t="s" s="0">
        <v>81</v>
      </c>
      <c r="N482" t="s" s="0">
        <v>81</v>
      </c>
      <c r="O482" t="s" s="0">
        <v>10845</v>
      </c>
      <c r="P482" t="s" s="0">
        <v>10846</v>
      </c>
      <c r="Q482" t="s" s="0">
        <v>87</v>
      </c>
      <c r="R482" t="s" s="0">
        <v>81</v>
      </c>
      <c r="S482" t="s" s="0">
        <v>81</v>
      </c>
      <c r="T482" t="s" s="0">
        <v>81</v>
      </c>
      <c r="U482" t="s" s="0">
        <v>81</v>
      </c>
      <c r="V482" t="s" s="0">
        <v>10847</v>
      </c>
      <c r="W482" t="s" s="0">
        <v>838</v>
      </c>
      <c r="X482" t="s" s="0">
        <v>81</v>
      </c>
      <c r="Y482" t="s" s="0">
        <v>81</v>
      </c>
      <c r="Z482" t="s" s="0">
        <v>90</v>
      </c>
      <c r="AA482" t="s" s="0">
        <v>91</v>
      </c>
      <c r="AB482" t="s" s="0">
        <v>81</v>
      </c>
      <c r="AC482" t="s" s="0">
        <v>81</v>
      </c>
      <c r="AD482" t="s" s="0">
        <v>81</v>
      </c>
      <c r="AE482" t="s" s="0">
        <v>81</v>
      </c>
      <c r="AF482" t="s" s="0">
        <v>81</v>
      </c>
      <c r="AG482" t="s" s="0">
        <v>10848</v>
      </c>
      <c r="AH482" t="s" s="0">
        <v>10849</v>
      </c>
      <c r="AI482" t="s" s="0">
        <v>10850</v>
      </c>
      <c r="AJ482" t="s" s="0">
        <v>81</v>
      </c>
      <c r="AK482" t="s" s="0">
        <v>81</v>
      </c>
      <c r="AL482" t="s" s="0">
        <v>914</v>
      </c>
      <c r="AM482" t="s" s="0">
        <v>77</v>
      </c>
      <c r="AN482" t="s" s="0">
        <v>77</v>
      </c>
      <c r="AO482" t="s" s="0">
        <v>97</v>
      </c>
      <c r="AP482" t="s" s="0">
        <v>97</v>
      </c>
      <c r="AQ482" t="s" s="0">
        <v>368</v>
      </c>
      <c r="AR482" t="s" s="0">
        <v>369</v>
      </c>
      <c r="AS482" t="s" s="0">
        <v>370</v>
      </c>
      <c r="AT482" t="s" s="0">
        <v>81</v>
      </c>
      <c r="AU482" t="s" s="0">
        <v>842</v>
      </c>
      <c r="AV482" t="s" s="0">
        <v>81</v>
      </c>
      <c r="AW482" t="s" s="0">
        <v>843</v>
      </c>
      <c r="AX482" t="s" s="0">
        <v>844</v>
      </c>
      <c r="AY482" t="s" s="0">
        <v>10851</v>
      </c>
      <c r="AZ482" t="s" s="0">
        <v>103</v>
      </c>
      <c r="BA482" t="s" s="0">
        <v>104</v>
      </c>
      <c r="BB482" t="s" s="0">
        <v>81</v>
      </c>
      <c r="BC482" t="s" s="0">
        <v>81</v>
      </c>
      <c r="BD482" t="s" s="0">
        <v>81</v>
      </c>
      <c r="BE482" t="s" s="0">
        <v>81</v>
      </c>
      <c r="BF482" t="s" s="0">
        <v>81</v>
      </c>
      <c r="BG482" t="s" s="0">
        <v>81</v>
      </c>
      <c r="BH482" t="s" s="0">
        <v>81</v>
      </c>
      <c r="BI482" t="s" s="0">
        <v>10852</v>
      </c>
      <c r="BJ482" t="s" s="0">
        <v>10853</v>
      </c>
      <c r="BK482" t="s" s="956">
        <f>HYPERLINK("http://dx.doi.org/10.3389/fpubh.2026.1841479","http://dx.doi.org/10.3389/fpubh.2026.1841479")</f>
        <v>10854</v>
      </c>
      <c r="BL482" t="s" s="0">
        <v>81</v>
      </c>
      <c r="BM482" t="s" s="0">
        <v>849</v>
      </c>
      <c r="BN482" t="s" s="0">
        <v>252</v>
      </c>
      <c r="BO482" t="s" s="0">
        <v>850</v>
      </c>
      <c r="BP482" t="s" s="0">
        <v>850</v>
      </c>
      <c r="BQ482" t="s" s="0">
        <v>10855</v>
      </c>
      <c r="BR482" t="s" s="0">
        <v>10856</v>
      </c>
      <c r="BS482" t="s" s="0">
        <v>10857</v>
      </c>
      <c r="BT482" t="s" s="957">
        <f>HYPERLINK("https://www.webofscience.com/wos/woscc/full-record/WOS:001796418300001","View Record in Web of Science")</f>
        <v>114</v>
      </c>
      <c r="BU482" t="s" s="0">
        <v>301</v>
      </c>
      <c r="BV482" t="s" s="0">
        <v>81</v>
      </c>
      <c r="BW482" t="s" s="0">
        <v>81</v>
      </c>
      <c r="BX482" t="s" s="0">
        <v>116</v>
      </c>
    </row>
    <row r="483">
      <c r="A483" t="s" s="0">
        <v>77</v>
      </c>
      <c r="B483" t="s" s="0">
        <v>77</v>
      </c>
      <c r="C483" t="s" s="0">
        <v>77</v>
      </c>
      <c r="D483" t="s" s="0">
        <v>77</v>
      </c>
      <c r="E483" t="s" s="0">
        <v>10858</v>
      </c>
      <c r="F483" t="s" s="0">
        <v>10859</v>
      </c>
      <c r="G483" t="s" s="0">
        <v>10860</v>
      </c>
      <c r="H483" t="s" s="0">
        <v>81</v>
      </c>
      <c r="I483" t="s" s="0">
        <v>82</v>
      </c>
      <c r="J483" t="s" s="0">
        <v>10861</v>
      </c>
      <c r="K483" t="s" s="0">
        <v>10862</v>
      </c>
      <c r="L483" t="s" s="0">
        <v>81</v>
      </c>
      <c r="M483" t="s" s="0">
        <v>81</v>
      </c>
      <c r="N483" t="s" s="0">
        <v>81</v>
      </c>
      <c r="O483" t="s" s="0">
        <v>10863</v>
      </c>
      <c r="P483" t="s" s="0">
        <v>10864</v>
      </c>
      <c r="Q483" t="s" s="0">
        <v>87</v>
      </c>
      <c r="R483" t="s" s="0">
        <v>81</v>
      </c>
      <c r="S483" t="s" s="0">
        <v>81</v>
      </c>
      <c r="T483" t="s" s="0">
        <v>81</v>
      </c>
      <c r="U483" t="s" s="0">
        <v>81</v>
      </c>
      <c r="V483" t="s" s="0">
        <v>10865</v>
      </c>
      <c r="W483" t="s" s="0">
        <v>9118</v>
      </c>
      <c r="X483" t="s" s="0">
        <v>81</v>
      </c>
      <c r="Y483" t="s" s="0">
        <v>81</v>
      </c>
      <c r="Z483" t="s" s="0">
        <v>90</v>
      </c>
      <c r="AA483" t="s" s="0">
        <v>91</v>
      </c>
      <c r="AB483" t="s" s="0">
        <v>81</v>
      </c>
      <c r="AC483" t="s" s="0">
        <v>81</v>
      </c>
      <c r="AD483" t="s" s="0">
        <v>81</v>
      </c>
      <c r="AE483" t="s" s="0">
        <v>81</v>
      </c>
      <c r="AF483" t="s" s="0">
        <v>81</v>
      </c>
      <c r="AG483" t="s" s="0">
        <v>10866</v>
      </c>
      <c r="AH483" t="s" s="0">
        <v>4100</v>
      </c>
      <c r="AI483" t="s" s="0">
        <v>10867</v>
      </c>
      <c r="AJ483" t="s" s="0">
        <v>10868</v>
      </c>
      <c r="AK483" t="s" s="0">
        <v>81</v>
      </c>
      <c r="AL483" t="s" s="0">
        <v>174</v>
      </c>
      <c r="AM483" t="s" s="0">
        <v>196</v>
      </c>
      <c r="AN483" t="s" s="0">
        <v>196</v>
      </c>
      <c r="AO483" t="s" s="0">
        <v>175</v>
      </c>
      <c r="AP483" t="s" s="0">
        <v>191</v>
      </c>
      <c r="AQ483" t="s" s="0">
        <v>136</v>
      </c>
      <c r="AR483" t="s" s="0">
        <v>137</v>
      </c>
      <c r="AS483" t="s" s="0">
        <v>138</v>
      </c>
      <c r="AT483" t="s" s="0">
        <v>9123</v>
      </c>
      <c r="AU483" t="s" s="0">
        <v>9124</v>
      </c>
      <c r="AV483" t="s" s="0">
        <v>81</v>
      </c>
      <c r="AW483" t="s" s="0">
        <v>9125</v>
      </c>
      <c r="AX483" t="s" s="0">
        <v>9126</v>
      </c>
      <c r="AY483" t="s" s="0">
        <v>149</v>
      </c>
      <c r="AZ483" t="s" s="0">
        <v>290</v>
      </c>
      <c r="BA483" t="s" s="0">
        <v>6379</v>
      </c>
      <c r="BB483" t="s" s="0">
        <v>81</v>
      </c>
      <c r="BC483" t="s" s="0">
        <v>81</v>
      </c>
      <c r="BD483" t="s" s="0">
        <v>81</v>
      </c>
      <c r="BE483" t="s" s="0">
        <v>81</v>
      </c>
      <c r="BF483" t="s" s="0">
        <v>81</v>
      </c>
      <c r="BG483" t="s" s="0">
        <v>81</v>
      </c>
      <c r="BH483" t="s" s="0">
        <v>81</v>
      </c>
      <c r="BI483" t="s" s="0">
        <v>10869</v>
      </c>
      <c r="BJ483" t="s" s="0">
        <v>10870</v>
      </c>
      <c r="BK483" t="s" s="958">
        <f>HYPERLINK("http://dx.doi.org/10.1016/j.imavis.2025.105726","http://dx.doi.org/10.1016/j.imavis.2025.105726")</f>
        <v>10871</v>
      </c>
      <c r="BL483" t="s" s="0">
        <v>81</v>
      </c>
      <c r="BM483" t="s" s="0">
        <v>578</v>
      </c>
      <c r="BN483" t="s" s="0">
        <v>291</v>
      </c>
      <c r="BO483" t="s" s="0">
        <v>9131</v>
      </c>
      <c r="BP483" t="s" s="0">
        <v>9132</v>
      </c>
      <c r="BQ483" t="s" s="0">
        <v>10872</v>
      </c>
      <c r="BR483" t="s" s="0">
        <v>81</v>
      </c>
      <c r="BS483" t="s" s="0">
        <v>10873</v>
      </c>
      <c r="BT483" t="s" s="959">
        <f>HYPERLINK("https://www.webofscience.com/wos/woscc/full-record/WOS:001582155100001","View Record in Web of Science")</f>
        <v>114</v>
      </c>
      <c r="BU483" t="s" s="0">
        <v>81</v>
      </c>
      <c r="BV483" t="s" s="0">
        <v>81</v>
      </c>
      <c r="BW483" t="s" s="0">
        <v>81</v>
      </c>
      <c r="BX483" t="s" s="0">
        <v>116</v>
      </c>
    </row>
    <row r="484">
      <c r="A484" t="s" s="0">
        <v>77</v>
      </c>
      <c r="B484" t="s" s="0">
        <v>77</v>
      </c>
      <c r="C484" t="s" s="0">
        <v>196</v>
      </c>
      <c r="D484" t="s" s="0">
        <v>77</v>
      </c>
      <c r="E484" t="s" s="0">
        <v>10874</v>
      </c>
      <c r="F484" t="s" s="0">
        <v>10875</v>
      </c>
      <c r="G484" t="s" s="0">
        <v>10876</v>
      </c>
      <c r="H484" t="s" s="0">
        <v>81</v>
      </c>
      <c r="I484" t="s" s="0">
        <v>82</v>
      </c>
      <c r="J484" t="s" s="0">
        <v>10877</v>
      </c>
      <c r="K484" t="s" s="0">
        <v>10878</v>
      </c>
      <c r="L484" t="s" s="0">
        <v>10879</v>
      </c>
      <c r="M484" t="s" s="0">
        <v>10879</v>
      </c>
      <c r="N484" t="s" s="0">
        <v>10880</v>
      </c>
      <c r="O484" t="s" s="0">
        <v>10881</v>
      </c>
      <c r="P484" t="s" s="0">
        <v>10882</v>
      </c>
      <c r="Q484" t="s" s="0">
        <v>87</v>
      </c>
      <c r="R484" t="s" s="0">
        <v>81</v>
      </c>
      <c r="S484" t="s" s="0">
        <v>81</v>
      </c>
      <c r="T484" t="s" s="0">
        <v>81</v>
      </c>
      <c r="U484" t="s" s="0">
        <v>81</v>
      </c>
      <c r="V484" t="s" s="0">
        <v>10883</v>
      </c>
      <c r="W484" t="s" s="0">
        <v>910</v>
      </c>
      <c r="X484" t="s" s="0">
        <v>81</v>
      </c>
      <c r="Y484" t="s" s="0">
        <v>81</v>
      </c>
      <c r="Z484" t="s" s="0">
        <v>90</v>
      </c>
      <c r="AA484" t="s" s="0">
        <v>91</v>
      </c>
      <c r="AB484" t="s" s="0">
        <v>81</v>
      </c>
      <c r="AC484" t="s" s="0">
        <v>81</v>
      </c>
      <c r="AD484" t="s" s="0">
        <v>81</v>
      </c>
      <c r="AE484" t="s" s="0">
        <v>81</v>
      </c>
      <c r="AF484" t="s" s="0">
        <v>81</v>
      </c>
      <c r="AG484" t="s" s="0">
        <v>10884</v>
      </c>
      <c r="AH484" t="s" s="0">
        <v>81</v>
      </c>
      <c r="AI484" t="s" s="0">
        <v>10885</v>
      </c>
      <c r="AJ484" t="s" s="0">
        <v>10886</v>
      </c>
      <c r="AK484" t="s" s="0">
        <v>81</v>
      </c>
      <c r="AL484" t="s" s="0">
        <v>399</v>
      </c>
      <c r="AM484" t="s" s="0">
        <v>211</v>
      </c>
      <c r="AN484" t="s" s="0">
        <v>191</v>
      </c>
      <c r="AO484" t="s" s="0">
        <v>97</v>
      </c>
      <c r="AP484" t="s" s="0">
        <v>261</v>
      </c>
      <c r="AQ484" t="s" s="0">
        <v>915</v>
      </c>
      <c r="AR484" t="s" s="0">
        <v>916</v>
      </c>
      <c r="AS484" t="s" s="0">
        <v>917</v>
      </c>
      <c r="AT484" t="s" s="0">
        <v>918</v>
      </c>
      <c r="AU484" t="s" s="0">
        <v>81</v>
      </c>
      <c r="AV484" t="s" s="0">
        <v>81</v>
      </c>
      <c r="AW484" t="s" s="0">
        <v>919</v>
      </c>
      <c r="AX484" t="s" s="0">
        <v>920</v>
      </c>
      <c r="AY484" t="s" s="0">
        <v>10887</v>
      </c>
      <c r="AZ484" t="s" s="0">
        <v>290</v>
      </c>
      <c r="BA484" t="s" s="0">
        <v>291</v>
      </c>
      <c r="BB484" t="s" s="0">
        <v>97</v>
      </c>
      <c r="BC484" t="s" s="0">
        <v>81</v>
      </c>
      <c r="BD484" t="s" s="0">
        <v>81</v>
      </c>
      <c r="BE484" t="s" s="0">
        <v>81</v>
      </c>
      <c r="BF484" t="s" s="0">
        <v>81</v>
      </c>
      <c r="BG484" t="s" s="0">
        <v>81</v>
      </c>
      <c r="BH484" t="s" s="0">
        <v>81</v>
      </c>
      <c r="BI484" t="s" s="0">
        <v>10888</v>
      </c>
      <c r="BJ484" t="s" s="0">
        <v>10889</v>
      </c>
      <c r="BK484" t="s" s="960">
        <f>HYPERLINK("http://dx.doi.org/10.1038/s41598-025-86536-4","http://dx.doi.org/10.1038/s41598-025-86536-4")</f>
        <v>10890</v>
      </c>
      <c r="BL484" t="s" s="0">
        <v>81</v>
      </c>
      <c r="BM484" t="s" s="0">
        <v>81</v>
      </c>
      <c r="BN484" t="s" s="0">
        <v>211</v>
      </c>
      <c r="BO484" t="s" s="0">
        <v>926</v>
      </c>
      <c r="BP484" t="s" s="0">
        <v>927</v>
      </c>
      <c r="BQ484" t="s" s="0">
        <v>10891</v>
      </c>
      <c r="BR484" t="s" s="0">
        <v>10892</v>
      </c>
      <c r="BS484" t="s" s="0">
        <v>10893</v>
      </c>
      <c r="BT484" t="s" s="961">
        <f>HYPERLINK("https://www.webofscience.com/wos/woscc/full-record/WOS:001401742800003","View Record in Web of Science")</f>
        <v>114</v>
      </c>
      <c r="BU484" t="s" s="0">
        <v>301</v>
      </c>
      <c r="BV484" t="s" s="0">
        <v>81</v>
      </c>
      <c r="BW484" t="s" s="0">
        <v>81</v>
      </c>
      <c r="BX484" t="s" s="0">
        <v>116</v>
      </c>
    </row>
    <row r="485">
      <c r="A485" t="s" s="0">
        <v>77</v>
      </c>
      <c r="B485" t="s" s="0">
        <v>77</v>
      </c>
      <c r="C485" t="s" s="0">
        <v>97</v>
      </c>
      <c r="D485" t="s" s="0">
        <v>77</v>
      </c>
      <c r="E485" t="s" s="0">
        <v>10894</v>
      </c>
      <c r="F485" t="s" s="0">
        <v>10895</v>
      </c>
      <c r="G485" t="s" s="0">
        <v>10896</v>
      </c>
      <c r="H485" t="s" s="0">
        <v>81</v>
      </c>
      <c r="I485" t="s" s="0">
        <v>82</v>
      </c>
      <c r="J485" t="s" s="0">
        <v>10897</v>
      </c>
      <c r="K485" t="s" s="0">
        <v>10898</v>
      </c>
      <c r="L485" t="s" s="0">
        <v>10899</v>
      </c>
      <c r="M485" t="s" s="0">
        <v>10900</v>
      </c>
      <c r="N485" t="s" s="0">
        <v>10901</v>
      </c>
      <c r="O485" t="s" s="0">
        <v>10902</v>
      </c>
      <c r="P485" t="s" s="0">
        <v>10903</v>
      </c>
      <c r="Q485" t="s" s="0">
        <v>87</v>
      </c>
      <c r="R485" t="s" s="0">
        <v>81</v>
      </c>
      <c r="S485" t="s" s="0">
        <v>81</v>
      </c>
      <c r="T485" t="s" s="0">
        <v>81</v>
      </c>
      <c r="U485" t="s" s="0">
        <v>81</v>
      </c>
      <c r="V485" t="s" s="0">
        <v>10904</v>
      </c>
      <c r="W485" t="s" s="0">
        <v>10905</v>
      </c>
      <c r="X485" t="s" s="0">
        <v>81</v>
      </c>
      <c r="Y485" t="s" s="0">
        <v>81</v>
      </c>
      <c r="Z485" t="s" s="0">
        <v>90</v>
      </c>
      <c r="AA485" t="s" s="0">
        <v>91</v>
      </c>
      <c r="AB485" t="s" s="0">
        <v>81</v>
      </c>
      <c r="AC485" t="s" s="0">
        <v>81</v>
      </c>
      <c r="AD485" t="s" s="0">
        <v>81</v>
      </c>
      <c r="AE485" t="s" s="0">
        <v>81</v>
      </c>
      <c r="AF485" t="s" s="0">
        <v>81</v>
      </c>
      <c r="AG485" t="s" s="0">
        <v>10906</v>
      </c>
      <c r="AH485" t="s" s="0">
        <v>10907</v>
      </c>
      <c r="AI485" t="s" s="0">
        <v>10908</v>
      </c>
      <c r="AJ485" t="s" s="0">
        <v>10909</v>
      </c>
      <c r="AK485" t="s" s="0">
        <v>81</v>
      </c>
      <c r="AL485" t="s" s="0">
        <v>914</v>
      </c>
      <c r="AM485" t="s" s="0">
        <v>77</v>
      </c>
      <c r="AN485" t="s" s="0">
        <v>97</v>
      </c>
      <c r="AO485" t="s" s="0">
        <v>156</v>
      </c>
      <c r="AP485" t="s" s="0">
        <v>381</v>
      </c>
      <c r="AQ485" t="s" s="0">
        <v>726</v>
      </c>
      <c r="AR485" t="s" s="0">
        <v>727</v>
      </c>
      <c r="AS485" t="s" s="0">
        <v>728</v>
      </c>
      <c r="AT485" t="s" s="0">
        <v>10910</v>
      </c>
      <c r="AU485" t="s" s="0">
        <v>10911</v>
      </c>
      <c r="AV485" t="s" s="0">
        <v>81</v>
      </c>
      <c r="AW485" t="s" s="0">
        <v>10912</v>
      </c>
      <c r="AX485" t="s" s="0">
        <v>10913</v>
      </c>
      <c r="AY485" t="s" s="0">
        <v>290</v>
      </c>
      <c r="AZ485" t="s" s="0">
        <v>290</v>
      </c>
      <c r="BA485" t="s" s="0">
        <v>290</v>
      </c>
      <c r="BB485" t="s" s="0">
        <v>97</v>
      </c>
      <c r="BC485" t="s" s="0">
        <v>81</v>
      </c>
      <c r="BD485" t="s" s="0">
        <v>81</v>
      </c>
      <c r="BE485" t="s" s="0">
        <v>81</v>
      </c>
      <c r="BF485" t="s" s="0">
        <v>81</v>
      </c>
      <c r="BG485" t="s" s="0">
        <v>81</v>
      </c>
      <c r="BH485" t="s" s="0">
        <v>81</v>
      </c>
      <c r="BI485" t="s" s="0">
        <v>10914</v>
      </c>
      <c r="BJ485" t="s" s="0">
        <v>10915</v>
      </c>
      <c r="BK485" t="s" s="962">
        <f>HYPERLINK("http://dx.doi.org/10.1155/int/8884481","http://dx.doi.org/10.1155/int/8884481")</f>
        <v>10916</v>
      </c>
      <c r="BL485" t="s" s="0">
        <v>81</v>
      </c>
      <c r="BM485" t="s" s="0">
        <v>81</v>
      </c>
      <c r="BN485" t="s" s="0">
        <v>485</v>
      </c>
      <c r="BO485" t="s" s="0">
        <v>409</v>
      </c>
      <c r="BP485" t="s" s="0">
        <v>152</v>
      </c>
      <c r="BQ485" t="s" s="0">
        <v>10917</v>
      </c>
      <c r="BR485" t="s" s="0">
        <v>81</v>
      </c>
      <c r="BS485" t="s" s="0">
        <v>10918</v>
      </c>
      <c r="BT485" t="s" s="963">
        <f>HYPERLINK("https://www.webofscience.com/wos/woscc/full-record/WOS:001522792700001","View Record in Web of Science")</f>
        <v>114</v>
      </c>
      <c r="BU485" t="s" s="0">
        <v>1055</v>
      </c>
      <c r="BV485" t="s" s="0">
        <v>81</v>
      </c>
      <c r="BW485" t="s" s="0">
        <v>81</v>
      </c>
      <c r="BX485" t="s" s="0">
        <v>116</v>
      </c>
    </row>
    <row r="486">
      <c r="A486" t="s" s="0">
        <v>77</v>
      </c>
      <c r="B486" t="s" s="0">
        <v>77</v>
      </c>
      <c r="C486" t="s" s="0">
        <v>156</v>
      </c>
      <c r="D486" t="s" s="0">
        <v>77</v>
      </c>
      <c r="E486" t="s" s="0">
        <v>10919</v>
      </c>
      <c r="F486" t="s" s="0">
        <v>10920</v>
      </c>
      <c r="G486" t="s" s="0">
        <v>10921</v>
      </c>
      <c r="H486" t="s" s="0">
        <v>81</v>
      </c>
      <c r="I486" t="s" s="0">
        <v>238</v>
      </c>
      <c r="J486" t="s" s="0">
        <v>10922</v>
      </c>
      <c r="K486" t="s" s="0">
        <v>10923</v>
      </c>
      <c r="L486" t="s" s="0">
        <v>81</v>
      </c>
      <c r="M486" t="s" s="0">
        <v>81</v>
      </c>
      <c r="N486" t="s" s="0">
        <v>81</v>
      </c>
      <c r="O486" t="s" s="0">
        <v>10924</v>
      </c>
      <c r="P486" t="s" s="0">
        <v>10925</v>
      </c>
      <c r="Q486" t="s" s="0">
        <v>87</v>
      </c>
      <c r="R486" t="s" s="0">
        <v>81</v>
      </c>
      <c r="S486" t="s" s="0">
        <v>81</v>
      </c>
      <c r="T486" t="s" s="0">
        <v>81</v>
      </c>
      <c r="U486" t="s" s="0">
        <v>81</v>
      </c>
      <c r="V486" t="s" s="0">
        <v>10926</v>
      </c>
      <c r="W486" t="s" s="0">
        <v>5088</v>
      </c>
      <c r="X486" t="s" s="0">
        <v>81</v>
      </c>
      <c r="Y486" t="s" s="0">
        <v>81</v>
      </c>
      <c r="Z486" t="s" s="0">
        <v>90</v>
      </c>
      <c r="AA486" t="s" s="0">
        <v>91</v>
      </c>
      <c r="AB486" t="s" s="0">
        <v>81</v>
      </c>
      <c r="AC486" t="s" s="0">
        <v>81</v>
      </c>
      <c r="AD486" t="s" s="0">
        <v>81</v>
      </c>
      <c r="AE486" t="s" s="0">
        <v>81</v>
      </c>
      <c r="AF486" t="s" s="0">
        <v>81</v>
      </c>
      <c r="AG486" t="s" s="0">
        <v>10927</v>
      </c>
      <c r="AH486" t="s" s="0">
        <v>6268</v>
      </c>
      <c r="AI486" t="s" s="0">
        <v>10928</v>
      </c>
      <c r="AJ486" t="s" s="0">
        <v>10929</v>
      </c>
      <c r="AK486" t="s" s="0">
        <v>81</v>
      </c>
      <c r="AL486" t="s" s="0">
        <v>1185</v>
      </c>
      <c r="AM486" t="s" s="0">
        <v>543</v>
      </c>
      <c r="AN486" t="s" s="0">
        <v>343</v>
      </c>
      <c r="AO486" t="s" s="0">
        <v>175</v>
      </c>
      <c r="AP486" t="s" s="0">
        <v>1184</v>
      </c>
      <c r="AQ486" t="s" s="0">
        <v>284</v>
      </c>
      <c r="AR486" t="s" s="0">
        <v>285</v>
      </c>
      <c r="AS486" t="s" s="0">
        <v>286</v>
      </c>
      <c r="AT486" t="s" s="0">
        <v>81</v>
      </c>
      <c r="AU486" t="s" s="0">
        <v>5092</v>
      </c>
      <c r="AV486" t="s" s="0">
        <v>81</v>
      </c>
      <c r="AW486" t="s" s="0">
        <v>5093</v>
      </c>
      <c r="AX486" t="s" s="0">
        <v>5094</v>
      </c>
      <c r="AY486" t="s" s="0">
        <v>4409</v>
      </c>
      <c r="AZ486" t="s" s="0">
        <v>185</v>
      </c>
      <c r="BA486" t="s" s="0">
        <v>316</v>
      </c>
      <c r="BB486" t="s" s="0">
        <v>97</v>
      </c>
      <c r="BC486" t="s" s="0">
        <v>81</v>
      </c>
      <c r="BD486" t="s" s="0">
        <v>81</v>
      </c>
      <c r="BE486" t="s" s="0">
        <v>81</v>
      </c>
      <c r="BF486" t="s" s="0">
        <v>81</v>
      </c>
      <c r="BG486" t="s" s="0">
        <v>5336</v>
      </c>
      <c r="BH486" t="s" s="0">
        <v>10930</v>
      </c>
      <c r="BI486" t="s" s="0">
        <v>81</v>
      </c>
      <c r="BJ486" t="s" s="0">
        <v>10931</v>
      </c>
      <c r="BK486" t="s" s="964">
        <f>HYPERLINK("http://dx.doi.org/10.3390/make6010017","http://dx.doi.org/10.3390/make6010017")</f>
        <v>10932</v>
      </c>
      <c r="BL486" t="s" s="0">
        <v>81</v>
      </c>
      <c r="BM486" t="s" s="0">
        <v>81</v>
      </c>
      <c r="BN486" t="s" s="0">
        <v>109</v>
      </c>
      <c r="BO486" t="s" s="0">
        <v>5099</v>
      </c>
      <c r="BP486" t="s" s="0">
        <v>193</v>
      </c>
      <c r="BQ486" t="s" s="0">
        <v>10933</v>
      </c>
      <c r="BR486" t="s" s="0">
        <v>81</v>
      </c>
      <c r="BS486" t="s" s="0">
        <v>10934</v>
      </c>
      <c r="BT486" t="s" s="965">
        <f>HYPERLINK("https://www.webofscience.com/wos/woscc/full-record/WOS:001192821000001","View Record in Web of Science")</f>
        <v>114</v>
      </c>
      <c r="BU486" t="s" s="0">
        <v>301</v>
      </c>
      <c r="BV486" t="s" s="0">
        <v>81</v>
      </c>
      <c r="BW486" t="s" s="0">
        <v>81</v>
      </c>
      <c r="BX486" t="s" s="0">
        <v>116</v>
      </c>
    </row>
    <row r="487">
      <c r="A487" t="s" s="0">
        <v>77</v>
      </c>
      <c r="B487" t="s" s="0">
        <v>77</v>
      </c>
      <c r="C487" t="s" s="0">
        <v>77</v>
      </c>
      <c r="D487" t="s" s="0">
        <v>77</v>
      </c>
      <c r="E487" t="s" s="0">
        <v>10935</v>
      </c>
      <c r="F487" t="s" s="0">
        <v>10936</v>
      </c>
      <c r="G487" t="s" s="0">
        <v>10937</v>
      </c>
      <c r="H487" t="s" s="0">
        <v>81</v>
      </c>
      <c r="I487" t="s" s="0">
        <v>82</v>
      </c>
      <c r="J487" t="s" s="0">
        <v>10938</v>
      </c>
      <c r="K487" t="s" s="0">
        <v>10939</v>
      </c>
      <c r="L487" t="s" s="0">
        <v>10940</v>
      </c>
      <c r="M487" t="s" s="0">
        <v>10689</v>
      </c>
      <c r="N487" t="s" s="0">
        <v>10941</v>
      </c>
      <c r="O487" t="s" s="0">
        <v>10942</v>
      </c>
      <c r="P487" t="s" s="0">
        <v>10943</v>
      </c>
      <c r="Q487" t="s" s="0">
        <v>87</v>
      </c>
      <c r="R487" t="s" s="0">
        <v>81</v>
      </c>
      <c r="S487" t="s" s="0">
        <v>81</v>
      </c>
      <c r="T487" t="s" s="0">
        <v>81</v>
      </c>
      <c r="U487" t="s" s="0">
        <v>81</v>
      </c>
      <c r="V487" t="s" s="0">
        <v>10944</v>
      </c>
      <c r="W487" t="s" s="0">
        <v>10945</v>
      </c>
      <c r="X487" t="s" s="0">
        <v>81</v>
      </c>
      <c r="Y487" t="s" s="0">
        <v>81</v>
      </c>
      <c r="Z487" t="s" s="0">
        <v>90</v>
      </c>
      <c r="AA487" t="s" s="0">
        <v>1581</v>
      </c>
      <c r="AB487" t="s" s="0">
        <v>81</v>
      </c>
      <c r="AC487" t="s" s="0">
        <v>81</v>
      </c>
      <c r="AD487" t="s" s="0">
        <v>81</v>
      </c>
      <c r="AE487" t="s" s="0">
        <v>81</v>
      </c>
      <c r="AF487" t="s" s="0">
        <v>81</v>
      </c>
      <c r="AG487" t="s" s="0">
        <v>10946</v>
      </c>
      <c r="AH487" t="s" s="0">
        <v>81</v>
      </c>
      <c r="AI487" t="s" s="0">
        <v>10947</v>
      </c>
      <c r="AJ487" t="s" s="0">
        <v>10948</v>
      </c>
      <c r="AK487" t="s" s="0">
        <v>81</v>
      </c>
      <c r="AL487" t="s" s="0">
        <v>210</v>
      </c>
      <c r="AM487" t="s" s="0">
        <v>156</v>
      </c>
      <c r="AN487" t="s" s="0">
        <v>175</v>
      </c>
      <c r="AO487" t="s" s="0">
        <v>156</v>
      </c>
      <c r="AP487" t="s" s="0">
        <v>133</v>
      </c>
      <c r="AQ487" t="s" s="0">
        <v>212</v>
      </c>
      <c r="AR487" t="s" s="0">
        <v>429</v>
      </c>
      <c r="AS487" t="s" s="0">
        <v>784</v>
      </c>
      <c r="AT487" t="s" s="0">
        <v>10949</v>
      </c>
      <c r="AU487" t="s" s="0">
        <v>10950</v>
      </c>
      <c r="AV487" t="s" s="0">
        <v>81</v>
      </c>
      <c r="AW487" t="s" s="0">
        <v>10951</v>
      </c>
      <c r="AX487" t="s" s="0">
        <v>10952</v>
      </c>
      <c r="AY487" t="s" s="0">
        <v>81</v>
      </c>
      <c r="AZ487" t="s" s="0">
        <v>290</v>
      </c>
      <c r="BA487" t="s" s="0">
        <v>81</v>
      </c>
      <c r="BB487" t="s" s="0">
        <v>81</v>
      </c>
      <c r="BC487" t="s" s="0">
        <v>81</v>
      </c>
      <c r="BD487" t="s" s="0">
        <v>81</v>
      </c>
      <c r="BE487" t="s" s="0">
        <v>81</v>
      </c>
      <c r="BF487" t="s" s="0">
        <v>81</v>
      </c>
      <c r="BG487" t="s" s="0">
        <v>81</v>
      </c>
      <c r="BH487" t="s" s="0">
        <v>81</v>
      </c>
      <c r="BI487" t="s" s="0">
        <v>81</v>
      </c>
      <c r="BJ487" t="s" s="0">
        <v>10953</v>
      </c>
      <c r="BK487" t="s" s="966">
        <f>HYPERLINK("http://dx.doi.org/10.1007/s00428-025-04163-w","http://dx.doi.org/10.1007/s00428-025-04163-w")</f>
        <v>10954</v>
      </c>
      <c r="BL487" t="s" s="0">
        <v>81</v>
      </c>
      <c r="BM487" t="s" s="0">
        <v>733</v>
      </c>
      <c r="BN487" t="s" s="0">
        <v>261</v>
      </c>
      <c r="BO487" t="s" s="0">
        <v>10955</v>
      </c>
      <c r="BP487" t="s" s="0">
        <v>10955</v>
      </c>
      <c r="BQ487" t="s" s="0">
        <v>10956</v>
      </c>
      <c r="BR487" t="s" s="0">
        <v>10957</v>
      </c>
      <c r="BS487" t="s" s="0">
        <v>10958</v>
      </c>
      <c r="BT487" t="s" s="967">
        <f>HYPERLINK("https://www.webofscience.com/wos/woscc/full-record/WOS:001522781500001","View Record in Web of Science")</f>
        <v>114</v>
      </c>
      <c r="BU487" t="s" s="0">
        <v>155</v>
      </c>
      <c r="BV487" t="s" s="0">
        <v>81</v>
      </c>
      <c r="BW487" t="s" s="0">
        <v>81</v>
      </c>
      <c r="BX487" t="s" s="0">
        <v>116</v>
      </c>
    </row>
    <row r="488">
      <c r="A488" t="s" s="0">
        <v>77</v>
      </c>
      <c r="B488" t="s" s="0">
        <v>77</v>
      </c>
      <c r="C488" t="s" s="0">
        <v>77</v>
      </c>
      <c r="D488" t="s" s="0">
        <v>77</v>
      </c>
      <c r="E488" t="s" s="0">
        <v>10959</v>
      </c>
      <c r="F488" t="s" s="0">
        <v>10960</v>
      </c>
      <c r="G488" t="s" s="0">
        <v>10961</v>
      </c>
      <c r="H488" t="s" s="0">
        <v>81</v>
      </c>
      <c r="I488" t="s" s="0">
        <v>82</v>
      </c>
      <c r="J488" t="s" s="0">
        <v>10962</v>
      </c>
      <c r="K488" t="s" s="0">
        <v>10963</v>
      </c>
      <c r="L488" t="s" s="0">
        <v>10964</v>
      </c>
      <c r="M488" t="s" s="0">
        <v>10965</v>
      </c>
      <c r="N488" t="s" s="0">
        <v>10966</v>
      </c>
      <c r="O488" t="s" s="0">
        <v>10967</v>
      </c>
      <c r="P488" t="s" s="0">
        <v>10968</v>
      </c>
      <c r="Q488" t="s" s="0">
        <v>87</v>
      </c>
      <c r="R488" t="s" s="0">
        <v>81</v>
      </c>
      <c r="S488" t="s" s="0">
        <v>81</v>
      </c>
      <c r="T488" t="s" s="0">
        <v>81</v>
      </c>
      <c r="U488" t="s" s="0">
        <v>81</v>
      </c>
      <c r="V488" t="s" s="0">
        <v>10969</v>
      </c>
      <c r="W488" t="s" s="0">
        <v>4746</v>
      </c>
      <c r="X488" t="s" s="0">
        <v>81</v>
      </c>
      <c r="Y488" t="s" s="0">
        <v>81</v>
      </c>
      <c r="Z488" t="s" s="0">
        <v>90</v>
      </c>
      <c r="AA488" t="s" s="0">
        <v>91</v>
      </c>
      <c r="AB488" t="s" s="0">
        <v>81</v>
      </c>
      <c r="AC488" t="s" s="0">
        <v>81</v>
      </c>
      <c r="AD488" t="s" s="0">
        <v>81</v>
      </c>
      <c r="AE488" t="s" s="0">
        <v>81</v>
      </c>
      <c r="AF488" t="s" s="0">
        <v>81</v>
      </c>
      <c r="AG488" t="s" s="0">
        <v>10970</v>
      </c>
      <c r="AH488" t="s" s="0">
        <v>10971</v>
      </c>
      <c r="AI488" t="s" s="0">
        <v>81</v>
      </c>
      <c r="AJ488" t="s" s="0">
        <v>81</v>
      </c>
      <c r="AK488" t="s" s="0">
        <v>81</v>
      </c>
      <c r="AL488" t="s" s="0">
        <v>228</v>
      </c>
      <c r="AM488" t="s" s="0">
        <v>77</v>
      </c>
      <c r="AN488" t="s" s="0">
        <v>77</v>
      </c>
      <c r="AO488" t="s" s="0">
        <v>77</v>
      </c>
      <c r="AP488" t="s" s="0">
        <v>77</v>
      </c>
      <c r="AQ488" t="s" s="0">
        <v>3734</v>
      </c>
      <c r="AR488" t="s" s="0">
        <v>604</v>
      </c>
      <c r="AS488" t="s" s="0">
        <v>3735</v>
      </c>
      <c r="AT488" t="s" s="0">
        <v>4750</v>
      </c>
      <c r="AU488" t="s" s="0">
        <v>4751</v>
      </c>
      <c r="AV488" t="s" s="0">
        <v>81</v>
      </c>
      <c r="AW488" t="s" s="0">
        <v>4746</v>
      </c>
      <c r="AX488" t="s" s="0">
        <v>4752</v>
      </c>
      <c r="AY488" t="s" s="0">
        <v>10972</v>
      </c>
      <c r="AZ488" t="s" s="0">
        <v>103</v>
      </c>
      <c r="BA488" t="s" s="0">
        <v>10973</v>
      </c>
      <c r="BB488" t="s" s="0">
        <v>295</v>
      </c>
      <c r="BC488" t="s" s="0">
        <v>81</v>
      </c>
      <c r="BD488" t="s" s="0">
        <v>81</v>
      </c>
      <c r="BE488" t="s" s="0">
        <v>81</v>
      </c>
      <c r="BF488" t="s" s="0">
        <v>81</v>
      </c>
      <c r="BG488" t="s" s="0">
        <v>81</v>
      </c>
      <c r="BH488" t="s" s="0">
        <v>81</v>
      </c>
      <c r="BI488" t="s" s="0">
        <v>10974</v>
      </c>
      <c r="BJ488" t="s" s="0">
        <v>10975</v>
      </c>
      <c r="BK488" t="s" s="968">
        <f>HYPERLINK("http://dx.doi.org/10.1097/MD.0000000000048657","http://dx.doi.org/10.1097/MD.0000000000048657")</f>
        <v>10976</v>
      </c>
      <c r="BL488" t="s" s="0">
        <v>81</v>
      </c>
      <c r="BM488" t="s" s="0">
        <v>81</v>
      </c>
      <c r="BN488" t="s" s="0">
        <v>191</v>
      </c>
      <c r="BO488" t="s" s="0">
        <v>296</v>
      </c>
      <c r="BP488" t="s" s="0">
        <v>297</v>
      </c>
      <c r="BQ488" t="s" s="0">
        <v>10977</v>
      </c>
      <c r="BR488" t="s" s="0">
        <v>10978</v>
      </c>
      <c r="BS488" t="s" s="0">
        <v>10979</v>
      </c>
      <c r="BT488" t="s" s="969">
        <f>HYPERLINK("https://www.webofscience.com/wos/woscc/full-record/WOS:001768890900043","View Record in Web of Science")</f>
        <v>114</v>
      </c>
      <c r="BU488" t="s" s="0">
        <v>301</v>
      </c>
      <c r="BV488" t="s" s="0">
        <v>81</v>
      </c>
      <c r="BW488" t="s" s="0">
        <v>81</v>
      </c>
      <c r="BX488" t="s" s="0">
        <v>116</v>
      </c>
    </row>
    <row r="489">
      <c r="A489" t="s" s="0">
        <v>77</v>
      </c>
      <c r="B489" t="s" s="0">
        <v>77</v>
      </c>
      <c r="C489" t="s" s="0">
        <v>191</v>
      </c>
      <c r="D489" t="s" s="0">
        <v>77</v>
      </c>
      <c r="E489" t="s" s="0">
        <v>10980</v>
      </c>
      <c r="F489" t="s" s="0">
        <v>10981</v>
      </c>
      <c r="G489" t="s" s="0">
        <v>10982</v>
      </c>
      <c r="H489" t="s" s="0">
        <v>81</v>
      </c>
      <c r="I489" t="s" s="0">
        <v>528</v>
      </c>
      <c r="J489" t="s" s="0">
        <v>10983</v>
      </c>
      <c r="K489" t="s" s="0">
        <v>10984</v>
      </c>
      <c r="L489" t="s" s="0">
        <v>10985</v>
      </c>
      <c r="M489" t="s" s="0">
        <v>10986</v>
      </c>
      <c r="N489" t="s" s="0">
        <v>10987</v>
      </c>
      <c r="O489" t="s" s="0">
        <v>10988</v>
      </c>
      <c r="P489" t="s" s="0">
        <v>10989</v>
      </c>
      <c r="Q489" t="s" s="0">
        <v>87</v>
      </c>
      <c r="R489" t="s" s="0">
        <v>81</v>
      </c>
      <c r="S489" t="s" s="0">
        <v>81</v>
      </c>
      <c r="T489" t="s" s="0">
        <v>81</v>
      </c>
      <c r="U489" t="s" s="0">
        <v>81</v>
      </c>
      <c r="V489" t="s" s="0">
        <v>10990</v>
      </c>
      <c r="W489" t="s" s="0">
        <v>838</v>
      </c>
      <c r="X489" t="s" s="0">
        <v>81</v>
      </c>
      <c r="Y489" t="s" s="0">
        <v>81</v>
      </c>
      <c r="Z489" t="s" s="0">
        <v>90</v>
      </c>
      <c r="AA489" t="s" s="0">
        <v>91</v>
      </c>
      <c r="AB489" t="s" s="0">
        <v>81</v>
      </c>
      <c r="AC489" t="s" s="0">
        <v>81</v>
      </c>
      <c r="AD489" t="s" s="0">
        <v>81</v>
      </c>
      <c r="AE489" t="s" s="0">
        <v>81</v>
      </c>
      <c r="AF489" t="s" s="0">
        <v>81</v>
      </c>
      <c r="AG489" t="s" s="0">
        <v>10991</v>
      </c>
      <c r="AH489" t="s" s="0">
        <v>10992</v>
      </c>
      <c r="AI489" t="s" s="0">
        <v>10993</v>
      </c>
      <c r="AJ489" t="s" s="0">
        <v>10994</v>
      </c>
      <c r="AK489" t="s" s="0">
        <v>81</v>
      </c>
      <c r="AL489" t="s" s="0">
        <v>508</v>
      </c>
      <c r="AM489" t="s" s="0">
        <v>109</v>
      </c>
      <c r="AN489" t="s" s="0">
        <v>252</v>
      </c>
      <c r="AO489" t="s" s="0">
        <v>156</v>
      </c>
      <c r="AP489" t="s" s="0">
        <v>134</v>
      </c>
      <c r="AQ489" t="s" s="0">
        <v>368</v>
      </c>
      <c r="AR489" t="s" s="0">
        <v>369</v>
      </c>
      <c r="AS489" t="s" s="0">
        <v>370</v>
      </c>
      <c r="AT489" t="s" s="0">
        <v>81</v>
      </c>
      <c r="AU489" t="s" s="0">
        <v>842</v>
      </c>
      <c r="AV489" t="s" s="0">
        <v>81</v>
      </c>
      <c r="AW489" t="s" s="0">
        <v>843</v>
      </c>
      <c r="AX489" t="s" s="0">
        <v>844</v>
      </c>
      <c r="AY489" t="s" s="0">
        <v>10995</v>
      </c>
      <c r="AZ489" t="s" s="0">
        <v>220</v>
      </c>
      <c r="BA489" t="s" s="0">
        <v>211</v>
      </c>
      <c r="BB489" t="s" s="0">
        <v>81</v>
      </c>
      <c r="BC489" t="s" s="0">
        <v>81</v>
      </c>
      <c r="BD489" t="s" s="0">
        <v>81</v>
      </c>
      <c r="BE489" t="s" s="0">
        <v>81</v>
      </c>
      <c r="BF489" t="s" s="0">
        <v>81</v>
      </c>
      <c r="BG489" t="s" s="0">
        <v>81</v>
      </c>
      <c r="BH489" t="s" s="0">
        <v>81</v>
      </c>
      <c r="BI489" t="s" s="0">
        <v>10996</v>
      </c>
      <c r="BJ489" t="s" s="0">
        <v>10997</v>
      </c>
      <c r="BK489" t="s" s="970">
        <f>HYPERLINK("http://dx.doi.org/10.3389/fpubh.2022.874455","http://dx.doi.org/10.3389/fpubh.2022.874455")</f>
        <v>10998</v>
      </c>
      <c r="BL489" t="s" s="0">
        <v>81</v>
      </c>
      <c r="BM489" t="s" s="0">
        <v>81</v>
      </c>
      <c r="BN489" t="s" s="0">
        <v>134</v>
      </c>
      <c r="BO489" t="s" s="0">
        <v>850</v>
      </c>
      <c r="BP489" t="s" s="0">
        <v>850</v>
      </c>
      <c r="BQ489" t="s" s="0">
        <v>10999</v>
      </c>
      <c r="BR489" t="s" s="0">
        <v>11000</v>
      </c>
      <c r="BS489" t="s" s="0">
        <v>11001</v>
      </c>
      <c r="BT489" t="s" s="971">
        <f>HYPERLINK("https://www.webofscience.com/wos/woscc/full-record/WOS:000844478300001","View Record in Web of Science")</f>
        <v>114</v>
      </c>
      <c r="BU489" t="s" s="0">
        <v>301</v>
      </c>
      <c r="BV489" t="s" s="0">
        <v>81</v>
      </c>
      <c r="BW489" t="s" s="0">
        <v>81</v>
      </c>
      <c r="BX489" t="s" s="0">
        <v>116</v>
      </c>
    </row>
    <row r="490">
      <c r="A490" t="s" s="0">
        <v>77</v>
      </c>
      <c r="B490" t="s" s="0">
        <v>77</v>
      </c>
      <c r="C490" t="s" s="0">
        <v>77</v>
      </c>
      <c r="D490" t="s" s="0">
        <v>77</v>
      </c>
      <c r="E490" t="s" s="0">
        <v>11002</v>
      </c>
      <c r="F490" t="s" s="0">
        <v>11003</v>
      </c>
      <c r="G490" t="s" s="0">
        <v>11004</v>
      </c>
      <c r="H490" t="s" s="0">
        <v>81</v>
      </c>
      <c r="I490" t="s" s="0">
        <v>82</v>
      </c>
      <c r="J490" t="s" s="0">
        <v>11005</v>
      </c>
      <c r="K490" t="s" s="0">
        <v>11006</v>
      </c>
      <c r="L490" t="s" s="0">
        <v>11007</v>
      </c>
      <c r="M490" t="s" s="0">
        <v>11008</v>
      </c>
      <c r="N490" t="s" s="0">
        <v>11009</v>
      </c>
      <c r="O490" t="s" s="0">
        <v>11010</v>
      </c>
      <c r="P490" t="s" s="0">
        <v>11011</v>
      </c>
      <c r="Q490" t="s" s="0">
        <v>87</v>
      </c>
      <c r="R490" t="s" s="0">
        <v>81</v>
      </c>
      <c r="S490" t="s" s="0">
        <v>81</v>
      </c>
      <c r="T490" t="s" s="0">
        <v>81</v>
      </c>
      <c r="U490" t="s" s="0">
        <v>81</v>
      </c>
      <c r="V490" t="s" s="0">
        <v>11012</v>
      </c>
      <c r="W490" t="s" s="0">
        <v>11013</v>
      </c>
      <c r="X490" t="s" s="0">
        <v>81</v>
      </c>
      <c r="Y490" t="s" s="0">
        <v>81</v>
      </c>
      <c r="Z490" t="s" s="0">
        <v>90</v>
      </c>
      <c r="AA490" t="s" s="0">
        <v>91</v>
      </c>
      <c r="AB490" t="s" s="0">
        <v>81</v>
      </c>
      <c r="AC490" t="s" s="0">
        <v>81</v>
      </c>
      <c r="AD490" t="s" s="0">
        <v>81</v>
      </c>
      <c r="AE490" t="s" s="0">
        <v>81</v>
      </c>
      <c r="AF490" t="s" s="0">
        <v>81</v>
      </c>
      <c r="AG490" t="s" s="0">
        <v>11014</v>
      </c>
      <c r="AH490" t="s" s="0">
        <v>81</v>
      </c>
      <c r="AI490" t="s" s="0">
        <v>81</v>
      </c>
      <c r="AJ490" t="s" s="0">
        <v>81</v>
      </c>
      <c r="AK490" t="s" s="0">
        <v>81</v>
      </c>
      <c r="AL490" t="s" s="0">
        <v>1047</v>
      </c>
      <c r="AM490" t="s" s="0">
        <v>97</v>
      </c>
      <c r="AN490" t="s" s="0">
        <v>97</v>
      </c>
      <c r="AO490" t="s" s="0">
        <v>156</v>
      </c>
      <c r="AP490" t="s" s="0">
        <v>211</v>
      </c>
      <c r="AQ490" t="s" s="0">
        <v>368</v>
      </c>
      <c r="AR490" t="s" s="0">
        <v>369</v>
      </c>
      <c r="AS490" t="s" s="0">
        <v>370</v>
      </c>
      <c r="AT490" t="s" s="0">
        <v>81</v>
      </c>
      <c r="AU490" t="s" s="0">
        <v>11015</v>
      </c>
      <c r="AV490" t="s" s="0">
        <v>81</v>
      </c>
      <c r="AW490" t="s" s="0">
        <v>11016</v>
      </c>
      <c r="AX490" t="s" s="0">
        <v>11017</v>
      </c>
      <c r="AY490" t="s" s="0">
        <v>11018</v>
      </c>
      <c r="AZ490" t="s" s="0">
        <v>290</v>
      </c>
      <c r="BA490" t="s" s="0">
        <v>925</v>
      </c>
      <c r="BB490" t="s" s="0">
        <v>81</v>
      </c>
      <c r="BC490" t="s" s="0">
        <v>81</v>
      </c>
      <c r="BD490" t="s" s="0">
        <v>81</v>
      </c>
      <c r="BE490" t="s" s="0">
        <v>81</v>
      </c>
      <c r="BF490" t="s" s="0">
        <v>81</v>
      </c>
      <c r="BG490" t="s" s="0">
        <v>81</v>
      </c>
      <c r="BH490" t="s" s="0">
        <v>81</v>
      </c>
      <c r="BI490" t="s" s="0">
        <v>11019</v>
      </c>
      <c r="BJ490" t="s" s="0">
        <v>11020</v>
      </c>
      <c r="BK490" t="s" s="972">
        <f>HYPERLINK("http://dx.doi.org/10.3389/fgene.2025.1563544","http://dx.doi.org/10.3389/fgene.2025.1563544")</f>
        <v>11021</v>
      </c>
      <c r="BL490" t="s" s="0">
        <v>81</v>
      </c>
      <c r="BM490" t="s" s="0">
        <v>81</v>
      </c>
      <c r="BN490" t="s" s="0">
        <v>134</v>
      </c>
      <c r="BO490" t="s" s="0">
        <v>11022</v>
      </c>
      <c r="BP490" t="s" s="0">
        <v>11022</v>
      </c>
      <c r="BQ490" t="s" s="0">
        <v>11023</v>
      </c>
      <c r="BR490" t="s" s="0">
        <v>11024</v>
      </c>
      <c r="BS490" t="s" s="0">
        <v>11025</v>
      </c>
      <c r="BT490" t="s" s="973">
        <f>HYPERLINK("https://www.webofscience.com/wos/woscc/full-record/WOS:001533078800001","View Record in Web of Science")</f>
        <v>114</v>
      </c>
      <c r="BU490" t="s" s="0">
        <v>301</v>
      </c>
      <c r="BV490" t="s" s="0">
        <v>81</v>
      </c>
      <c r="BW490" t="s" s="0">
        <v>81</v>
      </c>
      <c r="BX490" t="s" s="0">
        <v>116</v>
      </c>
    </row>
    <row r="491">
      <c r="A491" t="s" s="0">
        <v>77</v>
      </c>
      <c r="B491" t="s" s="0">
        <v>77</v>
      </c>
      <c r="C491" t="s" s="0">
        <v>77</v>
      </c>
      <c r="D491" t="s" s="0">
        <v>77</v>
      </c>
      <c r="E491" t="s" s="0">
        <v>11026</v>
      </c>
      <c r="F491" t="s" s="0">
        <v>11027</v>
      </c>
      <c r="G491" t="s" s="0">
        <v>11028</v>
      </c>
      <c r="H491" t="s" s="0">
        <v>81</v>
      </c>
      <c r="I491" t="s" s="0">
        <v>82</v>
      </c>
      <c r="J491" t="s" s="0">
        <v>11029</v>
      </c>
      <c r="K491" t="s" s="0">
        <v>11030</v>
      </c>
      <c r="L491" t="s" s="0">
        <v>81</v>
      </c>
      <c r="M491" t="s" s="0">
        <v>81</v>
      </c>
      <c r="N491" t="s" s="0">
        <v>81</v>
      </c>
      <c r="O491" t="s" s="0">
        <v>11031</v>
      </c>
      <c r="P491" t="s" s="0">
        <v>11032</v>
      </c>
      <c r="Q491" t="s" s="0">
        <v>87</v>
      </c>
      <c r="R491" t="s" s="0">
        <v>81</v>
      </c>
      <c r="S491" t="s" s="0">
        <v>81</v>
      </c>
      <c r="T491" t="s" s="0">
        <v>81</v>
      </c>
      <c r="U491" t="s" s="0">
        <v>81</v>
      </c>
      <c r="V491" t="s" s="0">
        <v>11033</v>
      </c>
      <c r="W491" t="s" s="0">
        <v>910</v>
      </c>
      <c r="X491" t="s" s="0">
        <v>81</v>
      </c>
      <c r="Y491" t="s" s="0">
        <v>81</v>
      </c>
      <c r="Z491" t="s" s="0">
        <v>90</v>
      </c>
      <c r="AA491" t="s" s="0">
        <v>91</v>
      </c>
      <c r="AB491" t="s" s="0">
        <v>81</v>
      </c>
      <c r="AC491" t="s" s="0">
        <v>81</v>
      </c>
      <c r="AD491" t="s" s="0">
        <v>81</v>
      </c>
      <c r="AE491" t="s" s="0">
        <v>81</v>
      </c>
      <c r="AF491" t="s" s="0">
        <v>81</v>
      </c>
      <c r="AG491" t="s" s="0">
        <v>11034</v>
      </c>
      <c r="AH491" t="s" s="0">
        <v>11035</v>
      </c>
      <c r="AI491" t="s" s="0">
        <v>11036</v>
      </c>
      <c r="AJ491" t="s" s="0">
        <v>11037</v>
      </c>
      <c r="AK491" t="s" s="0">
        <v>81</v>
      </c>
      <c r="AL491" t="s" s="0">
        <v>315</v>
      </c>
      <c r="AM491" t="s" s="0">
        <v>97</v>
      </c>
      <c r="AN491" t="s" s="0">
        <v>97</v>
      </c>
      <c r="AO491" t="s" s="0">
        <v>77</v>
      </c>
      <c r="AP491" t="s" s="0">
        <v>133</v>
      </c>
      <c r="AQ491" t="s" s="0">
        <v>915</v>
      </c>
      <c r="AR491" t="s" s="0">
        <v>916</v>
      </c>
      <c r="AS491" t="s" s="0">
        <v>917</v>
      </c>
      <c r="AT491" t="s" s="0">
        <v>918</v>
      </c>
      <c r="AU491" t="s" s="0">
        <v>81</v>
      </c>
      <c r="AV491" t="s" s="0">
        <v>81</v>
      </c>
      <c r="AW491" t="s" s="0">
        <v>919</v>
      </c>
      <c r="AX491" t="s" s="0">
        <v>920</v>
      </c>
      <c r="AY491" t="s" s="0">
        <v>11038</v>
      </c>
      <c r="AZ491" t="s" s="0">
        <v>290</v>
      </c>
      <c r="BA491" t="s" s="0">
        <v>291</v>
      </c>
      <c r="BB491" t="s" s="0">
        <v>97</v>
      </c>
      <c r="BC491" t="s" s="0">
        <v>81</v>
      </c>
      <c r="BD491" t="s" s="0">
        <v>81</v>
      </c>
      <c r="BE491" t="s" s="0">
        <v>81</v>
      </c>
      <c r="BF491" t="s" s="0">
        <v>81</v>
      </c>
      <c r="BG491" t="s" s="0">
        <v>81</v>
      </c>
      <c r="BH491" t="s" s="0">
        <v>81</v>
      </c>
      <c r="BI491" t="s" s="0">
        <v>11039</v>
      </c>
      <c r="BJ491" t="s" s="0">
        <v>11040</v>
      </c>
      <c r="BK491" t="s" s="974">
        <f>HYPERLINK("http://dx.doi.org/10.1038/s41598-025-21360-4","http://dx.doi.org/10.1038/s41598-025-21360-4")</f>
        <v>11041</v>
      </c>
      <c r="BL491" t="s" s="0">
        <v>81</v>
      </c>
      <c r="BM491" t="s" s="0">
        <v>81</v>
      </c>
      <c r="BN491" t="s" s="0">
        <v>295</v>
      </c>
      <c r="BO491" t="s" s="0">
        <v>926</v>
      </c>
      <c r="BP491" t="s" s="0">
        <v>927</v>
      </c>
      <c r="BQ491" t="s" s="0">
        <v>11042</v>
      </c>
      <c r="BR491" t="s" s="0">
        <v>11043</v>
      </c>
      <c r="BS491" t="s" s="0">
        <v>11044</v>
      </c>
      <c r="BT491" t="s" s="975">
        <f>HYPERLINK("https://www.webofscience.com/wos/woscc/full-record/WOS:001601003600038","View Record in Web of Science")</f>
        <v>114</v>
      </c>
      <c r="BU491" t="s" s="0">
        <v>301</v>
      </c>
      <c r="BV491" t="s" s="0">
        <v>81</v>
      </c>
      <c r="BW491" t="s" s="0">
        <v>81</v>
      </c>
      <c r="BX491" t="s" s="0">
        <v>116</v>
      </c>
    </row>
    <row r="492">
      <c r="A492" t="s" s="0">
        <v>77</v>
      </c>
      <c r="B492" t="s" s="0">
        <v>77</v>
      </c>
      <c r="C492" t="s" s="0">
        <v>367</v>
      </c>
      <c r="D492" t="s" s="0">
        <v>77</v>
      </c>
      <c r="E492" t="s" s="0">
        <v>11045</v>
      </c>
      <c r="F492" t="s" s="0">
        <v>11046</v>
      </c>
      <c r="G492" t="s" s="0">
        <v>11047</v>
      </c>
      <c r="H492" t="s" s="0">
        <v>81</v>
      </c>
      <c r="I492" t="s" s="0">
        <v>82</v>
      </c>
      <c r="J492" t="s" s="0">
        <v>11048</v>
      </c>
      <c r="K492" t="s" s="0">
        <v>11049</v>
      </c>
      <c r="L492" t="s" s="0">
        <v>81</v>
      </c>
      <c r="M492" t="s" s="0">
        <v>81</v>
      </c>
      <c r="N492" t="s" s="0">
        <v>81</v>
      </c>
      <c r="O492" t="s" s="0">
        <v>11050</v>
      </c>
      <c r="P492" t="s" s="0">
        <v>11051</v>
      </c>
      <c r="Q492" t="s" s="0">
        <v>87</v>
      </c>
      <c r="R492" t="s" s="0">
        <v>81</v>
      </c>
      <c r="S492" t="s" s="0">
        <v>81</v>
      </c>
      <c r="T492" t="s" s="0">
        <v>81</v>
      </c>
      <c r="U492" t="s" s="0">
        <v>81</v>
      </c>
      <c r="V492" t="s" s="0">
        <v>11052</v>
      </c>
      <c r="W492" t="s" s="0">
        <v>11053</v>
      </c>
      <c r="X492" t="s" s="0">
        <v>81</v>
      </c>
      <c r="Y492" t="s" s="0">
        <v>81</v>
      </c>
      <c r="Z492" t="s" s="0">
        <v>90</v>
      </c>
      <c r="AA492" t="s" s="0">
        <v>91</v>
      </c>
      <c r="AB492" t="s" s="0">
        <v>81</v>
      </c>
      <c r="AC492" t="s" s="0">
        <v>81</v>
      </c>
      <c r="AD492" t="s" s="0">
        <v>81</v>
      </c>
      <c r="AE492" t="s" s="0">
        <v>81</v>
      </c>
      <c r="AF492" t="s" s="0">
        <v>81</v>
      </c>
      <c r="AG492" t="s" s="0">
        <v>11054</v>
      </c>
      <c r="AH492" t="s" s="0">
        <v>11055</v>
      </c>
      <c r="AI492" t="s" s="0">
        <v>11056</v>
      </c>
      <c r="AJ492" t="s" s="0">
        <v>11057</v>
      </c>
      <c r="AK492" t="s" s="0">
        <v>81</v>
      </c>
      <c r="AL492" t="s" s="0">
        <v>2819</v>
      </c>
      <c r="AM492" t="s" s="0">
        <v>173</v>
      </c>
      <c r="AN492" t="s" s="0">
        <v>508</v>
      </c>
      <c r="AO492" t="s" s="0">
        <v>261</v>
      </c>
      <c r="AP492" t="s" s="0">
        <v>544</v>
      </c>
      <c r="AQ492" t="s" s="0">
        <v>212</v>
      </c>
      <c r="AR492" t="s" s="0">
        <v>213</v>
      </c>
      <c r="AS492" t="s" s="0">
        <v>214</v>
      </c>
      <c r="AT492" t="s" s="0">
        <v>11058</v>
      </c>
      <c r="AU492" t="s" s="0">
        <v>11059</v>
      </c>
      <c r="AV492" t="s" s="0">
        <v>81</v>
      </c>
      <c r="AW492" t="s" s="0">
        <v>11060</v>
      </c>
      <c r="AX492" t="s" s="0">
        <v>11061</v>
      </c>
      <c r="AY492" t="s" s="0">
        <v>2879</v>
      </c>
      <c r="AZ492" t="s" s="0">
        <v>185</v>
      </c>
      <c r="BA492" t="s" s="0">
        <v>176</v>
      </c>
      <c r="BB492" t="s" s="0">
        <v>175</v>
      </c>
      <c r="BC492" t="s" s="0">
        <v>4172</v>
      </c>
      <c r="BD492" t="s" s="0">
        <v>81</v>
      </c>
      <c r="BE492" t="s" s="0">
        <v>81</v>
      </c>
      <c r="BF492" t="s" s="0">
        <v>81</v>
      </c>
      <c r="BG492" t="s" s="0">
        <v>11062</v>
      </c>
      <c r="BH492" t="s" s="0">
        <v>11063</v>
      </c>
      <c r="BI492" t="s" s="0">
        <v>81</v>
      </c>
      <c r="BJ492" t="s" s="0">
        <v>11064</v>
      </c>
      <c r="BK492" t="s" s="976">
        <f>HYPERLINK("http://dx.doi.org/10.1007/s11030-023-10782-9","http://dx.doi.org/10.1007/s11030-023-10782-9")</f>
        <v>11065</v>
      </c>
      <c r="BL492" t="s" s="0">
        <v>81</v>
      </c>
      <c r="BM492" t="s" s="0">
        <v>6722</v>
      </c>
      <c r="BN492" t="s" s="0">
        <v>295</v>
      </c>
      <c r="BO492" t="s" s="0">
        <v>11066</v>
      </c>
      <c r="BP492" t="s" s="0">
        <v>11067</v>
      </c>
      <c r="BQ492" t="s" s="0">
        <v>11068</v>
      </c>
      <c r="BR492" t="s" s="0">
        <v>11069</v>
      </c>
      <c r="BS492" t="s" s="0">
        <v>11070</v>
      </c>
      <c r="BT492" t="s" s="977">
        <f>HYPERLINK("https://www.webofscience.com/wos/woscc/full-record/WOS:001139233600001","View Record in Web of Science")</f>
        <v>114</v>
      </c>
      <c r="BU492" t="s" s="0">
        <v>81</v>
      </c>
      <c r="BV492" t="s" s="0">
        <v>81</v>
      </c>
      <c r="BW492" t="s" s="0">
        <v>81</v>
      </c>
      <c r="BX492" t="s" s="0">
        <v>116</v>
      </c>
    </row>
    <row r="493">
      <c r="A493" t="s" s="0">
        <v>77</v>
      </c>
      <c r="B493" t="s" s="0">
        <v>77</v>
      </c>
      <c r="C493" t="s" s="0">
        <v>77</v>
      </c>
      <c r="D493" t="s" s="0">
        <v>77</v>
      </c>
      <c r="E493" t="s" s="0">
        <v>11071</v>
      </c>
      <c r="F493" t="s" s="0">
        <v>11072</v>
      </c>
      <c r="G493" t="s" s="0">
        <v>11073</v>
      </c>
      <c r="H493" t="s" s="0">
        <v>81</v>
      </c>
      <c r="I493" t="s" s="0">
        <v>82</v>
      </c>
      <c r="J493" t="s" s="0">
        <v>11074</v>
      </c>
      <c r="K493" t="s" s="0">
        <v>11075</v>
      </c>
      <c r="L493" t="s" s="0">
        <v>6513</v>
      </c>
      <c r="M493" t="s" s="0">
        <v>6513</v>
      </c>
      <c r="N493" t="s" s="0">
        <v>6514</v>
      </c>
      <c r="O493" t="s" s="0">
        <v>11076</v>
      </c>
      <c r="P493" t="s" s="0">
        <v>11077</v>
      </c>
      <c r="Q493" t="s" s="0">
        <v>87</v>
      </c>
      <c r="R493" t="s" s="0">
        <v>81</v>
      </c>
      <c r="S493" t="s" s="0">
        <v>81</v>
      </c>
      <c r="T493" t="s" s="0">
        <v>81</v>
      </c>
      <c r="U493" t="s" s="0">
        <v>81</v>
      </c>
      <c r="V493" t="s" s="0">
        <v>11078</v>
      </c>
      <c r="W493" t="s" s="0">
        <v>910</v>
      </c>
      <c r="X493" t="s" s="0">
        <v>81</v>
      </c>
      <c r="Y493" t="s" s="0">
        <v>81</v>
      </c>
      <c r="Z493" t="s" s="0">
        <v>90</v>
      </c>
      <c r="AA493" t="s" s="0">
        <v>91</v>
      </c>
      <c r="AB493" t="s" s="0">
        <v>81</v>
      </c>
      <c r="AC493" t="s" s="0">
        <v>81</v>
      </c>
      <c r="AD493" t="s" s="0">
        <v>81</v>
      </c>
      <c r="AE493" t="s" s="0">
        <v>81</v>
      </c>
      <c r="AF493" t="s" s="0">
        <v>81</v>
      </c>
      <c r="AG493" t="s" s="0">
        <v>11079</v>
      </c>
      <c r="AH493" t="s" s="0">
        <v>81</v>
      </c>
      <c r="AI493" t="s" s="0">
        <v>81</v>
      </c>
      <c r="AJ493" t="s" s="0">
        <v>81</v>
      </c>
      <c r="AK493" t="s" s="0">
        <v>81</v>
      </c>
      <c r="AL493" t="s" s="0">
        <v>1374</v>
      </c>
      <c r="AM493" t="s" s="0">
        <v>77</v>
      </c>
      <c r="AN493" t="s" s="0">
        <v>77</v>
      </c>
      <c r="AO493" t="s" s="0">
        <v>77</v>
      </c>
      <c r="AP493" t="s" s="0">
        <v>77</v>
      </c>
      <c r="AQ493" t="s" s="0">
        <v>915</v>
      </c>
      <c r="AR493" t="s" s="0">
        <v>916</v>
      </c>
      <c r="AS493" t="s" s="0">
        <v>917</v>
      </c>
      <c r="AT493" t="s" s="0">
        <v>918</v>
      </c>
      <c r="AU493" t="s" s="0">
        <v>81</v>
      </c>
      <c r="AV493" t="s" s="0">
        <v>81</v>
      </c>
      <c r="AW493" t="s" s="0">
        <v>919</v>
      </c>
      <c r="AX493" t="s" s="0">
        <v>920</v>
      </c>
      <c r="AY493" t="s" s="0">
        <v>11080</v>
      </c>
      <c r="AZ493" t="s" s="0">
        <v>103</v>
      </c>
      <c r="BA493" t="s" s="0">
        <v>925</v>
      </c>
      <c r="BB493" t="s" s="0">
        <v>97</v>
      </c>
      <c r="BC493" t="s" s="0">
        <v>81</v>
      </c>
      <c r="BD493" t="s" s="0">
        <v>81</v>
      </c>
      <c r="BE493" t="s" s="0">
        <v>81</v>
      </c>
      <c r="BF493" t="s" s="0">
        <v>81</v>
      </c>
      <c r="BG493" t="s" s="0">
        <v>81</v>
      </c>
      <c r="BH493" t="s" s="0">
        <v>81</v>
      </c>
      <c r="BI493" t="s" s="0">
        <v>11081</v>
      </c>
      <c r="BJ493" t="s" s="0">
        <v>11082</v>
      </c>
      <c r="BK493" t="s" s="978">
        <f>HYPERLINK("http://dx.doi.org/10.1038/s41598-026-53075-5","http://dx.doi.org/10.1038/s41598-026-53075-5")</f>
        <v>11083</v>
      </c>
      <c r="BL493" t="s" s="0">
        <v>81</v>
      </c>
      <c r="BM493" t="s" s="0">
        <v>81</v>
      </c>
      <c r="BN493" t="s" s="0">
        <v>210</v>
      </c>
      <c r="BO493" t="s" s="0">
        <v>926</v>
      </c>
      <c r="BP493" t="s" s="0">
        <v>927</v>
      </c>
      <c r="BQ493" t="s" s="0">
        <v>11084</v>
      </c>
      <c r="BR493" t="s" s="0">
        <v>11085</v>
      </c>
      <c r="BS493" t="s" s="0">
        <v>11086</v>
      </c>
      <c r="BT493" t="s" s="979">
        <f>HYPERLINK("https://www.webofscience.com/wos/woscc/full-record/WOS:001829908800001","View Record in Web of Science")</f>
        <v>114</v>
      </c>
      <c r="BU493" t="s" s="0">
        <v>6488</v>
      </c>
      <c r="BV493" t="s" s="0">
        <v>81</v>
      </c>
      <c r="BW493" t="s" s="0">
        <v>81</v>
      </c>
      <c r="BX493" t="s" s="0">
        <v>116</v>
      </c>
    </row>
    <row r="494">
      <c r="A494" t="s" s="0">
        <v>77</v>
      </c>
      <c r="B494" t="s" s="0">
        <v>77</v>
      </c>
      <c r="C494" t="s" s="0">
        <v>77</v>
      </c>
      <c r="D494" t="s" s="0">
        <v>77</v>
      </c>
      <c r="E494" t="s" s="0">
        <v>11087</v>
      </c>
      <c r="F494" t="s" s="0">
        <v>11088</v>
      </c>
      <c r="G494" t="s" s="0">
        <v>11089</v>
      </c>
      <c r="H494" t="s" s="0">
        <v>81</v>
      </c>
      <c r="I494" t="s" s="0">
        <v>82</v>
      </c>
      <c r="J494" t="s" s="0">
        <v>11090</v>
      </c>
      <c r="K494" t="s" s="0">
        <v>11091</v>
      </c>
      <c r="L494" t="s" s="0">
        <v>11092</v>
      </c>
      <c r="M494" t="s" s="0">
        <v>11093</v>
      </c>
      <c r="N494" t="s" s="0">
        <v>11094</v>
      </c>
      <c r="O494" t="s" s="0">
        <v>11095</v>
      </c>
      <c r="P494" t="s" s="0">
        <v>11096</v>
      </c>
      <c r="Q494" t="s" s="0">
        <v>87</v>
      </c>
      <c r="R494" t="s" s="0">
        <v>81</v>
      </c>
      <c r="S494" t="s" s="0">
        <v>81</v>
      </c>
      <c r="T494" t="s" s="0">
        <v>81</v>
      </c>
      <c r="U494" t="s" s="0">
        <v>81</v>
      </c>
      <c r="V494" t="s" s="0">
        <v>11097</v>
      </c>
      <c r="W494" t="s" s="0">
        <v>11098</v>
      </c>
      <c r="X494" t="s" s="0">
        <v>81</v>
      </c>
      <c r="Y494" t="s" s="0">
        <v>81</v>
      </c>
      <c r="Z494" t="s" s="0">
        <v>90</v>
      </c>
      <c r="AA494" t="s" s="0">
        <v>91</v>
      </c>
      <c r="AB494" t="s" s="0">
        <v>81</v>
      </c>
      <c r="AC494" t="s" s="0">
        <v>81</v>
      </c>
      <c r="AD494" t="s" s="0">
        <v>81</v>
      </c>
      <c r="AE494" t="s" s="0">
        <v>81</v>
      </c>
      <c r="AF494" t="s" s="0">
        <v>81</v>
      </c>
      <c r="AG494" t="s" s="0">
        <v>81</v>
      </c>
      <c r="AH494" t="s" s="0">
        <v>11099</v>
      </c>
      <c r="AI494" t="s" s="0">
        <v>11100</v>
      </c>
      <c r="AJ494" t="s" s="0">
        <v>11101</v>
      </c>
      <c r="AK494" t="s" s="0">
        <v>81</v>
      </c>
      <c r="AL494" t="s" s="0">
        <v>174</v>
      </c>
      <c r="AM494" t="s" s="0">
        <v>77</v>
      </c>
      <c r="AN494" t="s" s="0">
        <v>77</v>
      </c>
      <c r="AO494" t="s" s="0">
        <v>133</v>
      </c>
      <c r="AP494" t="s" s="0">
        <v>133</v>
      </c>
      <c r="AQ494" t="s" s="0">
        <v>4164</v>
      </c>
      <c r="AR494" t="s" s="0">
        <v>4165</v>
      </c>
      <c r="AS494" t="s" s="0">
        <v>4166</v>
      </c>
      <c r="AT494" t="s" s="0">
        <v>11102</v>
      </c>
      <c r="AU494" t="s" s="0">
        <v>11103</v>
      </c>
      <c r="AV494" t="s" s="0">
        <v>81</v>
      </c>
      <c r="AW494" t="s" s="0">
        <v>11104</v>
      </c>
      <c r="AX494" t="s" s="0">
        <v>11105</v>
      </c>
      <c r="AY494" t="s" s="0">
        <v>675</v>
      </c>
      <c r="AZ494" t="s" s="0">
        <v>103</v>
      </c>
      <c r="BA494" t="s" s="0">
        <v>4581</v>
      </c>
      <c r="BB494" t="s" s="0">
        <v>133</v>
      </c>
      <c r="BC494" t="s" s="0">
        <v>81</v>
      </c>
      <c r="BD494" t="s" s="0">
        <v>81</v>
      </c>
      <c r="BE494" t="s" s="0">
        <v>81</v>
      </c>
      <c r="BF494" t="s" s="0">
        <v>81</v>
      </c>
      <c r="BG494" t="s" s="0">
        <v>11106</v>
      </c>
      <c r="BH494" t="s" s="0">
        <v>11107</v>
      </c>
      <c r="BI494" t="s" s="0">
        <v>81</v>
      </c>
      <c r="BJ494" t="s" s="0">
        <v>11108</v>
      </c>
      <c r="BK494" t="s" s="980">
        <f>HYPERLINK("http://dx.doi.org/10.1093/clinchem/hvaf190","http://dx.doi.org/10.1093/clinchem/hvaf190")</f>
        <v>11109</v>
      </c>
      <c r="BL494" t="s" s="0">
        <v>81</v>
      </c>
      <c r="BM494" t="s" s="0">
        <v>1940</v>
      </c>
      <c r="BN494" t="s" s="0">
        <v>134</v>
      </c>
      <c r="BO494" t="s" s="0">
        <v>11110</v>
      </c>
      <c r="BP494" t="s" s="0">
        <v>11110</v>
      </c>
      <c r="BQ494" t="s" s="0">
        <v>11111</v>
      </c>
      <c r="BR494" t="s" s="0">
        <v>11112</v>
      </c>
      <c r="BS494" t="s" s="0">
        <v>11113</v>
      </c>
      <c r="BT494" t="s" s="981">
        <f>HYPERLINK("https://www.webofscience.com/wos/woscc/full-record/WOS:001672508300001","View Record in Web of Science")</f>
        <v>114</v>
      </c>
      <c r="BU494" t="s" s="0">
        <v>2112</v>
      </c>
      <c r="BV494" t="s" s="0">
        <v>81</v>
      </c>
      <c r="BW494" t="s" s="0">
        <v>81</v>
      </c>
      <c r="BX494" t="s" s="0">
        <v>116</v>
      </c>
    </row>
    <row r="495">
      <c r="A495" t="s" s="0">
        <v>77</v>
      </c>
      <c r="B495" t="s" s="0">
        <v>77</v>
      </c>
      <c r="C495" t="s" s="0">
        <v>175</v>
      </c>
      <c r="D495" t="s" s="0">
        <v>77</v>
      </c>
      <c r="E495" t="s" s="0">
        <v>11114</v>
      </c>
      <c r="F495" t="s" s="0">
        <v>11115</v>
      </c>
      <c r="G495" t="s" s="0">
        <v>11116</v>
      </c>
      <c r="H495" t="s" s="0">
        <v>81</v>
      </c>
      <c r="I495" t="s" s="0">
        <v>82</v>
      </c>
      <c r="J495" t="s" s="0">
        <v>11117</v>
      </c>
      <c r="K495" t="s" s="0">
        <v>11118</v>
      </c>
      <c r="L495" t="s" s="0">
        <v>81</v>
      </c>
      <c r="M495" t="s" s="0">
        <v>81</v>
      </c>
      <c r="N495" t="s" s="0">
        <v>81</v>
      </c>
      <c r="O495" t="s" s="0">
        <v>11119</v>
      </c>
      <c r="P495" t="s" s="0">
        <v>11120</v>
      </c>
      <c r="Q495" t="s" s="0">
        <v>87</v>
      </c>
      <c r="R495" t="s" s="0">
        <v>81</v>
      </c>
      <c r="S495" t="s" s="0">
        <v>81</v>
      </c>
      <c r="T495" t="s" s="0">
        <v>81</v>
      </c>
      <c r="U495" t="s" s="0">
        <v>81</v>
      </c>
      <c r="V495" t="s" s="0">
        <v>11121</v>
      </c>
      <c r="W495" t="s" s="0">
        <v>3106</v>
      </c>
      <c r="X495" t="s" s="0">
        <v>81</v>
      </c>
      <c r="Y495" t="s" s="0">
        <v>81</v>
      </c>
      <c r="Z495" t="s" s="0">
        <v>90</v>
      </c>
      <c r="AA495" t="s" s="0">
        <v>91</v>
      </c>
      <c r="AB495" t="s" s="0">
        <v>81</v>
      </c>
      <c r="AC495" t="s" s="0">
        <v>81</v>
      </c>
      <c r="AD495" t="s" s="0">
        <v>81</v>
      </c>
      <c r="AE495" t="s" s="0">
        <v>81</v>
      </c>
      <c r="AF495" t="s" s="0">
        <v>81</v>
      </c>
      <c r="AG495" t="s" s="0">
        <v>11122</v>
      </c>
      <c r="AH495" t="s" s="0">
        <v>81</v>
      </c>
      <c r="AI495" t="s" s="0">
        <v>11123</v>
      </c>
      <c r="AJ495" t="s" s="0">
        <v>11124</v>
      </c>
      <c r="AK495" t="s" s="0">
        <v>81</v>
      </c>
      <c r="AL495" t="s" s="0">
        <v>696</v>
      </c>
      <c r="AM495" t="s" s="0">
        <v>291</v>
      </c>
      <c r="AN495" t="s" s="0">
        <v>291</v>
      </c>
      <c r="AO495" t="s" s="0">
        <v>156</v>
      </c>
      <c r="AP495" t="s" s="0">
        <v>381</v>
      </c>
      <c r="AQ495" t="s" s="0">
        <v>136</v>
      </c>
      <c r="AR495" t="s" s="0">
        <v>137</v>
      </c>
      <c r="AS495" t="s" s="0">
        <v>138</v>
      </c>
      <c r="AT495" t="s" s="0">
        <v>3111</v>
      </c>
      <c r="AU495" t="s" s="0">
        <v>3112</v>
      </c>
      <c r="AV495" t="s" s="0">
        <v>81</v>
      </c>
      <c r="AW495" t="s" s="0">
        <v>3106</v>
      </c>
      <c r="AX495" t="s" s="0">
        <v>3113</v>
      </c>
      <c r="AY495" t="s" s="0">
        <v>11125</v>
      </c>
      <c r="AZ495" t="s" s="0">
        <v>290</v>
      </c>
      <c r="BA495" t="s" s="0">
        <v>11126</v>
      </c>
      <c r="BB495" t="s" s="0">
        <v>81</v>
      </c>
      <c r="BC495" t="s" s="0">
        <v>81</v>
      </c>
      <c r="BD495" t="s" s="0">
        <v>81</v>
      </c>
      <c r="BE495" t="s" s="0">
        <v>81</v>
      </c>
      <c r="BF495" t="s" s="0">
        <v>81</v>
      </c>
      <c r="BG495" t="s" s="0">
        <v>81</v>
      </c>
      <c r="BH495" t="s" s="0">
        <v>81</v>
      </c>
      <c r="BI495" t="s" s="0">
        <v>11127</v>
      </c>
      <c r="BJ495" t="s" s="0">
        <v>11128</v>
      </c>
      <c r="BK495" t="s" s="982">
        <f>HYPERLINK("http://dx.doi.org/10.1016/j.neucom.2025.129701","http://dx.doi.org/10.1016/j.neucom.2025.129701")</f>
        <v>11129</v>
      </c>
      <c r="BL495" t="s" s="0">
        <v>81</v>
      </c>
      <c r="BM495" t="s" s="0">
        <v>1029</v>
      </c>
      <c r="BN495" t="s" s="0">
        <v>104</v>
      </c>
      <c r="BO495" t="s" s="0">
        <v>409</v>
      </c>
      <c r="BP495" t="s" s="0">
        <v>152</v>
      </c>
      <c r="BQ495" t="s" s="0">
        <v>11130</v>
      </c>
      <c r="BR495" t="s" s="0">
        <v>81</v>
      </c>
      <c r="BS495" t="s" s="0">
        <v>11131</v>
      </c>
      <c r="BT495" t="s" s="983">
        <f>HYPERLINK("https://www.webofscience.com/wos/woscc/full-record/WOS:001433757400001","View Record in Web of Science")</f>
        <v>114</v>
      </c>
      <c r="BU495" t="s" s="0">
        <v>1055</v>
      </c>
      <c r="BV495" t="s" s="0">
        <v>81</v>
      </c>
      <c r="BW495" t="s" s="0">
        <v>81</v>
      </c>
      <c r="BX495" t="s" s="0">
        <v>116</v>
      </c>
    </row>
    <row r="496">
      <c r="A496" t="s" s="0">
        <v>77</v>
      </c>
      <c r="B496" t="s" s="0">
        <v>77</v>
      </c>
      <c r="C496" t="s" s="0">
        <v>77</v>
      </c>
      <c r="D496" t="s" s="0">
        <v>77</v>
      </c>
      <c r="E496" t="s" s="0">
        <v>11132</v>
      </c>
      <c r="F496" t="s" s="0">
        <v>11133</v>
      </c>
      <c r="G496" t="s" s="0">
        <v>11134</v>
      </c>
      <c r="H496" t="s" s="0">
        <v>81</v>
      </c>
      <c r="I496" t="s" s="0">
        <v>82</v>
      </c>
      <c r="J496" t="s" s="0">
        <v>11135</v>
      </c>
      <c r="K496" t="s" s="0">
        <v>11136</v>
      </c>
      <c r="L496" t="s" s="0">
        <v>11137</v>
      </c>
      <c r="M496" t="s" s="0">
        <v>11138</v>
      </c>
      <c r="N496" t="s" s="0">
        <v>11139</v>
      </c>
      <c r="O496" t="s" s="0">
        <v>11140</v>
      </c>
      <c r="P496" t="s" s="0">
        <v>10410</v>
      </c>
      <c r="Q496" t="s" s="0">
        <v>87</v>
      </c>
      <c r="R496" t="s" s="0">
        <v>81</v>
      </c>
      <c r="S496" t="s" s="0">
        <v>81</v>
      </c>
      <c r="T496" t="s" s="0">
        <v>81</v>
      </c>
      <c r="U496" t="s" s="0">
        <v>81</v>
      </c>
      <c r="V496" t="s" s="0">
        <v>11141</v>
      </c>
      <c r="W496" t="s" s="0">
        <v>11142</v>
      </c>
      <c r="X496" t="s" s="0">
        <v>81</v>
      </c>
      <c r="Y496" t="s" s="0">
        <v>81</v>
      </c>
      <c r="Z496" t="s" s="0">
        <v>90</v>
      </c>
      <c r="AA496" t="s" s="0">
        <v>91</v>
      </c>
      <c r="AB496" t="s" s="0">
        <v>81</v>
      </c>
      <c r="AC496" t="s" s="0">
        <v>81</v>
      </c>
      <c r="AD496" t="s" s="0">
        <v>81</v>
      </c>
      <c r="AE496" t="s" s="0">
        <v>81</v>
      </c>
      <c r="AF496" t="s" s="0">
        <v>81</v>
      </c>
      <c r="AG496" t="s" s="0">
        <v>11143</v>
      </c>
      <c r="AH496" t="s" s="0">
        <v>4648</v>
      </c>
      <c r="AI496" t="s" s="0">
        <v>11144</v>
      </c>
      <c r="AJ496" t="s" s="0">
        <v>81</v>
      </c>
      <c r="AK496" t="s" s="0">
        <v>81</v>
      </c>
      <c r="AL496" t="s" s="0">
        <v>343</v>
      </c>
      <c r="AM496" t="s" s="0">
        <v>77</v>
      </c>
      <c r="AN496" t="s" s="0">
        <v>77</v>
      </c>
      <c r="AO496" t="s" s="0">
        <v>133</v>
      </c>
      <c r="AP496" t="s" s="0">
        <v>133</v>
      </c>
      <c r="AQ496" t="s" s="0">
        <v>11145</v>
      </c>
      <c r="AR496" t="s" s="0">
        <v>11146</v>
      </c>
      <c r="AS496" t="s" s="0">
        <v>11147</v>
      </c>
      <c r="AT496" t="s" s="0">
        <v>11148</v>
      </c>
      <c r="AU496" t="s" s="0">
        <v>81</v>
      </c>
      <c r="AV496" t="s" s="0">
        <v>81</v>
      </c>
      <c r="AW496" t="s" s="0">
        <v>11149</v>
      </c>
      <c r="AX496" t="s" s="0">
        <v>11150</v>
      </c>
      <c r="AY496" t="s" s="0">
        <v>290</v>
      </c>
      <c r="AZ496" t="s" s="0">
        <v>290</v>
      </c>
      <c r="BA496" t="s" s="0">
        <v>174</v>
      </c>
      <c r="BB496" t="s" s="0">
        <v>156</v>
      </c>
      <c r="BC496" t="s" s="0">
        <v>81</v>
      </c>
      <c r="BD496" t="s" s="0">
        <v>81</v>
      </c>
      <c r="BE496" t="s" s="0">
        <v>81</v>
      </c>
      <c r="BF496" t="s" s="0">
        <v>81</v>
      </c>
      <c r="BG496" t="s" s="0">
        <v>914</v>
      </c>
      <c r="BH496" t="s" s="0">
        <v>5116</v>
      </c>
      <c r="BI496" t="s" s="0">
        <v>81</v>
      </c>
      <c r="BJ496" t="s" s="0">
        <v>11151</v>
      </c>
      <c r="BK496" t="s" s="984">
        <f>HYPERLINK("http://dx.doi.org/10.22452/mjcs.vol38no2.4","http://dx.doi.org/10.22452/mjcs.vol38no2.4")</f>
        <v>11152</v>
      </c>
      <c r="BL496" t="s" s="0">
        <v>81</v>
      </c>
      <c r="BM496" t="s" s="0">
        <v>81</v>
      </c>
      <c r="BN496" t="s" s="0">
        <v>222</v>
      </c>
      <c r="BO496" t="s" s="0">
        <v>151</v>
      </c>
      <c r="BP496" t="s" s="0">
        <v>152</v>
      </c>
      <c r="BQ496" t="s" s="0">
        <v>11153</v>
      </c>
      <c r="BR496" t="s" s="0">
        <v>81</v>
      </c>
      <c r="BS496" t="s" s="0">
        <v>11154</v>
      </c>
      <c r="BT496" t="s" s="985">
        <f>HYPERLINK("https://www.webofscience.com/wos/woscc/full-record/WOS:001637757900004","View Record in Web of Science")</f>
        <v>114</v>
      </c>
      <c r="BU496" t="s" s="0">
        <v>115</v>
      </c>
      <c r="BV496" t="s" s="0">
        <v>81</v>
      </c>
      <c r="BW496" t="s" s="0">
        <v>81</v>
      </c>
      <c r="BX496" t="s" s="0">
        <v>116</v>
      </c>
    </row>
    <row r="497">
      <c r="A497" t="s" s="0">
        <v>77</v>
      </c>
      <c r="B497" t="s" s="0">
        <v>77</v>
      </c>
      <c r="C497" t="s" s="0">
        <v>175</v>
      </c>
      <c r="D497" t="s" s="0">
        <v>77</v>
      </c>
      <c r="E497" t="s" s="0">
        <v>11155</v>
      </c>
      <c r="F497" t="s" s="0">
        <v>11156</v>
      </c>
      <c r="G497" t="s" s="0">
        <v>11157</v>
      </c>
      <c r="H497" t="s" s="0">
        <v>81</v>
      </c>
      <c r="I497" t="s" s="0">
        <v>238</v>
      </c>
      <c r="J497" t="s" s="0">
        <v>11158</v>
      </c>
      <c r="K497" t="s" s="0">
        <v>11159</v>
      </c>
      <c r="L497" t="s" s="0">
        <v>11160</v>
      </c>
      <c r="M497" t="s" s="0">
        <v>11161</v>
      </c>
      <c r="N497" t="s" s="0">
        <v>11162</v>
      </c>
      <c r="O497" t="s" s="0">
        <v>11163</v>
      </c>
      <c r="P497" t="s" s="0">
        <v>11164</v>
      </c>
      <c r="Q497" t="s" s="0">
        <v>87</v>
      </c>
      <c r="R497" t="s" s="0">
        <v>81</v>
      </c>
      <c r="S497" t="s" s="0">
        <v>81</v>
      </c>
      <c r="T497" t="s" s="0">
        <v>81</v>
      </c>
      <c r="U497" t="s" s="0">
        <v>81</v>
      </c>
      <c r="V497" t="s" s="0">
        <v>11165</v>
      </c>
      <c r="W497" t="s" s="0">
        <v>11166</v>
      </c>
      <c r="X497" t="s" s="0">
        <v>81</v>
      </c>
      <c r="Y497" t="s" s="0">
        <v>81</v>
      </c>
      <c r="Z497" t="s" s="0">
        <v>90</v>
      </c>
      <c r="AA497" t="s" s="0">
        <v>91</v>
      </c>
      <c r="AB497" t="s" s="0">
        <v>81</v>
      </c>
      <c r="AC497" t="s" s="0">
        <v>81</v>
      </c>
      <c r="AD497" t="s" s="0">
        <v>81</v>
      </c>
      <c r="AE497" t="s" s="0">
        <v>81</v>
      </c>
      <c r="AF497" t="s" s="0">
        <v>81</v>
      </c>
      <c r="AG497" t="s" s="0">
        <v>11167</v>
      </c>
      <c r="AH497" t="s" s="0">
        <v>81</v>
      </c>
      <c r="AI497" t="s" s="0">
        <v>11168</v>
      </c>
      <c r="AJ497" t="s" s="0">
        <v>11169</v>
      </c>
      <c r="AK497" t="s" s="0">
        <v>81</v>
      </c>
      <c r="AL497" t="s" s="0">
        <v>1442</v>
      </c>
      <c r="AM497" t="s" s="0">
        <v>134</v>
      </c>
      <c r="AN497" t="s" s="0">
        <v>104</v>
      </c>
      <c r="AO497" t="s" s="0">
        <v>156</v>
      </c>
      <c r="AP497" t="s" s="0">
        <v>133</v>
      </c>
      <c r="AQ497" t="s" s="0">
        <v>136</v>
      </c>
      <c r="AR497" t="s" s="0">
        <v>137</v>
      </c>
      <c r="AS497" t="s" s="0">
        <v>138</v>
      </c>
      <c r="AT497" t="s" s="0">
        <v>11170</v>
      </c>
      <c r="AU497" t="s" s="0">
        <v>81</v>
      </c>
      <c r="AV497" t="s" s="0">
        <v>81</v>
      </c>
      <c r="AW497" t="s" s="0">
        <v>11171</v>
      </c>
      <c r="AX497" t="s" s="0">
        <v>11172</v>
      </c>
      <c r="AY497" t="s" s="0">
        <v>733</v>
      </c>
      <c r="AZ497" t="s" s="0">
        <v>290</v>
      </c>
      <c r="BA497" t="s" s="0">
        <v>228</v>
      </c>
      <c r="BB497" t="s" s="0">
        <v>81</v>
      </c>
      <c r="BC497" t="s" s="0">
        <v>81</v>
      </c>
      <c r="BD497" t="s" s="0">
        <v>81</v>
      </c>
      <c r="BE497" t="s" s="0">
        <v>81</v>
      </c>
      <c r="BF497" t="s" s="0">
        <v>81</v>
      </c>
      <c r="BG497" t="s" s="0">
        <v>81</v>
      </c>
      <c r="BH497" t="s" s="0">
        <v>81</v>
      </c>
      <c r="BI497" t="s" s="0">
        <v>11173</v>
      </c>
      <c r="BJ497" t="s" s="0">
        <v>11174</v>
      </c>
      <c r="BK497" t="s" s="986">
        <f>HYPERLINK("http://dx.doi.org/10.1016/j.array.2025.100397","http://dx.doi.org/10.1016/j.array.2025.100397")</f>
        <v>11175</v>
      </c>
      <c r="BL497" t="s" s="0">
        <v>81</v>
      </c>
      <c r="BM497" t="s" s="0">
        <v>2502</v>
      </c>
      <c r="BN497" t="s" s="0">
        <v>210</v>
      </c>
      <c r="BO497" t="s" s="0">
        <v>1895</v>
      </c>
      <c r="BP497" t="s" s="0">
        <v>152</v>
      </c>
      <c r="BQ497" t="s" s="0">
        <v>11176</v>
      </c>
      <c r="BR497" t="s" s="0">
        <v>81</v>
      </c>
      <c r="BS497" t="s" s="0">
        <v>11177</v>
      </c>
      <c r="BT497" t="s" s="987">
        <f>HYPERLINK("https://www.webofscience.com/wos/woscc/full-record/WOS:001470240500001","View Record in Web of Science")</f>
        <v>114</v>
      </c>
      <c r="BU497" t="s" s="0">
        <v>301</v>
      </c>
      <c r="BV497" t="s" s="0">
        <v>81</v>
      </c>
      <c r="BW497" t="s" s="0">
        <v>81</v>
      </c>
      <c r="BX497" t="s" s="0">
        <v>116</v>
      </c>
    </row>
    <row r="498">
      <c r="A498" t="s" s="0">
        <v>77</v>
      </c>
      <c r="B498" t="s" s="0">
        <v>77</v>
      </c>
      <c r="C498" t="s" s="0">
        <v>77</v>
      </c>
      <c r="D498" t="s" s="0">
        <v>77</v>
      </c>
      <c r="E498" t="s" s="0">
        <v>11178</v>
      </c>
      <c r="F498" t="s" s="0">
        <v>11179</v>
      </c>
      <c r="G498" t="s" s="0">
        <v>11180</v>
      </c>
      <c r="H498" t="s" s="0">
        <v>81</v>
      </c>
      <c r="I498" t="s" s="0">
        <v>82</v>
      </c>
      <c r="J498" t="s" s="0">
        <v>11181</v>
      </c>
      <c r="K498" t="s" s="0">
        <v>11182</v>
      </c>
      <c r="L498" t="s" s="0">
        <v>81</v>
      </c>
      <c r="M498" t="s" s="0">
        <v>81</v>
      </c>
      <c r="N498" t="s" s="0">
        <v>81</v>
      </c>
      <c r="O498" t="s" s="0">
        <v>11183</v>
      </c>
      <c r="P498" t="s" s="0">
        <v>11184</v>
      </c>
      <c r="Q498" t="s" s="0">
        <v>87</v>
      </c>
      <c r="R498" t="s" s="0">
        <v>81</v>
      </c>
      <c r="S498" t="s" s="0">
        <v>81</v>
      </c>
      <c r="T498" t="s" s="0">
        <v>81</v>
      </c>
      <c r="U498" t="s" s="0">
        <v>81</v>
      </c>
      <c r="V498" t="s" s="0">
        <v>11185</v>
      </c>
      <c r="W498" t="s" s="0">
        <v>11186</v>
      </c>
      <c r="X498" t="s" s="0">
        <v>81</v>
      </c>
      <c r="Y498" t="s" s="0">
        <v>81</v>
      </c>
      <c r="Z498" t="s" s="0">
        <v>90</v>
      </c>
      <c r="AA498" t="s" s="0">
        <v>91</v>
      </c>
      <c r="AB498" t="s" s="0">
        <v>81</v>
      </c>
      <c r="AC498" t="s" s="0">
        <v>81</v>
      </c>
      <c r="AD498" t="s" s="0">
        <v>81</v>
      </c>
      <c r="AE498" t="s" s="0">
        <v>81</v>
      </c>
      <c r="AF498" t="s" s="0">
        <v>81</v>
      </c>
      <c r="AG498" t="s" s="0">
        <v>11187</v>
      </c>
      <c r="AH498" t="s" s="0">
        <v>81</v>
      </c>
      <c r="AI498" t="s" s="0">
        <v>81</v>
      </c>
      <c r="AJ498" t="s" s="0">
        <v>81</v>
      </c>
      <c r="AK498" t="s" s="0">
        <v>81</v>
      </c>
      <c r="AL498" t="s" s="0">
        <v>405</v>
      </c>
      <c r="AM498" t="s" s="0">
        <v>97</v>
      </c>
      <c r="AN498" t="s" s="0">
        <v>97</v>
      </c>
      <c r="AO498" t="s" s="0">
        <v>133</v>
      </c>
      <c r="AP498" t="s" s="0">
        <v>316</v>
      </c>
      <c r="AQ498" t="s" s="0">
        <v>3061</v>
      </c>
      <c r="AR498" t="s" s="0">
        <v>3062</v>
      </c>
      <c r="AS498" t="s" s="0">
        <v>3063</v>
      </c>
      <c r="AT498" t="s" s="0">
        <v>81</v>
      </c>
      <c r="AU498" t="s" s="0">
        <v>11188</v>
      </c>
      <c r="AV498" t="s" s="0">
        <v>81</v>
      </c>
      <c r="AW498" t="s" s="0">
        <v>11189</v>
      </c>
      <c r="AX498" t="s" s="0">
        <v>11190</v>
      </c>
      <c r="AY498" t="s" s="0">
        <v>103</v>
      </c>
      <c r="AZ498" t="s" s="0">
        <v>103</v>
      </c>
      <c r="BA498" t="s" s="0">
        <v>104</v>
      </c>
      <c r="BB498" t="s" s="0">
        <v>81</v>
      </c>
      <c r="BC498" t="s" s="0">
        <v>81</v>
      </c>
      <c r="BD498" t="s" s="0">
        <v>81</v>
      </c>
      <c r="BE498" t="s" s="0">
        <v>81</v>
      </c>
      <c r="BF498" t="s" s="0">
        <v>81</v>
      </c>
      <c r="BG498" t="s" s="0">
        <v>81</v>
      </c>
      <c r="BH498" t="s" s="0">
        <v>81</v>
      </c>
      <c r="BI498" t="s" s="0">
        <v>11191</v>
      </c>
      <c r="BJ498" t="s" s="0">
        <v>11192</v>
      </c>
      <c r="BK498" t="s" s="988">
        <f>HYPERLINK("http://dx.doi.org/10.2196/79922","http://dx.doi.org/10.2196/79922")</f>
        <v>11193</v>
      </c>
      <c r="BL498" t="s" s="0">
        <v>81</v>
      </c>
      <c r="BM498" t="s" s="0">
        <v>81</v>
      </c>
      <c r="BN498" t="s" s="0">
        <v>381</v>
      </c>
      <c r="BO498" t="s" s="0">
        <v>1963</v>
      </c>
      <c r="BP498" t="s" s="0">
        <v>1963</v>
      </c>
      <c r="BQ498" t="s" s="0">
        <v>11194</v>
      </c>
      <c r="BR498" t="s" s="0">
        <v>11195</v>
      </c>
      <c r="BS498" t="s" s="0">
        <v>11196</v>
      </c>
      <c r="BT498" t="s" s="989">
        <f>HYPERLINK("https://www.webofscience.com/wos/woscc/full-record/WOS:001669409500002","View Record in Web of Science")</f>
        <v>114</v>
      </c>
      <c r="BU498" t="s" s="0">
        <v>301</v>
      </c>
      <c r="BV498" t="s" s="0">
        <v>81</v>
      </c>
      <c r="BW498" t="s" s="0">
        <v>81</v>
      </c>
      <c r="BX498" t="s" s="0">
        <v>116</v>
      </c>
    </row>
    <row r="499">
      <c r="A499" t="s" s="0">
        <v>77</v>
      </c>
      <c r="B499" t="s" s="0">
        <v>77</v>
      </c>
      <c r="C499" t="s" s="0">
        <v>77</v>
      </c>
      <c r="D499" t="s" s="0">
        <v>77</v>
      </c>
      <c r="E499" t="s" s="0">
        <v>11197</v>
      </c>
      <c r="F499" t="s" s="0">
        <v>11198</v>
      </c>
      <c r="G499" t="s" s="0">
        <v>11199</v>
      </c>
      <c r="H499" t="s" s="0">
        <v>81</v>
      </c>
      <c r="I499" t="s" s="0">
        <v>82</v>
      </c>
      <c r="J499" t="s" s="0">
        <v>11200</v>
      </c>
      <c r="K499" t="s" s="0">
        <v>11201</v>
      </c>
      <c r="L499" t="s" s="0">
        <v>11202</v>
      </c>
      <c r="M499" t="s" s="0">
        <v>11203</v>
      </c>
      <c r="N499" t="s" s="0">
        <v>11204</v>
      </c>
      <c r="O499" t="s" s="0">
        <v>11205</v>
      </c>
      <c r="P499" t="s" s="0">
        <v>11206</v>
      </c>
      <c r="Q499" t="s" s="0">
        <v>87</v>
      </c>
      <c r="R499" t="s" s="0">
        <v>81</v>
      </c>
      <c r="S499" t="s" s="0">
        <v>81</v>
      </c>
      <c r="T499" t="s" s="0">
        <v>81</v>
      </c>
      <c r="U499" t="s" s="0">
        <v>81</v>
      </c>
      <c r="V499" t="s" s="0">
        <v>11207</v>
      </c>
      <c r="W499" t="s" s="0">
        <v>11208</v>
      </c>
      <c r="X499" t="s" s="0">
        <v>81</v>
      </c>
      <c r="Y499" t="s" s="0">
        <v>81</v>
      </c>
      <c r="Z499" t="s" s="0">
        <v>90</v>
      </c>
      <c r="AA499" t="s" s="0">
        <v>91</v>
      </c>
      <c r="AB499" t="s" s="0">
        <v>81</v>
      </c>
      <c r="AC499" t="s" s="0">
        <v>81</v>
      </c>
      <c r="AD499" t="s" s="0">
        <v>81</v>
      </c>
      <c r="AE499" t="s" s="0">
        <v>81</v>
      </c>
      <c r="AF499" t="s" s="0">
        <v>81</v>
      </c>
      <c r="AG499" t="s" s="0">
        <v>11209</v>
      </c>
      <c r="AH499" t="s" s="0">
        <v>11210</v>
      </c>
      <c r="AI499" t="s" s="0">
        <v>81</v>
      </c>
      <c r="AJ499" t="s" s="0">
        <v>81</v>
      </c>
      <c r="AK499" t="s" s="0">
        <v>81</v>
      </c>
      <c r="AL499" t="s" s="0">
        <v>756</v>
      </c>
      <c r="AM499" t="s" s="0">
        <v>77</v>
      </c>
      <c r="AN499" t="s" s="0">
        <v>77</v>
      </c>
      <c r="AO499" t="s" s="0">
        <v>175</v>
      </c>
      <c r="AP499" t="s" s="0">
        <v>175</v>
      </c>
      <c r="AQ499" t="s" s="0">
        <v>9614</v>
      </c>
      <c r="AR499" t="s" s="0">
        <v>1345</v>
      </c>
      <c r="AS499" t="s" s="0">
        <v>9615</v>
      </c>
      <c r="AT499" t="s" s="0">
        <v>11211</v>
      </c>
      <c r="AU499" t="s" s="0">
        <v>11212</v>
      </c>
      <c r="AV499" t="s" s="0">
        <v>81</v>
      </c>
      <c r="AW499" t="s" s="0">
        <v>11213</v>
      </c>
      <c r="AX499" t="s" s="0">
        <v>11214</v>
      </c>
      <c r="AY499" t="s" s="0">
        <v>11215</v>
      </c>
      <c r="AZ499" t="s" s="0">
        <v>103</v>
      </c>
      <c r="BA499" t="s" s="0">
        <v>11216</v>
      </c>
      <c r="BB499" t="s" s="0">
        <v>81</v>
      </c>
      <c r="BC499" t="s" s="0">
        <v>81</v>
      </c>
      <c r="BD499" t="s" s="0">
        <v>81</v>
      </c>
      <c r="BE499" t="s" s="0">
        <v>81</v>
      </c>
      <c r="BF499" t="s" s="0">
        <v>81</v>
      </c>
      <c r="BG499" t="s" s="0">
        <v>81</v>
      </c>
      <c r="BH499" t="s" s="0">
        <v>81</v>
      </c>
      <c r="BI499" t="s" s="0">
        <v>11217</v>
      </c>
      <c r="BJ499" t="s" s="0">
        <v>11218</v>
      </c>
      <c r="BK499" t="s" s="990">
        <f>HYPERLINK("http://dx.doi.org/10.1016/j.bios.2026.118738","http://dx.doi.org/10.1016/j.bios.2026.118738")</f>
        <v>11219</v>
      </c>
      <c r="BL499" t="s" s="0">
        <v>81</v>
      </c>
      <c r="BM499" t="s" s="0">
        <v>675</v>
      </c>
      <c r="BN499" t="s" s="0">
        <v>191</v>
      </c>
      <c r="BO499" t="s" s="0">
        <v>11220</v>
      </c>
      <c r="BP499" t="s" s="0">
        <v>11221</v>
      </c>
      <c r="BQ499" t="s" s="0">
        <v>11222</v>
      </c>
      <c r="BR499" t="s" s="0">
        <v>11223</v>
      </c>
      <c r="BS499" t="s" s="0">
        <v>11224</v>
      </c>
      <c r="BT499" t="s" s="991">
        <f>HYPERLINK("https://www.webofscience.com/wos/woscc/full-record/WOS:001760835700001","View Record in Web of Science")</f>
        <v>114</v>
      </c>
      <c r="BU499" t="s" s="0">
        <v>81</v>
      </c>
      <c r="BV499" t="s" s="0">
        <v>81</v>
      </c>
      <c r="BW499" t="s" s="0">
        <v>81</v>
      </c>
      <c r="BX499" t="s" s="0">
        <v>116</v>
      </c>
    </row>
    <row r="500">
      <c r="A500" t="s" s="0">
        <v>77</v>
      </c>
      <c r="B500" t="s" s="0">
        <v>77</v>
      </c>
      <c r="C500" t="s" s="0">
        <v>77</v>
      </c>
      <c r="D500" t="s" s="0">
        <v>77</v>
      </c>
      <c r="E500" t="s" s="0">
        <v>11225</v>
      </c>
      <c r="F500" t="s" s="0">
        <v>11226</v>
      </c>
      <c r="G500" t="s" s="0">
        <v>11227</v>
      </c>
      <c r="H500" t="s" s="0">
        <v>81</v>
      </c>
      <c r="I500" t="s" s="0">
        <v>82</v>
      </c>
      <c r="J500" t="s" s="0">
        <v>11228</v>
      </c>
      <c r="K500" t="s" s="0">
        <v>11229</v>
      </c>
      <c r="L500" t="s" s="0">
        <v>11230</v>
      </c>
      <c r="M500" t="s" s="0">
        <v>11231</v>
      </c>
      <c r="N500" t="s" s="0">
        <v>11232</v>
      </c>
      <c r="O500" t="s" s="0">
        <v>11233</v>
      </c>
      <c r="P500" t="s" s="0">
        <v>11234</v>
      </c>
      <c r="Q500" t="s" s="0">
        <v>87</v>
      </c>
      <c r="R500" t="s" s="0">
        <v>81</v>
      </c>
      <c r="S500" t="s" s="0">
        <v>81</v>
      </c>
      <c r="T500" t="s" s="0">
        <v>81</v>
      </c>
      <c r="U500" t="s" s="0">
        <v>81</v>
      </c>
      <c r="V500" t="s" s="0">
        <v>11235</v>
      </c>
      <c r="W500" t="s" s="0">
        <v>11236</v>
      </c>
      <c r="X500" t="s" s="0">
        <v>81</v>
      </c>
      <c r="Y500" t="s" s="0">
        <v>81</v>
      </c>
      <c r="Z500" t="s" s="0">
        <v>90</v>
      </c>
      <c r="AA500" t="s" s="0">
        <v>91</v>
      </c>
      <c r="AB500" t="s" s="0">
        <v>81</v>
      </c>
      <c r="AC500" t="s" s="0">
        <v>81</v>
      </c>
      <c r="AD500" t="s" s="0">
        <v>81</v>
      </c>
      <c r="AE500" t="s" s="0">
        <v>81</v>
      </c>
      <c r="AF500" t="s" s="0">
        <v>81</v>
      </c>
      <c r="AG500" t="s" s="0">
        <v>11237</v>
      </c>
      <c r="AH500" t="s" s="0">
        <v>11238</v>
      </c>
      <c r="AI500" t="s" s="0">
        <v>81</v>
      </c>
      <c r="AJ500" t="s" s="0">
        <v>81</v>
      </c>
      <c r="AK500" t="s" s="0">
        <v>81</v>
      </c>
      <c r="AL500" t="s" s="0">
        <v>697</v>
      </c>
      <c r="AM500" t="s" s="0">
        <v>77</v>
      </c>
      <c r="AN500" t="s" s="0">
        <v>77</v>
      </c>
      <c r="AO500" t="s" s="0">
        <v>77</v>
      </c>
      <c r="AP500" t="s" s="0">
        <v>77</v>
      </c>
      <c r="AQ500" t="s" s="0">
        <v>698</v>
      </c>
      <c r="AR500" t="s" s="0">
        <v>699</v>
      </c>
      <c r="AS500" t="s" s="0">
        <v>700</v>
      </c>
      <c r="AT500" t="s" s="0">
        <v>11239</v>
      </c>
      <c r="AU500" t="s" s="0">
        <v>11240</v>
      </c>
      <c r="AV500" t="s" s="0">
        <v>81</v>
      </c>
      <c r="AW500" t="s" s="0">
        <v>11241</v>
      </c>
      <c r="AX500" t="s" s="0">
        <v>11242</v>
      </c>
      <c r="AY500" t="s" s="0">
        <v>11243</v>
      </c>
      <c r="AZ500" t="s" s="0">
        <v>103</v>
      </c>
      <c r="BA500" t="s" s="0">
        <v>11244</v>
      </c>
      <c r="BB500" t="s" s="0">
        <v>81</v>
      </c>
      <c r="BC500" t="s" s="0">
        <v>81</v>
      </c>
      <c r="BD500" t="s" s="0">
        <v>81</v>
      </c>
      <c r="BE500" t="s" s="0">
        <v>81</v>
      </c>
      <c r="BF500" t="s" s="0">
        <v>81</v>
      </c>
      <c r="BG500" t="s" s="0">
        <v>81</v>
      </c>
      <c r="BH500" t="s" s="0">
        <v>81</v>
      </c>
      <c r="BI500" t="s" s="0">
        <v>11245</v>
      </c>
      <c r="BJ500" t="s" s="0">
        <v>11246</v>
      </c>
      <c r="BK500" t="s" s="992">
        <f>HYPERLINK("http://dx.doi.org/10.1016/j.bbrc.2026.154166","http://dx.doi.org/10.1016/j.bbrc.2026.154166")</f>
        <v>11247</v>
      </c>
      <c r="BL500" t="s" s="0">
        <v>81</v>
      </c>
      <c r="BM500" t="s" s="0">
        <v>849</v>
      </c>
      <c r="BN500" t="s" s="0">
        <v>211</v>
      </c>
      <c r="BO500" t="s" s="0">
        <v>11248</v>
      </c>
      <c r="BP500" t="s" s="0">
        <v>11248</v>
      </c>
      <c r="BQ500" t="s" s="0">
        <v>11249</v>
      </c>
      <c r="BR500" t="s" s="0">
        <v>11250</v>
      </c>
      <c r="BS500" t="s" s="0">
        <v>11251</v>
      </c>
      <c r="BT500" t="s" s="993">
        <f>HYPERLINK("https://www.webofscience.com/wos/woscc/full-record/WOS:001808326900001","View Record in Web of Science")</f>
        <v>114</v>
      </c>
      <c r="BU500" t="s" s="0">
        <v>81</v>
      </c>
      <c r="BV500" t="s" s="0">
        <v>81</v>
      </c>
      <c r="BW500" t="s" s="0">
        <v>81</v>
      </c>
      <c r="BX500" t="s" s="0">
        <v>116</v>
      </c>
    </row>
    <row r="501">
      <c r="A501" t="s" s="0">
        <v>77</v>
      </c>
      <c r="B501" t="s" s="0">
        <v>77</v>
      </c>
      <c r="C501" t="s" s="0">
        <v>156</v>
      </c>
      <c r="D501" t="s" s="0">
        <v>77</v>
      </c>
      <c r="E501" t="s" s="0">
        <v>11252</v>
      </c>
      <c r="F501" t="s" s="0">
        <v>11253</v>
      </c>
      <c r="G501" t="s" s="0">
        <v>11254</v>
      </c>
      <c r="H501" t="s" s="0">
        <v>81</v>
      </c>
      <c r="I501" t="s" s="0">
        <v>82</v>
      </c>
      <c r="J501" t="s" s="0">
        <v>11255</v>
      </c>
      <c r="K501" t="s" s="0">
        <v>11256</v>
      </c>
      <c r="L501" t="s" s="0">
        <v>11257</v>
      </c>
      <c r="M501" t="s" s="0">
        <v>11258</v>
      </c>
      <c r="N501" t="s" s="0">
        <v>11259</v>
      </c>
      <c r="O501" t="s" s="0">
        <v>11260</v>
      </c>
      <c r="P501" t="s" s="0">
        <v>11261</v>
      </c>
      <c r="Q501" t="s" s="0">
        <v>87</v>
      </c>
      <c r="R501" t="s" s="0">
        <v>81</v>
      </c>
      <c r="S501" t="s" s="0">
        <v>81</v>
      </c>
      <c r="T501" t="s" s="0">
        <v>81</v>
      </c>
      <c r="U501" t="s" s="0">
        <v>81</v>
      </c>
      <c r="V501" t="s" s="0">
        <v>11262</v>
      </c>
      <c r="W501" t="s" s="0">
        <v>89</v>
      </c>
      <c r="X501" t="s" s="0">
        <v>81</v>
      </c>
      <c r="Y501" t="s" s="0">
        <v>81</v>
      </c>
      <c r="Z501" t="s" s="0">
        <v>90</v>
      </c>
      <c r="AA501" t="s" s="0">
        <v>91</v>
      </c>
      <c r="AB501" t="s" s="0">
        <v>81</v>
      </c>
      <c r="AC501" t="s" s="0">
        <v>81</v>
      </c>
      <c r="AD501" t="s" s="0">
        <v>81</v>
      </c>
      <c r="AE501" t="s" s="0">
        <v>81</v>
      </c>
      <c r="AF501" t="s" s="0">
        <v>81</v>
      </c>
      <c r="AG501" t="s" s="0">
        <v>11263</v>
      </c>
      <c r="AH501" t="s" s="0">
        <v>11264</v>
      </c>
      <c r="AI501" t="s" s="0">
        <v>81</v>
      </c>
      <c r="AJ501" t="s" s="0">
        <v>11265</v>
      </c>
      <c r="AK501" t="s" s="0">
        <v>81</v>
      </c>
      <c r="AL501" t="s" s="0">
        <v>664</v>
      </c>
      <c r="AM501" t="s" s="0">
        <v>234</v>
      </c>
      <c r="AN501" t="s" s="0">
        <v>234</v>
      </c>
      <c r="AO501" t="s" s="0">
        <v>97</v>
      </c>
      <c r="AP501" t="s" s="0">
        <v>156</v>
      </c>
      <c r="AQ501" t="s" s="0">
        <v>98</v>
      </c>
      <c r="AR501" t="s" s="0">
        <v>99</v>
      </c>
      <c r="AS501" t="s" s="0">
        <v>100</v>
      </c>
      <c r="AT501" t="s" s="0">
        <v>101</v>
      </c>
      <c r="AU501" t="s" s="0">
        <v>81</v>
      </c>
      <c r="AV501" t="s" s="0">
        <v>81</v>
      </c>
      <c r="AW501" t="s" s="0">
        <v>89</v>
      </c>
      <c r="AX501" t="s" s="0">
        <v>102</v>
      </c>
      <c r="AY501" t="s" s="0">
        <v>290</v>
      </c>
      <c r="AZ501" t="s" s="0">
        <v>290</v>
      </c>
      <c r="BA501" t="s" s="0">
        <v>486</v>
      </c>
      <c r="BB501" t="s" s="0">
        <v>81</v>
      </c>
      <c r="BC501" t="s" s="0">
        <v>81</v>
      </c>
      <c r="BD501" t="s" s="0">
        <v>81</v>
      </c>
      <c r="BE501" t="s" s="0">
        <v>81</v>
      </c>
      <c r="BF501" t="s" s="0">
        <v>81</v>
      </c>
      <c r="BG501" t="s" s="0">
        <v>11266</v>
      </c>
      <c r="BH501" t="s" s="0">
        <v>11267</v>
      </c>
      <c r="BI501" t="s" s="0">
        <v>81</v>
      </c>
      <c r="BJ501" t="s" s="0">
        <v>11268</v>
      </c>
      <c r="BK501" t="s" s="994">
        <f>HYPERLINK("http://dx.doi.org/10.1109/ACCESS.2025.3525571","http://dx.doi.org/10.1109/ACCESS.2025.3525571")</f>
        <v>11269</v>
      </c>
      <c r="BL501" t="s" s="0">
        <v>81</v>
      </c>
      <c r="BM501" t="s" s="0">
        <v>81</v>
      </c>
      <c r="BN501" t="s" s="0">
        <v>486</v>
      </c>
      <c r="BO501" t="s" s="0">
        <v>110</v>
      </c>
      <c r="BP501" t="s" s="0">
        <v>111</v>
      </c>
      <c r="BQ501" t="s" s="0">
        <v>11270</v>
      </c>
      <c r="BR501" t="s" s="0">
        <v>81</v>
      </c>
      <c r="BS501" t="s" s="0">
        <v>11271</v>
      </c>
      <c r="BT501" t="s" s="995">
        <f>HYPERLINK("https://www.webofscience.com/wos/woscc/full-record/WOS:001398640700033","View Record in Web of Science")</f>
        <v>114</v>
      </c>
      <c r="BU501" t="s" s="0">
        <v>301</v>
      </c>
      <c r="BV501" t="s" s="0">
        <v>81</v>
      </c>
      <c r="BW501" t="s" s="0">
        <v>81</v>
      </c>
      <c r="BX501" t="s" s="0">
        <v>116</v>
      </c>
    </row>
    <row r="502">
      <c r="A502" t="s" s="0">
        <v>77</v>
      </c>
      <c r="B502" t="s" s="0">
        <v>77</v>
      </c>
      <c r="C502" t="s" s="0">
        <v>77</v>
      </c>
      <c r="D502" t="s" s="0">
        <v>77</v>
      </c>
      <c r="E502" t="s" s="0">
        <v>11272</v>
      </c>
      <c r="F502" t="s" s="0">
        <v>11273</v>
      </c>
      <c r="G502" t="s" s="0">
        <v>11274</v>
      </c>
      <c r="H502" t="s" s="0">
        <v>81</v>
      </c>
      <c r="I502" t="s" s="0">
        <v>82</v>
      </c>
      <c r="J502" t="s" s="0">
        <v>11275</v>
      </c>
      <c r="K502" t="s" s="0">
        <v>11276</v>
      </c>
      <c r="L502" t="s" s="0">
        <v>11277</v>
      </c>
      <c r="M502" t="s" s="0">
        <v>11278</v>
      </c>
      <c r="N502" t="s" s="0">
        <v>11279</v>
      </c>
      <c r="O502" t="s" s="0">
        <v>11280</v>
      </c>
      <c r="P502" t="s" s="0">
        <v>11281</v>
      </c>
      <c r="Q502" t="s" s="0">
        <v>87</v>
      </c>
      <c r="R502" t="s" s="0">
        <v>81</v>
      </c>
      <c r="S502" t="s" s="0">
        <v>81</v>
      </c>
      <c r="T502" t="s" s="0">
        <v>81</v>
      </c>
      <c r="U502" t="s" s="0">
        <v>81</v>
      </c>
      <c r="V502" t="s" s="0">
        <v>11282</v>
      </c>
      <c r="W502" t="s" s="0">
        <v>89</v>
      </c>
      <c r="X502" t="s" s="0">
        <v>81</v>
      </c>
      <c r="Y502" t="s" s="0">
        <v>81</v>
      </c>
      <c r="Z502" t="s" s="0">
        <v>90</v>
      </c>
      <c r="AA502" t="s" s="0">
        <v>91</v>
      </c>
      <c r="AB502" t="s" s="0">
        <v>81</v>
      </c>
      <c r="AC502" t="s" s="0">
        <v>81</v>
      </c>
      <c r="AD502" t="s" s="0">
        <v>81</v>
      </c>
      <c r="AE502" t="s" s="0">
        <v>81</v>
      </c>
      <c r="AF502" t="s" s="0">
        <v>81</v>
      </c>
      <c r="AG502" t="s" s="0">
        <v>11283</v>
      </c>
      <c r="AH502" t="s" s="0">
        <v>11284</v>
      </c>
      <c r="AI502" t="s" s="0">
        <v>11285</v>
      </c>
      <c r="AJ502" t="s" s="0">
        <v>11286</v>
      </c>
      <c r="AK502" t="s" s="0">
        <v>81</v>
      </c>
      <c r="AL502" t="s" s="0">
        <v>697</v>
      </c>
      <c r="AM502" t="s" s="0">
        <v>97</v>
      </c>
      <c r="AN502" t="s" s="0">
        <v>156</v>
      </c>
      <c r="AO502" t="s" s="0">
        <v>133</v>
      </c>
      <c r="AP502" t="s" s="0">
        <v>367</v>
      </c>
      <c r="AQ502" t="s" s="0">
        <v>98</v>
      </c>
      <c r="AR502" t="s" s="0">
        <v>99</v>
      </c>
      <c r="AS502" t="s" s="0">
        <v>100</v>
      </c>
      <c r="AT502" t="s" s="0">
        <v>101</v>
      </c>
      <c r="AU502" t="s" s="0">
        <v>81</v>
      </c>
      <c r="AV502" t="s" s="0">
        <v>81</v>
      </c>
      <c r="AW502" t="s" s="0">
        <v>89</v>
      </c>
      <c r="AX502" t="s" s="0">
        <v>102</v>
      </c>
      <c r="AY502" t="s" s="0">
        <v>290</v>
      </c>
      <c r="AZ502" t="s" s="0">
        <v>290</v>
      </c>
      <c r="BA502" t="s" s="0">
        <v>486</v>
      </c>
      <c r="BB502" t="s" s="0">
        <v>81</v>
      </c>
      <c r="BC502" t="s" s="0">
        <v>81</v>
      </c>
      <c r="BD502" t="s" s="0">
        <v>81</v>
      </c>
      <c r="BE502" t="s" s="0">
        <v>81</v>
      </c>
      <c r="BF502" t="s" s="0">
        <v>81</v>
      </c>
      <c r="BG502" t="s" s="0">
        <v>11287</v>
      </c>
      <c r="BH502" t="s" s="0">
        <v>11288</v>
      </c>
      <c r="BI502" t="s" s="0">
        <v>81</v>
      </c>
      <c r="BJ502" t="s" s="0">
        <v>11289</v>
      </c>
      <c r="BK502" t="s" s="996">
        <f>HYPERLINK("http://dx.doi.org/10.1109/ACCESS.2025.3586314","http://dx.doi.org/10.1109/ACCESS.2025.3586314")</f>
        <v>11290</v>
      </c>
      <c r="BL502" t="s" s="0">
        <v>81</v>
      </c>
      <c r="BM502" t="s" s="0">
        <v>81</v>
      </c>
      <c r="BN502" t="s" s="0">
        <v>874</v>
      </c>
      <c r="BO502" t="s" s="0">
        <v>110</v>
      </c>
      <c r="BP502" t="s" s="0">
        <v>111</v>
      </c>
      <c r="BQ502" t="s" s="0">
        <v>11291</v>
      </c>
      <c r="BR502" t="s" s="0">
        <v>81</v>
      </c>
      <c r="BS502" t="s" s="0">
        <v>11292</v>
      </c>
      <c r="BT502" t="s" s="997">
        <f>HYPERLINK("https://www.webofscience.com/wos/woscc/full-record/WOS:001531856700008","View Record in Web of Science")</f>
        <v>114</v>
      </c>
      <c r="BU502" t="s" s="0">
        <v>301</v>
      </c>
      <c r="BV502" t="s" s="0">
        <v>81</v>
      </c>
      <c r="BW502" t="s" s="0">
        <v>81</v>
      </c>
      <c r="BX502" t="s" s="0">
        <v>116</v>
      </c>
    </row>
    <row r="503">
      <c r="A503" t="s" s="0">
        <v>77</v>
      </c>
      <c r="B503" t="s" s="0">
        <v>77</v>
      </c>
      <c r="C503" t="s" s="0">
        <v>77</v>
      </c>
      <c r="D503" t="s" s="0">
        <v>77</v>
      </c>
      <c r="E503" t="s" s="0">
        <v>11293</v>
      </c>
      <c r="F503" t="s" s="0">
        <v>11294</v>
      </c>
      <c r="G503" t="s" s="0">
        <v>11295</v>
      </c>
      <c r="H503" t="s" s="0">
        <v>81</v>
      </c>
      <c r="I503" t="s" s="0">
        <v>82</v>
      </c>
      <c r="J503" t="s" s="0">
        <v>11296</v>
      </c>
      <c r="K503" t="s" s="0">
        <v>11297</v>
      </c>
      <c r="L503" t="s" s="0">
        <v>11298</v>
      </c>
      <c r="M503" t="s" s="0">
        <v>11299</v>
      </c>
      <c r="N503" t="s" s="0">
        <v>11300</v>
      </c>
      <c r="O503" t="s" s="0">
        <v>11301</v>
      </c>
      <c r="P503" t="s" s="0">
        <v>11302</v>
      </c>
      <c r="Q503" t="s" s="0">
        <v>87</v>
      </c>
      <c r="R503" t="s" s="0">
        <v>81</v>
      </c>
      <c r="S503" t="s" s="0">
        <v>81</v>
      </c>
      <c r="T503" t="s" s="0">
        <v>81</v>
      </c>
      <c r="U503" t="s" s="0">
        <v>81</v>
      </c>
      <c r="V503" t="s" s="0">
        <v>11303</v>
      </c>
      <c r="W503" t="s" s="0">
        <v>11304</v>
      </c>
      <c r="X503" t="s" s="0">
        <v>81</v>
      </c>
      <c r="Y503" t="s" s="0">
        <v>81</v>
      </c>
      <c r="Z503" t="s" s="0">
        <v>90</v>
      </c>
      <c r="AA503" t="s" s="0">
        <v>91</v>
      </c>
      <c r="AB503" t="s" s="0">
        <v>81</v>
      </c>
      <c r="AC503" t="s" s="0">
        <v>81</v>
      </c>
      <c r="AD503" t="s" s="0">
        <v>81</v>
      </c>
      <c r="AE503" t="s" s="0">
        <v>81</v>
      </c>
      <c r="AF503" t="s" s="0">
        <v>81</v>
      </c>
      <c r="AG503" t="s" s="0">
        <v>11305</v>
      </c>
      <c r="AH503" t="s" s="0">
        <v>11306</v>
      </c>
      <c r="AI503" t="s" s="0">
        <v>11307</v>
      </c>
      <c r="AJ503" t="s" s="0">
        <v>81</v>
      </c>
      <c r="AK503" t="s" s="0">
        <v>81</v>
      </c>
      <c r="AL503" t="s" s="0">
        <v>485</v>
      </c>
      <c r="AM503" t="s" s="0">
        <v>77</v>
      </c>
      <c r="AN503" t="s" s="0">
        <v>77</v>
      </c>
      <c r="AO503" t="s" s="0">
        <v>77</v>
      </c>
      <c r="AP503" t="s" s="0">
        <v>77</v>
      </c>
      <c r="AQ503" t="s" s="0">
        <v>11308</v>
      </c>
      <c r="AR503" t="s" s="0">
        <v>11309</v>
      </c>
      <c r="AS503" t="s" s="0">
        <v>11310</v>
      </c>
      <c r="AT503" t="s" s="0">
        <v>81</v>
      </c>
      <c r="AU503" t="s" s="0">
        <v>11311</v>
      </c>
      <c r="AV503" t="s" s="0">
        <v>81</v>
      </c>
      <c r="AW503" t="s" s="0">
        <v>11312</v>
      </c>
      <c r="AX503" t="s" s="0">
        <v>11313</v>
      </c>
      <c r="AY503" t="s" s="0">
        <v>103</v>
      </c>
      <c r="AZ503" t="s" s="0">
        <v>103</v>
      </c>
      <c r="BA503" t="s" s="0">
        <v>486</v>
      </c>
      <c r="BB503" t="s" s="0">
        <v>81</v>
      </c>
      <c r="BC503" t="s" s="0">
        <v>81</v>
      </c>
      <c r="BD503" t="s" s="0">
        <v>81</v>
      </c>
      <c r="BE503" t="s" s="0">
        <v>81</v>
      </c>
      <c r="BF503" t="s" s="0">
        <v>81</v>
      </c>
      <c r="BG503" t="s" s="0">
        <v>81</v>
      </c>
      <c r="BH503" t="s" s="0">
        <v>81</v>
      </c>
      <c r="BI503" t="s" s="0">
        <v>11314</v>
      </c>
      <c r="BJ503" t="s" s="0">
        <v>11315</v>
      </c>
      <c r="BK503" t="s" s="998">
        <f>HYPERLINK("http://dx.doi.org/10.2147/JHC.S618264","http://dx.doi.org/10.2147/JHC.S618264")</f>
        <v>11316</v>
      </c>
      <c r="BL503" t="s" s="0">
        <v>81</v>
      </c>
      <c r="BM503" t="s" s="0">
        <v>81</v>
      </c>
      <c r="BN503" t="s" s="0">
        <v>104</v>
      </c>
      <c r="BO503" t="s" s="0">
        <v>1380</v>
      </c>
      <c r="BP503" t="s" s="0">
        <v>1380</v>
      </c>
      <c r="BQ503" t="s" s="0">
        <v>11317</v>
      </c>
      <c r="BR503" t="s" s="0">
        <v>11318</v>
      </c>
      <c r="BS503" t="s" s="0">
        <v>11319</v>
      </c>
      <c r="BT503" t="s" s="999">
        <f>HYPERLINK("https://www.webofscience.com/wos/woscc/full-record/WOS:001808437200001","View Record in Web of Science")</f>
        <v>114</v>
      </c>
      <c r="BU503" t="s" s="0">
        <v>301</v>
      </c>
      <c r="BV503" t="s" s="0">
        <v>81</v>
      </c>
      <c r="BW503" t="s" s="0">
        <v>81</v>
      </c>
      <c r="BX503" t="s" s="0">
        <v>116</v>
      </c>
    </row>
    <row r="504">
      <c r="A504" t="s" s="0">
        <v>77</v>
      </c>
      <c r="B504" t="s" s="0">
        <v>77</v>
      </c>
      <c r="C504" t="s" s="0">
        <v>77</v>
      </c>
      <c r="D504" t="s" s="0">
        <v>77</v>
      </c>
      <c r="E504" t="s" s="0">
        <v>11320</v>
      </c>
      <c r="F504" t="s" s="0">
        <v>11321</v>
      </c>
      <c r="G504" t="s" s="0">
        <v>11322</v>
      </c>
      <c r="H504" t="s" s="0">
        <v>81</v>
      </c>
      <c r="I504" t="s" s="0">
        <v>82</v>
      </c>
      <c r="J504" t="s" s="0">
        <v>11323</v>
      </c>
      <c r="K504" t="s" s="0">
        <v>11324</v>
      </c>
      <c r="L504" t="s" s="0">
        <v>11325</v>
      </c>
      <c r="M504" t="s" s="0">
        <v>11326</v>
      </c>
      <c r="N504" t="s" s="0">
        <v>11327</v>
      </c>
      <c r="O504" t="s" s="0">
        <v>11328</v>
      </c>
      <c r="P504" t="s" s="0">
        <v>11329</v>
      </c>
      <c r="Q504" t="s" s="0">
        <v>87</v>
      </c>
      <c r="R504" t="s" s="0">
        <v>81</v>
      </c>
      <c r="S504" t="s" s="0">
        <v>81</v>
      </c>
      <c r="T504" t="s" s="0">
        <v>81</v>
      </c>
      <c r="U504" t="s" s="0">
        <v>81</v>
      </c>
      <c r="V504" t="s" s="0">
        <v>11330</v>
      </c>
      <c r="W504" t="s" s="0">
        <v>11331</v>
      </c>
      <c r="X504" t="s" s="0">
        <v>81</v>
      </c>
      <c r="Y504" t="s" s="0">
        <v>81</v>
      </c>
      <c r="Z504" t="s" s="0">
        <v>90</v>
      </c>
      <c r="AA504" t="s" s="0">
        <v>91</v>
      </c>
      <c r="AB504" t="s" s="0">
        <v>81</v>
      </c>
      <c r="AC504" t="s" s="0">
        <v>81</v>
      </c>
      <c r="AD504" t="s" s="0">
        <v>81</v>
      </c>
      <c r="AE504" t="s" s="0">
        <v>81</v>
      </c>
      <c r="AF504" t="s" s="0">
        <v>81</v>
      </c>
      <c r="AG504" t="s" s="0">
        <v>11332</v>
      </c>
      <c r="AH504" t="s" s="0">
        <v>11333</v>
      </c>
      <c r="AI504" t="s" s="0">
        <v>11334</v>
      </c>
      <c r="AJ504" t="s" s="0">
        <v>81</v>
      </c>
      <c r="AK504" t="s" s="0">
        <v>81</v>
      </c>
      <c r="AL504" t="s" s="0">
        <v>399</v>
      </c>
      <c r="AM504" t="s" s="0">
        <v>77</v>
      </c>
      <c r="AN504" t="s" s="0">
        <v>77</v>
      </c>
      <c r="AO504" t="s" s="0">
        <v>196</v>
      </c>
      <c r="AP504" t="s" s="0">
        <v>196</v>
      </c>
      <c r="AQ504" t="s" s="0">
        <v>136</v>
      </c>
      <c r="AR504" t="s" s="0">
        <v>137</v>
      </c>
      <c r="AS504" t="s" s="0">
        <v>138</v>
      </c>
      <c r="AT504" t="s" s="0">
        <v>11335</v>
      </c>
      <c r="AU504" t="s" s="0">
        <v>11336</v>
      </c>
      <c r="AV504" t="s" s="0">
        <v>81</v>
      </c>
      <c r="AW504" t="s" s="0">
        <v>11337</v>
      </c>
      <c r="AX504" t="s" s="0">
        <v>11338</v>
      </c>
      <c r="AY504" t="s" s="0">
        <v>11339</v>
      </c>
      <c r="AZ504" t="s" s="0">
        <v>103</v>
      </c>
      <c r="BA504" t="s" s="0">
        <v>11340</v>
      </c>
      <c r="BB504" t="s" s="0">
        <v>81</v>
      </c>
      <c r="BC504" t="s" s="0">
        <v>81</v>
      </c>
      <c r="BD504" t="s" s="0">
        <v>81</v>
      </c>
      <c r="BE504" t="s" s="0">
        <v>81</v>
      </c>
      <c r="BF504" t="s" s="0">
        <v>81</v>
      </c>
      <c r="BG504" t="s" s="0">
        <v>81</v>
      </c>
      <c r="BH504" t="s" s="0">
        <v>81</v>
      </c>
      <c r="BI504" t="s" s="0">
        <v>11341</v>
      </c>
      <c r="BJ504" t="s" s="0">
        <v>11342</v>
      </c>
      <c r="BK504" t="s" s="1000">
        <f>HYPERLINK("http://dx.doi.org/10.1016/j.ijpharm.2026.127177","http://dx.doi.org/10.1016/j.ijpharm.2026.127177")</f>
        <v>11343</v>
      </c>
      <c r="BL504" t="s" s="0">
        <v>81</v>
      </c>
      <c r="BM504" t="s" s="0">
        <v>81</v>
      </c>
      <c r="BN504" t="s" s="0">
        <v>486</v>
      </c>
      <c r="BO504" t="s" s="0">
        <v>973</v>
      </c>
      <c r="BP504" t="s" s="0">
        <v>973</v>
      </c>
      <c r="BQ504" t="s" s="0">
        <v>11344</v>
      </c>
      <c r="BR504" t="s" s="0">
        <v>11345</v>
      </c>
      <c r="BS504" t="s" s="0">
        <v>11346</v>
      </c>
      <c r="BT504" t="s" s="1001">
        <f>HYPERLINK("https://www.webofscience.com/wos/woscc/full-record/WOS:001826563800001","View Record in Web of Science")</f>
        <v>114</v>
      </c>
      <c r="BU504" t="s" s="0">
        <v>11347</v>
      </c>
      <c r="BV504" t="s" s="0">
        <v>81</v>
      </c>
      <c r="BW504" t="s" s="0">
        <v>81</v>
      </c>
      <c r="BX504" t="s" s="0">
        <v>116</v>
      </c>
    </row>
    <row r="505">
      <c r="A505" t="s" s="0">
        <v>77</v>
      </c>
      <c r="B505" t="s" s="0">
        <v>77</v>
      </c>
      <c r="C505" t="s" s="0">
        <v>77</v>
      </c>
      <c r="D505" t="s" s="0">
        <v>77</v>
      </c>
      <c r="E505" t="s" s="0">
        <v>11348</v>
      </c>
      <c r="F505" t="s" s="0">
        <v>11349</v>
      </c>
      <c r="G505" t="s" s="0">
        <v>11350</v>
      </c>
      <c r="H505" t="s" s="0">
        <v>81</v>
      </c>
      <c r="I505" t="s" s="0">
        <v>238</v>
      </c>
      <c r="J505" t="s" s="0">
        <v>11351</v>
      </c>
      <c r="K505" t="s" s="0">
        <v>11352</v>
      </c>
      <c r="L505" t="s" s="0">
        <v>81</v>
      </c>
      <c r="M505" t="s" s="0">
        <v>81</v>
      </c>
      <c r="N505" t="s" s="0">
        <v>81</v>
      </c>
      <c r="O505" t="s" s="0">
        <v>11353</v>
      </c>
      <c r="P505" t="s" s="0">
        <v>81</v>
      </c>
      <c r="Q505" t="s" s="0">
        <v>87</v>
      </c>
      <c r="R505" t="s" s="0">
        <v>81</v>
      </c>
      <c r="S505" t="s" s="0">
        <v>81</v>
      </c>
      <c r="T505" t="s" s="0">
        <v>81</v>
      </c>
      <c r="U505" t="s" s="0">
        <v>81</v>
      </c>
      <c r="V505" t="s" s="0">
        <v>11354</v>
      </c>
      <c r="W505" t="s" s="0">
        <v>11355</v>
      </c>
      <c r="X505" t="s" s="0">
        <v>81</v>
      </c>
      <c r="Y505" t="s" s="0">
        <v>81</v>
      </c>
      <c r="Z505" t="s" s="0">
        <v>90</v>
      </c>
      <c r="AA505" t="s" s="0">
        <v>91</v>
      </c>
      <c r="AB505" t="s" s="0">
        <v>81</v>
      </c>
      <c r="AC505" t="s" s="0">
        <v>81</v>
      </c>
      <c r="AD505" t="s" s="0">
        <v>81</v>
      </c>
      <c r="AE505" t="s" s="0">
        <v>81</v>
      </c>
      <c r="AF505" t="s" s="0">
        <v>81</v>
      </c>
      <c r="AG505" t="s" s="0">
        <v>11356</v>
      </c>
      <c r="AH505" t="s" s="0">
        <v>81</v>
      </c>
      <c r="AI505" t="s" s="0">
        <v>11357</v>
      </c>
      <c r="AJ505" t="s" s="0">
        <v>81</v>
      </c>
      <c r="AK505" t="s" s="0">
        <v>81</v>
      </c>
      <c r="AL505" t="s" s="0">
        <v>671</v>
      </c>
      <c r="AM505" t="s" s="0">
        <v>97</v>
      </c>
      <c r="AN505" t="s" s="0">
        <v>97</v>
      </c>
      <c r="AO505" t="s" s="0">
        <v>156</v>
      </c>
      <c r="AP505" t="s" s="0">
        <v>156</v>
      </c>
      <c r="AQ505" t="s" s="0">
        <v>1809</v>
      </c>
      <c r="AR505" t="s" s="0">
        <v>1810</v>
      </c>
      <c r="AS505" t="s" s="0">
        <v>1811</v>
      </c>
      <c r="AT505" t="s" s="0">
        <v>11358</v>
      </c>
      <c r="AU505" t="s" s="0">
        <v>11359</v>
      </c>
      <c r="AV505" t="s" s="0">
        <v>81</v>
      </c>
      <c r="AW505" t="s" s="0">
        <v>11360</v>
      </c>
      <c r="AX505" t="s" s="0">
        <v>11361</v>
      </c>
      <c r="AY505" t="s" s="0">
        <v>11362</v>
      </c>
      <c r="AZ505" t="s" s="0">
        <v>290</v>
      </c>
      <c r="BA505" t="s" s="0">
        <v>156</v>
      </c>
      <c r="BB505" t="s" s="0">
        <v>156</v>
      </c>
      <c r="BC505" t="s" s="0">
        <v>81</v>
      </c>
      <c r="BD505" t="s" s="0">
        <v>81</v>
      </c>
      <c r="BE505" t="s" s="0">
        <v>81</v>
      </c>
      <c r="BF505" t="s" s="0">
        <v>81</v>
      </c>
      <c r="BG505" t="s" s="0">
        <v>366</v>
      </c>
      <c r="BH505" t="s" s="0">
        <v>1047</v>
      </c>
      <c r="BI505" t="s" s="0">
        <v>81</v>
      </c>
      <c r="BJ505" t="s" s="0">
        <v>11363</v>
      </c>
      <c r="BK505" t="s" s="1002">
        <f>HYPERLINK("http://dx.doi.org/10.1089/aipo.2024.0017","http://dx.doi.org/10.1089/aipo.2024.0017")</f>
        <v>11364</v>
      </c>
      <c r="BL505" t="s" s="0">
        <v>81</v>
      </c>
      <c r="BM505" t="s" s="0">
        <v>81</v>
      </c>
      <c r="BN505" t="s" s="0">
        <v>191</v>
      </c>
      <c r="BO505" t="s" s="0">
        <v>11365</v>
      </c>
      <c r="BP505" t="s" s="0">
        <v>11365</v>
      </c>
      <c r="BQ505" t="s" s="0">
        <v>11366</v>
      </c>
      <c r="BR505" t="s" s="0">
        <v>81</v>
      </c>
      <c r="BS505" t="s" s="0">
        <v>11367</v>
      </c>
      <c r="BT505" t="s" s="1003">
        <f>HYPERLINK("https://www.webofscience.com/wos/woscc/full-record/WOS:001763258900002","View Record in Web of Science")</f>
        <v>114</v>
      </c>
      <c r="BU505" t="s" s="0">
        <v>81</v>
      </c>
      <c r="BV505" t="s" s="0">
        <v>81</v>
      </c>
      <c r="BW505" t="s" s="0">
        <v>81</v>
      </c>
      <c r="BX505" t="s" s="0">
        <v>116</v>
      </c>
    </row>
    <row r="506">
      <c r="A506" t="s" s="0">
        <v>77</v>
      </c>
      <c r="B506" t="s" s="0">
        <v>77</v>
      </c>
      <c r="C506" t="s" s="0">
        <v>97</v>
      </c>
      <c r="D506" t="s" s="0">
        <v>77</v>
      </c>
      <c r="E506" t="s" s="0">
        <v>11368</v>
      </c>
      <c r="F506" t="s" s="0">
        <v>11369</v>
      </c>
      <c r="G506" t="s" s="0">
        <v>11370</v>
      </c>
      <c r="H506" t="s" s="0">
        <v>81</v>
      </c>
      <c r="I506" t="s" s="0">
        <v>238</v>
      </c>
      <c r="J506" t="s" s="0">
        <v>11371</v>
      </c>
      <c r="K506" t="s" s="0">
        <v>11372</v>
      </c>
      <c r="L506" t="s" s="0">
        <v>81</v>
      </c>
      <c r="M506" t="s" s="0">
        <v>81</v>
      </c>
      <c r="N506" t="s" s="0">
        <v>81</v>
      </c>
      <c r="O506" t="s" s="0">
        <v>11373</v>
      </c>
      <c r="P506" t="s" s="0">
        <v>11374</v>
      </c>
      <c r="Q506" t="s" s="0">
        <v>87</v>
      </c>
      <c r="R506" t="s" s="0">
        <v>81</v>
      </c>
      <c r="S506" t="s" s="0">
        <v>81</v>
      </c>
      <c r="T506" t="s" s="0">
        <v>81</v>
      </c>
      <c r="U506" t="s" s="0">
        <v>81</v>
      </c>
      <c r="V506" t="s" s="0">
        <v>11375</v>
      </c>
      <c r="W506" t="s" s="0">
        <v>11376</v>
      </c>
      <c r="X506" t="s" s="0">
        <v>81</v>
      </c>
      <c r="Y506" t="s" s="0">
        <v>81</v>
      </c>
      <c r="Z506" t="s" s="0">
        <v>90</v>
      </c>
      <c r="AA506" t="s" s="0">
        <v>91</v>
      </c>
      <c r="AB506" t="s" s="0">
        <v>81</v>
      </c>
      <c r="AC506" t="s" s="0">
        <v>81</v>
      </c>
      <c r="AD506" t="s" s="0">
        <v>81</v>
      </c>
      <c r="AE506" t="s" s="0">
        <v>81</v>
      </c>
      <c r="AF506" t="s" s="0">
        <v>81</v>
      </c>
      <c r="AG506" t="s" s="0">
        <v>11377</v>
      </c>
      <c r="AH506" t="s" s="0">
        <v>11378</v>
      </c>
      <c r="AI506" t="s" s="0">
        <v>11379</v>
      </c>
      <c r="AJ506" t="s" s="0">
        <v>11380</v>
      </c>
      <c r="AK506" t="s" s="0">
        <v>81</v>
      </c>
      <c r="AL506" t="s" s="0">
        <v>343</v>
      </c>
      <c r="AM506" t="s" s="0">
        <v>196</v>
      </c>
      <c r="AN506" t="s" s="0">
        <v>196</v>
      </c>
      <c r="AO506" t="s" s="0">
        <v>97</v>
      </c>
      <c r="AP506" t="s" s="0">
        <v>156</v>
      </c>
      <c r="AQ506" t="s" s="0">
        <v>665</v>
      </c>
      <c r="AR506" t="s" s="0">
        <v>546</v>
      </c>
      <c r="AS506" t="s" s="0">
        <v>666</v>
      </c>
      <c r="AT506" t="s" s="0">
        <v>81</v>
      </c>
      <c r="AU506" t="s" s="0">
        <v>11381</v>
      </c>
      <c r="AV506" t="s" s="0">
        <v>81</v>
      </c>
      <c r="AW506" t="s" s="0">
        <v>11382</v>
      </c>
      <c r="AX506" t="s" s="0">
        <v>11383</v>
      </c>
      <c r="AY506" t="s" s="0">
        <v>11384</v>
      </c>
      <c r="AZ506" t="s" s="0">
        <v>290</v>
      </c>
      <c r="BA506" t="s" s="0">
        <v>210</v>
      </c>
      <c r="BB506" t="s" s="0">
        <v>97</v>
      </c>
      <c r="BC506" t="s" s="0">
        <v>81</v>
      </c>
      <c r="BD506" t="s" s="0">
        <v>81</v>
      </c>
      <c r="BE506" t="s" s="0">
        <v>81</v>
      </c>
      <c r="BF506" t="s" s="0">
        <v>81</v>
      </c>
      <c r="BG506" t="s" s="0">
        <v>81</v>
      </c>
      <c r="BH506" t="s" s="0">
        <v>81</v>
      </c>
      <c r="BI506" t="s" s="0">
        <v>11385</v>
      </c>
      <c r="BJ506" t="s" s="0">
        <v>11386</v>
      </c>
      <c r="BK506" t="s" s="1004">
        <f>HYPERLINK("http://dx.doi.org/10.1186/s12982-025-00879-x","http://dx.doi.org/10.1186/s12982-025-00879-x")</f>
        <v>11387</v>
      </c>
      <c r="BL506" t="s" s="0">
        <v>81</v>
      </c>
      <c r="BM506" t="s" s="0">
        <v>81</v>
      </c>
      <c r="BN506" t="s" s="0">
        <v>135</v>
      </c>
      <c r="BO506" t="s" s="0">
        <v>850</v>
      </c>
      <c r="BP506" t="s" s="0">
        <v>850</v>
      </c>
      <c r="BQ506" t="s" s="0">
        <v>11388</v>
      </c>
      <c r="BR506" t="s" s="0">
        <v>81</v>
      </c>
      <c r="BS506" t="s" s="0">
        <v>11389</v>
      </c>
      <c r="BT506" t="s" s="1005">
        <f>HYPERLINK("https://www.webofscience.com/wos/woscc/full-record/WOS:001554601800005","View Record in Web of Science")</f>
        <v>114</v>
      </c>
      <c r="BU506" t="s" s="0">
        <v>301</v>
      </c>
      <c r="BV506" t="s" s="0">
        <v>81</v>
      </c>
      <c r="BW506" t="s" s="0">
        <v>81</v>
      </c>
      <c r="BX506" t="s" s="0">
        <v>116</v>
      </c>
    </row>
    <row r="507">
      <c r="A507" t="s" s="0">
        <v>77</v>
      </c>
      <c r="B507" t="s" s="0">
        <v>77</v>
      </c>
      <c r="C507" t="s" s="0">
        <v>77</v>
      </c>
      <c r="D507" t="s" s="0">
        <v>77</v>
      </c>
      <c r="E507" t="s" s="0">
        <v>11390</v>
      </c>
      <c r="F507" t="s" s="0">
        <v>11391</v>
      </c>
      <c r="G507" t="s" s="0">
        <v>11392</v>
      </c>
      <c r="H507" t="s" s="0">
        <v>81</v>
      </c>
      <c r="I507" t="s" s="0">
        <v>82</v>
      </c>
      <c r="J507" t="s" s="0">
        <v>11393</v>
      </c>
      <c r="K507" t="s" s="0">
        <v>11394</v>
      </c>
      <c r="L507" t="s" s="0">
        <v>6513</v>
      </c>
      <c r="M507" t="s" s="0">
        <v>6513</v>
      </c>
      <c r="N507" t="s" s="0">
        <v>11395</v>
      </c>
      <c r="O507" t="s" s="0">
        <v>11396</v>
      </c>
      <c r="P507" t="s" s="0">
        <v>11077</v>
      </c>
      <c r="Q507" t="s" s="0">
        <v>87</v>
      </c>
      <c r="R507" t="s" s="0">
        <v>81</v>
      </c>
      <c r="S507" t="s" s="0">
        <v>81</v>
      </c>
      <c r="T507" t="s" s="0">
        <v>81</v>
      </c>
      <c r="U507" t="s" s="0">
        <v>81</v>
      </c>
      <c r="V507" t="s" s="0">
        <v>11397</v>
      </c>
      <c r="W507" t="s" s="0">
        <v>89</v>
      </c>
      <c r="X507" t="s" s="0">
        <v>81</v>
      </c>
      <c r="Y507" t="s" s="0">
        <v>81</v>
      </c>
      <c r="Z507" t="s" s="0">
        <v>90</v>
      </c>
      <c r="AA507" t="s" s="0">
        <v>91</v>
      </c>
      <c r="AB507" t="s" s="0">
        <v>81</v>
      </c>
      <c r="AC507" t="s" s="0">
        <v>81</v>
      </c>
      <c r="AD507" t="s" s="0">
        <v>81</v>
      </c>
      <c r="AE507" t="s" s="0">
        <v>81</v>
      </c>
      <c r="AF507" t="s" s="0">
        <v>81</v>
      </c>
      <c r="AG507" t="s" s="0">
        <v>11398</v>
      </c>
      <c r="AH507" t="s" s="0">
        <v>81</v>
      </c>
      <c r="AI507" t="s" s="0">
        <v>11399</v>
      </c>
      <c r="AJ507" t="s" s="0">
        <v>11400</v>
      </c>
      <c r="AK507" t="s" s="0">
        <v>81</v>
      </c>
      <c r="AL507" t="s" s="0">
        <v>664</v>
      </c>
      <c r="AM507" t="s" s="0">
        <v>77</v>
      </c>
      <c r="AN507" t="s" s="0">
        <v>77</v>
      </c>
      <c r="AO507" t="s" s="0">
        <v>77</v>
      </c>
      <c r="AP507" t="s" s="0">
        <v>77</v>
      </c>
      <c r="AQ507" t="s" s="0">
        <v>98</v>
      </c>
      <c r="AR507" t="s" s="0">
        <v>99</v>
      </c>
      <c r="AS507" t="s" s="0">
        <v>100</v>
      </c>
      <c r="AT507" t="s" s="0">
        <v>101</v>
      </c>
      <c r="AU507" t="s" s="0">
        <v>81</v>
      </c>
      <c r="AV507" t="s" s="0">
        <v>81</v>
      </c>
      <c r="AW507" t="s" s="0">
        <v>89</v>
      </c>
      <c r="AX507" t="s" s="0">
        <v>102</v>
      </c>
      <c r="AY507" t="s" s="0">
        <v>103</v>
      </c>
      <c r="AZ507" t="s" s="0">
        <v>103</v>
      </c>
      <c r="BA507" t="s" s="0">
        <v>104</v>
      </c>
      <c r="BB507" t="s" s="0">
        <v>81</v>
      </c>
      <c r="BC507" t="s" s="0">
        <v>81</v>
      </c>
      <c r="BD507" t="s" s="0">
        <v>81</v>
      </c>
      <c r="BE507" t="s" s="0">
        <v>81</v>
      </c>
      <c r="BF507" t="s" s="0">
        <v>81</v>
      </c>
      <c r="BG507" t="s" s="0">
        <v>11401</v>
      </c>
      <c r="BH507" t="s" s="0">
        <v>11402</v>
      </c>
      <c r="BI507" t="s" s="0">
        <v>81</v>
      </c>
      <c r="BJ507" t="s" s="0">
        <v>11403</v>
      </c>
      <c r="BK507" t="s" s="1006">
        <f>HYPERLINK("http://dx.doi.org/10.1109/ACCESS.2026.3692694","http://dx.doi.org/10.1109/ACCESS.2026.3692694")</f>
        <v>11404</v>
      </c>
      <c r="BL507" t="s" s="0">
        <v>81</v>
      </c>
      <c r="BM507" t="s" s="0">
        <v>81</v>
      </c>
      <c r="BN507" t="s" s="0">
        <v>211</v>
      </c>
      <c r="BO507" t="s" s="0">
        <v>110</v>
      </c>
      <c r="BP507" t="s" s="0">
        <v>111</v>
      </c>
      <c r="BQ507" t="s" s="0">
        <v>11405</v>
      </c>
      <c r="BR507" t="s" s="0">
        <v>81</v>
      </c>
      <c r="BS507" t="s" s="0">
        <v>11406</v>
      </c>
      <c r="BT507" t="s" s="1007">
        <f>HYPERLINK("https://www.webofscience.com/wos/woscc/full-record/WOS:001771058600026","View Record in Web of Science")</f>
        <v>114</v>
      </c>
      <c r="BU507" t="s" s="0">
        <v>301</v>
      </c>
      <c r="BV507" t="s" s="0">
        <v>81</v>
      </c>
      <c r="BW507" t="s" s="0">
        <v>81</v>
      </c>
      <c r="BX507" t="s" s="0">
        <v>116</v>
      </c>
    </row>
    <row r="508">
      <c r="A508" t="s" s="0">
        <v>77</v>
      </c>
      <c r="B508" t="s" s="0">
        <v>77</v>
      </c>
      <c r="C508" t="s" s="0">
        <v>77</v>
      </c>
      <c r="D508" t="s" s="0">
        <v>77</v>
      </c>
      <c r="E508" t="s" s="0">
        <v>11407</v>
      </c>
      <c r="F508" t="s" s="0">
        <v>11408</v>
      </c>
      <c r="G508" t="s" s="0">
        <v>11409</v>
      </c>
      <c r="H508" t="s" s="0">
        <v>81</v>
      </c>
      <c r="I508" t="s" s="0">
        <v>82</v>
      </c>
      <c r="J508" t="s" s="0">
        <v>11410</v>
      </c>
      <c r="K508" t="s" s="0">
        <v>11411</v>
      </c>
      <c r="L508" t="s" s="0">
        <v>11412</v>
      </c>
      <c r="M508" t="s" s="0">
        <v>11413</v>
      </c>
      <c r="N508" t="s" s="0">
        <v>11414</v>
      </c>
      <c r="O508" t="s" s="0">
        <v>11415</v>
      </c>
      <c r="P508" t="s" s="0">
        <v>11416</v>
      </c>
      <c r="Q508" t="s" s="0">
        <v>87</v>
      </c>
      <c r="R508" t="s" s="0">
        <v>81</v>
      </c>
      <c r="S508" t="s" s="0">
        <v>81</v>
      </c>
      <c r="T508" t="s" s="0">
        <v>81</v>
      </c>
      <c r="U508" t="s" s="0">
        <v>81</v>
      </c>
      <c r="V508" t="s" s="0">
        <v>11417</v>
      </c>
      <c r="W508" t="s" s="0">
        <v>910</v>
      </c>
      <c r="X508" t="s" s="0">
        <v>81</v>
      </c>
      <c r="Y508" t="s" s="0">
        <v>81</v>
      </c>
      <c r="Z508" t="s" s="0">
        <v>90</v>
      </c>
      <c r="AA508" t="s" s="0">
        <v>91</v>
      </c>
      <c r="AB508" t="s" s="0">
        <v>81</v>
      </c>
      <c r="AC508" t="s" s="0">
        <v>81</v>
      </c>
      <c r="AD508" t="s" s="0">
        <v>81</v>
      </c>
      <c r="AE508" t="s" s="0">
        <v>81</v>
      </c>
      <c r="AF508" t="s" s="0">
        <v>81</v>
      </c>
      <c r="AG508" t="s" s="0">
        <v>11418</v>
      </c>
      <c r="AH508" t="s" s="0">
        <v>11419</v>
      </c>
      <c r="AI508" t="s" s="0">
        <v>11420</v>
      </c>
      <c r="AJ508" t="s" s="0">
        <v>81</v>
      </c>
      <c r="AK508" t="s" s="0">
        <v>81</v>
      </c>
      <c r="AL508" t="s" s="0">
        <v>1049</v>
      </c>
      <c r="AM508" t="s" s="0">
        <v>97</v>
      </c>
      <c r="AN508" t="s" s="0">
        <v>97</v>
      </c>
      <c r="AO508" t="s" s="0">
        <v>77</v>
      </c>
      <c r="AP508" t="s" s="0">
        <v>77</v>
      </c>
      <c r="AQ508" t="s" s="0">
        <v>915</v>
      </c>
      <c r="AR508" t="s" s="0">
        <v>916</v>
      </c>
      <c r="AS508" t="s" s="0">
        <v>917</v>
      </c>
      <c r="AT508" t="s" s="0">
        <v>918</v>
      </c>
      <c r="AU508" t="s" s="0">
        <v>81</v>
      </c>
      <c r="AV508" t="s" s="0">
        <v>81</v>
      </c>
      <c r="AW508" t="s" s="0">
        <v>919</v>
      </c>
      <c r="AX508" t="s" s="0">
        <v>920</v>
      </c>
      <c r="AY508" t="s" s="0">
        <v>8296</v>
      </c>
      <c r="AZ508" t="s" s="0">
        <v>103</v>
      </c>
      <c r="BA508" t="s" s="0">
        <v>925</v>
      </c>
      <c r="BB508" t="s" s="0">
        <v>97</v>
      </c>
      <c r="BC508" t="s" s="0">
        <v>81</v>
      </c>
      <c r="BD508" t="s" s="0">
        <v>81</v>
      </c>
      <c r="BE508" t="s" s="0">
        <v>81</v>
      </c>
      <c r="BF508" t="s" s="0">
        <v>81</v>
      </c>
      <c r="BG508" t="s" s="0">
        <v>81</v>
      </c>
      <c r="BH508" t="s" s="0">
        <v>81</v>
      </c>
      <c r="BI508" t="s" s="0">
        <v>11421</v>
      </c>
      <c r="BJ508" t="s" s="0">
        <v>11422</v>
      </c>
      <c r="BK508" t="s" s="1008">
        <f>HYPERLINK("http://dx.doi.org/10.1038/s41598-026-46243-0","http://dx.doi.org/10.1038/s41598-026-46243-0")</f>
        <v>11423</v>
      </c>
      <c r="BL508" t="s" s="0">
        <v>81</v>
      </c>
      <c r="BM508" t="s" s="0">
        <v>143</v>
      </c>
      <c r="BN508" t="s" s="0">
        <v>104</v>
      </c>
      <c r="BO508" t="s" s="0">
        <v>926</v>
      </c>
      <c r="BP508" t="s" s="0">
        <v>927</v>
      </c>
      <c r="BQ508" t="s" s="0">
        <v>11424</v>
      </c>
      <c r="BR508" t="s" s="0">
        <v>11425</v>
      </c>
      <c r="BS508" t="s" s="0">
        <v>11426</v>
      </c>
      <c r="BT508" t="s" s="1009">
        <f>HYPERLINK("https://www.webofscience.com/wos/woscc/full-record/WOS:001771100400008","View Record in Web of Science")</f>
        <v>114</v>
      </c>
      <c r="BU508" t="s" s="0">
        <v>301</v>
      </c>
      <c r="BV508" t="s" s="0">
        <v>81</v>
      </c>
      <c r="BW508" t="s" s="0">
        <v>81</v>
      </c>
      <c r="BX508" t="s" s="0">
        <v>116</v>
      </c>
    </row>
    <row r="509">
      <c r="A509" t="s" s="0">
        <v>97</v>
      </c>
      <c r="B509" t="s" s="0">
        <v>77</v>
      </c>
      <c r="C509" t="s" s="0">
        <v>133</v>
      </c>
      <c r="D509" t="s" s="0">
        <v>77</v>
      </c>
      <c r="E509" t="s" s="0">
        <v>11427</v>
      </c>
      <c r="F509" t="s" s="0">
        <v>11428</v>
      </c>
      <c r="G509" t="s" s="0">
        <v>11429</v>
      </c>
      <c r="H509" t="s" s="0">
        <v>81</v>
      </c>
      <c r="I509" t="s" s="0">
        <v>528</v>
      </c>
      <c r="J509" t="s" s="0">
        <v>11430</v>
      </c>
      <c r="K509" t="s" s="0">
        <v>11431</v>
      </c>
      <c r="L509" t="s" s="0">
        <v>81</v>
      </c>
      <c r="M509" t="s" s="0">
        <v>81</v>
      </c>
      <c r="N509" t="s" s="0">
        <v>81</v>
      </c>
      <c r="O509" t="s" s="0">
        <v>11432</v>
      </c>
      <c r="P509" t="s" s="0">
        <v>11433</v>
      </c>
      <c r="Q509" t="s" s="0">
        <v>87</v>
      </c>
      <c r="R509" t="s" s="0">
        <v>81</v>
      </c>
      <c r="S509" t="s" s="0">
        <v>81</v>
      </c>
      <c r="T509" t="s" s="0">
        <v>81</v>
      </c>
      <c r="U509" t="s" s="0">
        <v>81</v>
      </c>
      <c r="V509" t="s" s="0">
        <v>11434</v>
      </c>
      <c r="W509" t="s" s="0">
        <v>8380</v>
      </c>
      <c r="X509" t="s" s="0">
        <v>81</v>
      </c>
      <c r="Y509" t="s" s="0">
        <v>81</v>
      </c>
      <c r="Z509" t="s" s="0">
        <v>90</v>
      </c>
      <c r="AA509" t="s" s="0">
        <v>91</v>
      </c>
      <c r="AB509" t="s" s="0">
        <v>81</v>
      </c>
      <c r="AC509" t="s" s="0">
        <v>81</v>
      </c>
      <c r="AD509" t="s" s="0">
        <v>81</v>
      </c>
      <c r="AE509" t="s" s="0">
        <v>81</v>
      </c>
      <c r="AF509" t="s" s="0">
        <v>81</v>
      </c>
      <c r="AG509" t="s" s="0">
        <v>11435</v>
      </c>
      <c r="AH509" t="s" s="0">
        <v>81</v>
      </c>
      <c r="AI509" t="s" s="0">
        <v>11436</v>
      </c>
      <c r="AJ509" t="s" s="0">
        <v>11437</v>
      </c>
      <c r="AK509" t="s" s="0">
        <v>81</v>
      </c>
      <c r="AL509" t="s" s="0">
        <v>210</v>
      </c>
      <c r="AM509" t="s" s="0">
        <v>344</v>
      </c>
      <c r="AN509" t="s" s="0">
        <v>664</v>
      </c>
      <c r="AO509" t="s" s="0">
        <v>191</v>
      </c>
      <c r="AP509" t="s" s="0">
        <v>11438</v>
      </c>
      <c r="AQ509" t="s" s="0">
        <v>1654</v>
      </c>
      <c r="AR509" t="s" s="0">
        <v>1345</v>
      </c>
      <c r="AS509" t="s" s="0">
        <v>1655</v>
      </c>
      <c r="AT509" t="s" s="0">
        <v>8385</v>
      </c>
      <c r="AU509" t="s" s="0">
        <v>8386</v>
      </c>
      <c r="AV509" t="s" s="0">
        <v>81</v>
      </c>
      <c r="AW509" t="s" s="0">
        <v>8387</v>
      </c>
      <c r="AX509" t="s" s="0">
        <v>8388</v>
      </c>
      <c r="AY509" t="s" s="0">
        <v>11439</v>
      </c>
      <c r="AZ509" t="s" s="0">
        <v>260</v>
      </c>
      <c r="BA509" t="s" s="0">
        <v>252</v>
      </c>
      <c r="BB509" t="s" s="0">
        <v>211</v>
      </c>
      <c r="BC509" t="s" s="0">
        <v>81</v>
      </c>
      <c r="BD509" t="s" s="0">
        <v>81</v>
      </c>
      <c r="BE509" t="s" s="0">
        <v>81</v>
      </c>
      <c r="BF509" t="s" s="0">
        <v>81</v>
      </c>
      <c r="BG509" t="s" s="0">
        <v>11440</v>
      </c>
      <c r="BH509" t="s" s="0">
        <v>11441</v>
      </c>
      <c r="BI509" t="s" s="0">
        <v>81</v>
      </c>
      <c r="BJ509" t="s" s="0">
        <v>11442</v>
      </c>
      <c r="BK509" t="s" s="1010">
        <f>HYPERLINK("http://dx.doi.org/10.1093/jamia/ocad118","http://dx.doi.org/10.1093/jamia/ocad118")</f>
        <v>11443</v>
      </c>
      <c r="BL509" t="s" s="0">
        <v>81</v>
      </c>
      <c r="BM509" t="s" s="0">
        <v>2077</v>
      </c>
      <c r="BN509" t="s" s="0">
        <v>261</v>
      </c>
      <c r="BO509" t="s" s="0">
        <v>8391</v>
      </c>
      <c r="BP509" t="s" s="0">
        <v>8392</v>
      </c>
      <c r="BQ509" t="s" s="0">
        <v>11444</v>
      </c>
      <c r="BR509" t="s" s="0">
        <v>11445</v>
      </c>
      <c r="BS509" t="s" s="0">
        <v>11446</v>
      </c>
      <c r="BT509" t="s" s="1011">
        <f>HYPERLINK("https://www.webofscience.com/wos/woscc/full-record/WOS:001044689600001","View Record in Web of Science")</f>
        <v>114</v>
      </c>
      <c r="BU509" t="s" s="0">
        <v>233</v>
      </c>
      <c r="BV509" t="s" s="0">
        <v>81</v>
      </c>
      <c r="BW509" t="s" s="0">
        <v>81</v>
      </c>
      <c r="BX509" t="s" s="0">
        <v>116</v>
      </c>
    </row>
    <row r="510">
      <c r="A510" t="s" s="0">
        <v>77</v>
      </c>
      <c r="B510" t="s" s="0">
        <v>77</v>
      </c>
      <c r="C510" t="s" s="0">
        <v>77</v>
      </c>
      <c r="D510" t="s" s="0">
        <v>77</v>
      </c>
      <c r="E510" t="s" s="0">
        <v>11447</v>
      </c>
      <c r="F510" t="s" s="0">
        <v>11448</v>
      </c>
      <c r="G510" t="s" s="0">
        <v>11449</v>
      </c>
      <c r="H510" t="s" s="0">
        <v>81</v>
      </c>
      <c r="I510" t="s" s="0">
        <v>238</v>
      </c>
      <c r="J510" t="s" s="0">
        <v>11450</v>
      </c>
      <c r="K510" t="s" s="0">
        <v>11451</v>
      </c>
      <c r="L510" t="s" s="0">
        <v>11452</v>
      </c>
      <c r="M510" t="s" s="0">
        <v>11452</v>
      </c>
      <c r="N510" t="s" s="0">
        <v>11453</v>
      </c>
      <c r="O510" t="s" s="0">
        <v>11454</v>
      </c>
      <c r="P510" t="s" s="0">
        <v>11455</v>
      </c>
      <c r="Q510" t="s" s="0">
        <v>87</v>
      </c>
      <c r="R510" t="s" s="0">
        <v>81</v>
      </c>
      <c r="S510" t="s" s="0">
        <v>81</v>
      </c>
      <c r="T510" t="s" s="0">
        <v>81</v>
      </c>
      <c r="U510" t="s" s="0">
        <v>81</v>
      </c>
      <c r="V510" t="s" s="0">
        <v>11456</v>
      </c>
      <c r="W510" t="s" s="0">
        <v>11457</v>
      </c>
      <c r="X510" t="s" s="0">
        <v>81</v>
      </c>
      <c r="Y510" t="s" s="0">
        <v>81</v>
      </c>
      <c r="Z510" t="s" s="0">
        <v>90</v>
      </c>
      <c r="AA510" t="s" s="0">
        <v>91</v>
      </c>
      <c r="AB510" t="s" s="0">
        <v>81</v>
      </c>
      <c r="AC510" t="s" s="0">
        <v>81</v>
      </c>
      <c r="AD510" t="s" s="0">
        <v>81</v>
      </c>
      <c r="AE510" t="s" s="0">
        <v>81</v>
      </c>
      <c r="AF510" t="s" s="0">
        <v>81</v>
      </c>
      <c r="AG510" t="s" s="0">
        <v>11458</v>
      </c>
      <c r="AH510" t="s" s="0">
        <v>81</v>
      </c>
      <c r="AI510" t="s" s="0">
        <v>11459</v>
      </c>
      <c r="AJ510" t="s" s="0">
        <v>11460</v>
      </c>
      <c r="AK510" t="s" s="0">
        <v>81</v>
      </c>
      <c r="AL510" t="s" s="0">
        <v>1635</v>
      </c>
      <c r="AM510" t="s" s="0">
        <v>77</v>
      </c>
      <c r="AN510" t="s" s="0">
        <v>97</v>
      </c>
      <c r="AO510" t="s" s="0">
        <v>97</v>
      </c>
      <c r="AP510" t="s" s="0">
        <v>97</v>
      </c>
      <c r="AQ510" t="s" s="0">
        <v>212</v>
      </c>
      <c r="AR510" t="s" s="0">
        <v>429</v>
      </c>
      <c r="AS510" t="s" s="0">
        <v>784</v>
      </c>
      <c r="AT510" t="s" s="0">
        <v>81</v>
      </c>
      <c r="AU510" t="s" s="0">
        <v>11461</v>
      </c>
      <c r="AV510" t="s" s="0">
        <v>81</v>
      </c>
      <c r="AW510" t="s" s="0">
        <v>11462</v>
      </c>
      <c r="AX510" t="s" s="0">
        <v>11463</v>
      </c>
      <c r="AY510" t="s" s="0">
        <v>6378</v>
      </c>
      <c r="AZ510" t="s" s="0">
        <v>290</v>
      </c>
      <c r="BA510" t="s" s="0">
        <v>381</v>
      </c>
      <c r="BB510" t="s" s="0">
        <v>97</v>
      </c>
      <c r="BC510" t="s" s="0">
        <v>81</v>
      </c>
      <c r="BD510" t="s" s="0">
        <v>81</v>
      </c>
      <c r="BE510" t="s" s="0">
        <v>81</v>
      </c>
      <c r="BF510" t="s" s="0">
        <v>81</v>
      </c>
      <c r="BG510" t="s" s="0">
        <v>81</v>
      </c>
      <c r="BH510" t="s" s="0">
        <v>81</v>
      </c>
      <c r="BI510" t="s" s="0">
        <v>485</v>
      </c>
      <c r="BJ510" t="s" s="0">
        <v>11464</v>
      </c>
      <c r="BK510" t="s" s="1012">
        <f>HYPERLINK("http://dx.doi.org/10.1007/s42452-025-08108-5","http://dx.doi.org/10.1007/s42452-025-08108-5")</f>
        <v>11465</v>
      </c>
      <c r="BL510" t="s" s="0">
        <v>81</v>
      </c>
      <c r="BM510" t="s" s="0">
        <v>81</v>
      </c>
      <c r="BN510" t="s" s="0">
        <v>874</v>
      </c>
      <c r="BO510" t="s" s="0">
        <v>926</v>
      </c>
      <c r="BP510" t="s" s="0">
        <v>927</v>
      </c>
      <c r="BQ510" t="s" s="0">
        <v>11466</v>
      </c>
      <c r="BR510" t="s" s="0">
        <v>81</v>
      </c>
      <c r="BS510" t="s" s="0">
        <v>11467</v>
      </c>
      <c r="BT510" t="s" s="1013">
        <f>HYPERLINK("https://www.webofscience.com/wos/woscc/full-record/WOS:001651004000001","View Record in Web of Science")</f>
        <v>114</v>
      </c>
      <c r="BU510" t="s" s="0">
        <v>301</v>
      </c>
      <c r="BV510" t="s" s="0">
        <v>81</v>
      </c>
      <c r="BW510" t="s" s="0">
        <v>81</v>
      </c>
      <c r="BX510" t="s" s="0">
        <v>116</v>
      </c>
    </row>
    <row r="511">
      <c r="A511" t="s" s="0">
        <v>77</v>
      </c>
      <c r="B511" t="s" s="0">
        <v>77</v>
      </c>
      <c r="C511" t="s" s="0">
        <v>156</v>
      </c>
      <c r="D511" t="s" s="0">
        <v>77</v>
      </c>
      <c r="E511" t="s" s="0">
        <v>11468</v>
      </c>
      <c r="F511" t="s" s="0">
        <v>11469</v>
      </c>
      <c r="G511" t="s" s="0">
        <v>11470</v>
      </c>
      <c r="H511" t="s" s="0">
        <v>81</v>
      </c>
      <c r="I511" t="s" s="0">
        <v>82</v>
      </c>
      <c r="J511" t="s" s="0">
        <v>11471</v>
      </c>
      <c r="K511" t="s" s="0">
        <v>11472</v>
      </c>
      <c r="L511" t="s" s="0">
        <v>81</v>
      </c>
      <c r="M511" t="s" s="0">
        <v>81</v>
      </c>
      <c r="N511" t="s" s="0">
        <v>81</v>
      </c>
      <c r="O511" t="s" s="0">
        <v>11473</v>
      </c>
      <c r="P511" t="s" s="0">
        <v>11474</v>
      </c>
      <c r="Q511" t="s" s="0">
        <v>87</v>
      </c>
      <c r="R511" t="s" s="0">
        <v>81</v>
      </c>
      <c r="S511" t="s" s="0">
        <v>81</v>
      </c>
      <c r="T511" t="s" s="0">
        <v>81</v>
      </c>
      <c r="U511" t="s" s="0">
        <v>81</v>
      </c>
      <c r="V511" t="s" s="0">
        <v>11475</v>
      </c>
      <c r="W511" t="s" s="0">
        <v>11476</v>
      </c>
      <c r="X511" t="s" s="0">
        <v>81</v>
      </c>
      <c r="Y511" t="s" s="0">
        <v>81</v>
      </c>
      <c r="Z511" t="s" s="0">
        <v>90</v>
      </c>
      <c r="AA511" t="s" s="0">
        <v>91</v>
      </c>
      <c r="AB511" t="s" s="0">
        <v>81</v>
      </c>
      <c r="AC511" t="s" s="0">
        <v>81</v>
      </c>
      <c r="AD511" t="s" s="0">
        <v>81</v>
      </c>
      <c r="AE511" t="s" s="0">
        <v>81</v>
      </c>
      <c r="AF511" t="s" s="0">
        <v>81</v>
      </c>
      <c r="AG511" t="s" s="0">
        <v>11477</v>
      </c>
      <c r="AH511" t="s" s="0">
        <v>11478</v>
      </c>
      <c r="AI511" t="s" s="0">
        <v>11479</v>
      </c>
      <c r="AJ511" t="s" s="0">
        <v>81</v>
      </c>
      <c r="AK511" t="s" s="0">
        <v>81</v>
      </c>
      <c r="AL511" t="s" s="0">
        <v>1184</v>
      </c>
      <c r="AM511" t="s" s="0">
        <v>316</v>
      </c>
      <c r="AN511" t="s" s="0">
        <v>234</v>
      </c>
      <c r="AO511" t="s" s="0">
        <v>156</v>
      </c>
      <c r="AP511" t="s" s="0">
        <v>486</v>
      </c>
      <c r="AQ511" t="s" s="0">
        <v>212</v>
      </c>
      <c r="AR511" t="s" s="0">
        <v>213</v>
      </c>
      <c r="AS511" t="s" s="0">
        <v>214</v>
      </c>
      <c r="AT511" t="s" s="0">
        <v>11480</v>
      </c>
      <c r="AU511" t="s" s="0">
        <v>11481</v>
      </c>
      <c r="AV511" t="s" s="0">
        <v>81</v>
      </c>
      <c r="AW511" t="s" s="0">
        <v>11482</v>
      </c>
      <c r="AX511" t="s" s="0">
        <v>11483</v>
      </c>
      <c r="AY511" t="s" s="0">
        <v>11484</v>
      </c>
      <c r="AZ511" t="s" s="0">
        <v>290</v>
      </c>
      <c r="BA511" t="s" s="0">
        <v>485</v>
      </c>
      <c r="BB511" t="s" s="0">
        <v>97</v>
      </c>
      <c r="BC511" t="s" s="0">
        <v>81</v>
      </c>
      <c r="BD511" t="s" s="0">
        <v>81</v>
      </c>
      <c r="BE511" t="s" s="0">
        <v>81</v>
      </c>
      <c r="BF511" t="s" s="0">
        <v>81</v>
      </c>
      <c r="BG511" t="s" s="0">
        <v>81</v>
      </c>
      <c r="BH511" t="s" s="0">
        <v>81</v>
      </c>
      <c r="BI511" t="s" s="0">
        <v>782</v>
      </c>
      <c r="BJ511" t="s" s="0">
        <v>11485</v>
      </c>
      <c r="BK511" t="s" s="1014">
        <f>HYPERLINK("http://dx.doi.org/10.1007/s11571-025-10269-3","http://dx.doi.org/10.1007/s11571-025-10269-3")</f>
        <v>11486</v>
      </c>
      <c r="BL511" t="s" s="0">
        <v>81</v>
      </c>
      <c r="BM511" t="s" s="0">
        <v>81</v>
      </c>
      <c r="BN511" t="s" s="0">
        <v>434</v>
      </c>
      <c r="BO511" t="s" s="0">
        <v>11487</v>
      </c>
      <c r="BP511" t="s" s="0">
        <v>2504</v>
      </c>
      <c r="BQ511" t="s" s="0">
        <v>11488</v>
      </c>
      <c r="BR511" t="s" s="0">
        <v>11489</v>
      </c>
      <c r="BS511" t="s" s="0">
        <v>11490</v>
      </c>
      <c r="BT511" t="s" s="1015">
        <f>HYPERLINK("https://www.webofscience.com/wos/woscc/full-record/WOS:001502781100001","View Record in Web of Science")</f>
        <v>114</v>
      </c>
      <c r="BU511" t="s" s="0">
        <v>11347</v>
      </c>
      <c r="BV511" t="s" s="0">
        <v>81</v>
      </c>
      <c r="BW511" t="s" s="0">
        <v>81</v>
      </c>
      <c r="BX511" t="s" s="0">
        <v>116</v>
      </c>
    </row>
    <row r="512">
      <c r="A512" t="s" s="0">
        <v>77</v>
      </c>
      <c r="B512" t="s" s="0">
        <v>77</v>
      </c>
      <c r="C512" t="s" s="0">
        <v>77</v>
      </c>
      <c r="D512" t="s" s="0">
        <v>77</v>
      </c>
      <c r="E512" t="s" s="0">
        <v>11491</v>
      </c>
      <c r="F512" t="s" s="0">
        <v>11492</v>
      </c>
      <c r="G512" t="s" s="0">
        <v>11493</v>
      </c>
      <c r="H512" t="s" s="0">
        <v>81</v>
      </c>
      <c r="I512" t="s" s="0">
        <v>238</v>
      </c>
      <c r="J512" t="s" s="0">
        <v>11494</v>
      </c>
      <c r="K512" t="s" s="0">
        <v>11495</v>
      </c>
      <c r="L512" t="s" s="0">
        <v>81</v>
      </c>
      <c r="M512" t="s" s="0">
        <v>81</v>
      </c>
      <c r="N512" t="s" s="0">
        <v>81</v>
      </c>
      <c r="O512" t="s" s="0">
        <v>11496</v>
      </c>
      <c r="P512" t="s" s="0">
        <v>11497</v>
      </c>
      <c r="Q512" t="s" s="0">
        <v>87</v>
      </c>
      <c r="R512" t="s" s="0">
        <v>81</v>
      </c>
      <c r="S512" t="s" s="0">
        <v>81</v>
      </c>
      <c r="T512" t="s" s="0">
        <v>81</v>
      </c>
      <c r="U512" t="s" s="0">
        <v>81</v>
      </c>
      <c r="V512" t="s" s="0">
        <v>11498</v>
      </c>
      <c r="W512" t="s" s="0">
        <v>11499</v>
      </c>
      <c r="X512" t="s" s="0">
        <v>81</v>
      </c>
      <c r="Y512" t="s" s="0">
        <v>81</v>
      </c>
      <c r="Z512" t="s" s="0">
        <v>90</v>
      </c>
      <c r="AA512" t="s" s="0">
        <v>91</v>
      </c>
      <c r="AB512" t="s" s="0">
        <v>81</v>
      </c>
      <c r="AC512" t="s" s="0">
        <v>81</v>
      </c>
      <c r="AD512" t="s" s="0">
        <v>81</v>
      </c>
      <c r="AE512" t="s" s="0">
        <v>81</v>
      </c>
      <c r="AF512" t="s" s="0">
        <v>81</v>
      </c>
      <c r="AG512" t="s" s="0">
        <v>11500</v>
      </c>
      <c r="AH512" t="s" s="0">
        <v>81</v>
      </c>
      <c r="AI512" t="s" s="0">
        <v>81</v>
      </c>
      <c r="AJ512" t="s" s="0">
        <v>81</v>
      </c>
      <c r="AK512" t="s" s="0">
        <v>81</v>
      </c>
      <c r="AL512" t="s" s="0">
        <v>1912</v>
      </c>
      <c r="AM512" t="s" s="0">
        <v>77</v>
      </c>
      <c r="AN512" t="s" s="0">
        <v>77</v>
      </c>
      <c r="AO512" t="s" s="0">
        <v>156</v>
      </c>
      <c r="AP512" t="s" s="0">
        <v>156</v>
      </c>
      <c r="AQ512" t="s" s="0">
        <v>3016</v>
      </c>
      <c r="AR512" t="s" s="0">
        <v>546</v>
      </c>
      <c r="AS512" t="s" s="0">
        <v>11501</v>
      </c>
      <c r="AT512" t="s" s="0">
        <v>11502</v>
      </c>
      <c r="AU512" t="s" s="0">
        <v>11503</v>
      </c>
      <c r="AV512" t="s" s="0">
        <v>81</v>
      </c>
      <c r="AW512" t="s" s="0">
        <v>11504</v>
      </c>
      <c r="AX512" t="s" s="0">
        <v>11505</v>
      </c>
      <c r="AY512" t="s" s="0">
        <v>849</v>
      </c>
      <c r="AZ512" t="s" s="0">
        <v>103</v>
      </c>
      <c r="BA512" t="s" s="0">
        <v>324</v>
      </c>
      <c r="BB512" t="s" s="0">
        <v>156</v>
      </c>
      <c r="BC512" t="s" s="0">
        <v>81</v>
      </c>
      <c r="BD512" t="s" s="0">
        <v>81</v>
      </c>
      <c r="BE512" t="s" s="0">
        <v>81</v>
      </c>
      <c r="BF512" t="s" s="0">
        <v>81</v>
      </c>
      <c r="BG512" t="s" s="0">
        <v>11506</v>
      </c>
      <c r="BH512" t="s" s="0">
        <v>11507</v>
      </c>
      <c r="BI512" t="s" s="0">
        <v>81</v>
      </c>
      <c r="BJ512" t="s" s="0">
        <v>11508</v>
      </c>
      <c r="BK512" t="s" s="1016">
        <f>HYPERLINK("http://dx.doi.org/10.3103/S1060992X25602817","http://dx.doi.org/10.3103/S1060992X25602817")</f>
        <v>11509</v>
      </c>
      <c r="BL512" t="s" s="0">
        <v>81</v>
      </c>
      <c r="BM512" t="s" s="0">
        <v>81</v>
      </c>
      <c r="BN512" t="s" s="0">
        <v>434</v>
      </c>
      <c r="BO512" t="s" s="0">
        <v>11510</v>
      </c>
      <c r="BP512" t="s" s="0">
        <v>11510</v>
      </c>
      <c r="BQ512" t="s" s="0">
        <v>11511</v>
      </c>
      <c r="BR512" t="s" s="0">
        <v>81</v>
      </c>
      <c r="BS512" t="s" s="0">
        <v>11512</v>
      </c>
      <c r="BT512" t="s" s="1017">
        <f>HYPERLINK("https://www.webofscience.com/wos/woscc/full-record/WOS:001805739600010","View Record in Web of Science")</f>
        <v>114</v>
      </c>
      <c r="BU512" t="s" s="0">
        <v>81</v>
      </c>
      <c r="BV512" t="s" s="0">
        <v>81</v>
      </c>
      <c r="BW512" t="s" s="0">
        <v>81</v>
      </c>
      <c r="BX512" t="s" s="0">
        <v>116</v>
      </c>
    </row>
    <row r="513">
      <c r="A513" t="s" s="0">
        <v>77</v>
      </c>
      <c r="B513" t="s" s="0">
        <v>77</v>
      </c>
      <c r="C513" t="s" s="0">
        <v>77</v>
      </c>
      <c r="D513" t="s" s="0">
        <v>77</v>
      </c>
      <c r="E513" t="s" s="0">
        <v>11513</v>
      </c>
      <c r="F513" t="s" s="0">
        <v>11514</v>
      </c>
      <c r="G513" t="s" s="0">
        <v>11515</v>
      </c>
      <c r="H513" t="s" s="0">
        <v>81</v>
      </c>
      <c r="I513" t="s" s="0">
        <v>82</v>
      </c>
      <c r="J513" t="s" s="0">
        <v>11516</v>
      </c>
      <c r="K513" t="s" s="0">
        <v>11517</v>
      </c>
      <c r="L513" t="s" s="0">
        <v>81</v>
      </c>
      <c r="M513" t="s" s="0">
        <v>81</v>
      </c>
      <c r="N513" t="s" s="0">
        <v>81</v>
      </c>
      <c r="O513" t="s" s="0">
        <v>11518</v>
      </c>
      <c r="P513" t="s" s="0">
        <v>11519</v>
      </c>
      <c r="Q513" t="s" s="0">
        <v>87</v>
      </c>
      <c r="R513" t="s" s="0">
        <v>81</v>
      </c>
      <c r="S513" t="s" s="0">
        <v>81</v>
      </c>
      <c r="T513" t="s" s="0">
        <v>81</v>
      </c>
      <c r="U513" t="s" s="0">
        <v>81</v>
      </c>
      <c r="V513" t="s" s="0">
        <v>11520</v>
      </c>
      <c r="W513" t="s" s="0">
        <v>10412</v>
      </c>
      <c r="X513" t="s" s="0">
        <v>81</v>
      </c>
      <c r="Y513" t="s" s="0">
        <v>81</v>
      </c>
      <c r="Z513" t="s" s="0">
        <v>90</v>
      </c>
      <c r="AA513" t="s" s="0">
        <v>91</v>
      </c>
      <c r="AB513" t="s" s="0">
        <v>81</v>
      </c>
      <c r="AC513" t="s" s="0">
        <v>81</v>
      </c>
      <c r="AD513" t="s" s="0">
        <v>81</v>
      </c>
      <c r="AE513" t="s" s="0">
        <v>81</v>
      </c>
      <c r="AF513" t="s" s="0">
        <v>81</v>
      </c>
      <c r="AG513" t="s" s="0">
        <v>11521</v>
      </c>
      <c r="AH513" t="s" s="0">
        <v>11522</v>
      </c>
      <c r="AI513" t="s" s="0">
        <v>11523</v>
      </c>
      <c r="AJ513" t="s" s="0">
        <v>81</v>
      </c>
      <c r="AK513" t="s" s="0">
        <v>81</v>
      </c>
      <c r="AL513" t="s" s="0">
        <v>11524</v>
      </c>
      <c r="AM513" t="s" s="0">
        <v>77</v>
      </c>
      <c r="AN513" t="s" s="0">
        <v>77</v>
      </c>
      <c r="AO513" t="s" s="0">
        <v>77</v>
      </c>
      <c r="AP513" t="s" s="0">
        <v>77</v>
      </c>
      <c r="AQ513" t="s" s="0">
        <v>368</v>
      </c>
      <c r="AR513" t="s" s="0">
        <v>369</v>
      </c>
      <c r="AS513" t="s" s="0">
        <v>370</v>
      </c>
      <c r="AT513" t="s" s="0">
        <v>10416</v>
      </c>
      <c r="AU513" t="s" s="0">
        <v>81</v>
      </c>
      <c r="AV513" t="s" s="0">
        <v>81</v>
      </c>
      <c r="AW513" t="s" s="0">
        <v>10417</v>
      </c>
      <c r="AX513" t="s" s="0">
        <v>10418</v>
      </c>
      <c r="AY513" t="s" s="0">
        <v>1157</v>
      </c>
      <c r="AZ513" t="s" s="0">
        <v>103</v>
      </c>
      <c r="BA513" t="s" s="0">
        <v>925</v>
      </c>
      <c r="BB513" t="s" s="0">
        <v>81</v>
      </c>
      <c r="BC513" t="s" s="0">
        <v>81</v>
      </c>
      <c r="BD513" t="s" s="0">
        <v>81</v>
      </c>
      <c r="BE513" t="s" s="0">
        <v>81</v>
      </c>
      <c r="BF513" t="s" s="0">
        <v>81</v>
      </c>
      <c r="BG513" t="s" s="0">
        <v>81</v>
      </c>
      <c r="BH513" t="s" s="0">
        <v>81</v>
      </c>
      <c r="BI513" t="s" s="0">
        <v>11525</v>
      </c>
      <c r="BJ513" t="s" s="0">
        <v>11526</v>
      </c>
      <c r="BK513" t="s" s="1018">
        <f>HYPERLINK("http://dx.doi.org/10.3389/fonc.2026.1787210","http://dx.doi.org/10.3389/fonc.2026.1787210")</f>
        <v>11527</v>
      </c>
      <c r="BL513" t="s" s="0">
        <v>81</v>
      </c>
      <c r="BM513" t="s" s="0">
        <v>948</v>
      </c>
      <c r="BN513" t="s" s="0">
        <v>210</v>
      </c>
      <c r="BO513" t="s" s="0">
        <v>1380</v>
      </c>
      <c r="BP513" t="s" s="0">
        <v>1380</v>
      </c>
      <c r="BQ513" t="s" s="0">
        <v>11528</v>
      </c>
      <c r="BR513" t="s" s="0">
        <v>11529</v>
      </c>
      <c r="BS513" t="s" s="0">
        <v>11530</v>
      </c>
      <c r="BT513" t="s" s="1019">
        <f>HYPERLINK("https://www.webofscience.com/wos/woscc/full-record/WOS:001748953800001","View Record in Web of Science")</f>
        <v>114</v>
      </c>
      <c r="BU513" t="s" s="0">
        <v>301</v>
      </c>
      <c r="BV513" t="s" s="0">
        <v>81</v>
      </c>
      <c r="BW513" t="s" s="0">
        <v>81</v>
      </c>
      <c r="BX513" t="s" s="0">
        <v>116</v>
      </c>
    </row>
    <row r="514">
      <c r="A514" t="s" s="0">
        <v>77</v>
      </c>
      <c r="B514" t="s" s="0">
        <v>77</v>
      </c>
      <c r="C514" t="s" s="0">
        <v>77</v>
      </c>
      <c r="D514" t="s" s="0">
        <v>77</v>
      </c>
      <c r="E514" t="s" s="0">
        <v>11531</v>
      </c>
      <c r="F514" t="s" s="0">
        <v>11532</v>
      </c>
      <c r="G514" t="s" s="0">
        <v>11533</v>
      </c>
      <c r="H514" t="s" s="0">
        <v>81</v>
      </c>
      <c r="I514" t="s" s="0">
        <v>82</v>
      </c>
      <c r="J514" t="s" s="0">
        <v>11534</v>
      </c>
      <c r="K514" t="s" s="0">
        <v>11535</v>
      </c>
      <c r="L514" t="s" s="0">
        <v>11536</v>
      </c>
      <c r="M514" t="s" s="0">
        <v>11537</v>
      </c>
      <c r="N514" t="s" s="0">
        <v>11538</v>
      </c>
      <c r="O514" t="s" s="0">
        <v>11539</v>
      </c>
      <c r="P514" t="s" s="0">
        <v>11540</v>
      </c>
      <c r="Q514" t="s" s="0">
        <v>87</v>
      </c>
      <c r="R514" t="s" s="0">
        <v>81</v>
      </c>
      <c r="S514" t="s" s="0">
        <v>81</v>
      </c>
      <c r="T514" t="s" s="0">
        <v>81</v>
      </c>
      <c r="U514" t="s" s="0">
        <v>81</v>
      </c>
      <c r="V514" t="s" s="0">
        <v>11541</v>
      </c>
      <c r="W514" t="s" s="0">
        <v>11542</v>
      </c>
      <c r="X514" t="s" s="0">
        <v>81</v>
      </c>
      <c r="Y514" t="s" s="0">
        <v>81</v>
      </c>
      <c r="Z514" t="s" s="0">
        <v>90</v>
      </c>
      <c r="AA514" t="s" s="0">
        <v>91</v>
      </c>
      <c r="AB514" t="s" s="0">
        <v>81</v>
      </c>
      <c r="AC514" t="s" s="0">
        <v>81</v>
      </c>
      <c r="AD514" t="s" s="0">
        <v>81</v>
      </c>
      <c r="AE514" t="s" s="0">
        <v>81</v>
      </c>
      <c r="AF514" t="s" s="0">
        <v>81</v>
      </c>
      <c r="AG514" t="s" s="0">
        <v>11543</v>
      </c>
      <c r="AH514" t="s" s="0">
        <v>11544</v>
      </c>
      <c r="AI514" t="s" s="0">
        <v>11545</v>
      </c>
      <c r="AJ514" t="s" s="0">
        <v>11546</v>
      </c>
      <c r="AK514" t="s" s="0">
        <v>81</v>
      </c>
      <c r="AL514" t="s" s="0">
        <v>135</v>
      </c>
      <c r="AM514" t="s" s="0">
        <v>77</v>
      </c>
      <c r="AN514" t="s" s="0">
        <v>77</v>
      </c>
      <c r="AO514" t="s" s="0">
        <v>156</v>
      </c>
      <c r="AP514" t="s" s="0">
        <v>156</v>
      </c>
      <c r="AQ514" t="s" s="0">
        <v>11547</v>
      </c>
      <c r="AR514" t="s" s="0">
        <v>429</v>
      </c>
      <c r="AS514" t="s" s="0">
        <v>11548</v>
      </c>
      <c r="AT514" t="s" s="0">
        <v>11549</v>
      </c>
      <c r="AU514" t="s" s="0">
        <v>11550</v>
      </c>
      <c r="AV514" t="s" s="0">
        <v>81</v>
      </c>
      <c r="AW514" t="s" s="0">
        <v>11551</v>
      </c>
      <c r="AX514" t="s" s="0">
        <v>11552</v>
      </c>
      <c r="AY514" t="s" s="0">
        <v>11553</v>
      </c>
      <c r="AZ514" t="s" s="0">
        <v>290</v>
      </c>
      <c r="BA514" t="s" s="0">
        <v>1184</v>
      </c>
      <c r="BB514" t="s" s="0">
        <v>81</v>
      </c>
      <c r="BC514" t="s" s="0">
        <v>81</v>
      </c>
      <c r="BD514" t="s" s="0">
        <v>81</v>
      </c>
      <c r="BE514" t="s" s="0">
        <v>81</v>
      </c>
      <c r="BF514" t="s" s="0">
        <v>81</v>
      </c>
      <c r="BG514" t="s" s="0">
        <v>11554</v>
      </c>
      <c r="BH514" t="s" s="0">
        <v>11555</v>
      </c>
      <c r="BI514" t="s" s="0">
        <v>81</v>
      </c>
      <c r="BJ514" t="s" s="0">
        <v>11556</v>
      </c>
      <c r="BK514" t="s" s="1020">
        <f>HYPERLINK("http://dx.doi.org/10.1016/j.hrtlng.2025.07.012","http://dx.doi.org/10.1016/j.hrtlng.2025.07.012")</f>
        <v>11557</v>
      </c>
      <c r="BL514" t="s" s="0">
        <v>81</v>
      </c>
      <c r="BM514" t="s" s="0">
        <v>733</v>
      </c>
      <c r="BN514" t="s" s="0">
        <v>381</v>
      </c>
      <c r="BO514" t="s" s="0">
        <v>11558</v>
      </c>
      <c r="BP514" t="s" s="0">
        <v>11559</v>
      </c>
      <c r="BQ514" t="s" s="0">
        <v>11560</v>
      </c>
      <c r="BR514" t="s" s="0">
        <v>11561</v>
      </c>
      <c r="BS514" t="s" s="0">
        <v>11562</v>
      </c>
      <c r="BT514" t="s" s="1021">
        <f>HYPERLINK("https://www.webofscience.com/wos/woscc/full-record/WOS:001541373500002","View Record in Web of Science")</f>
        <v>114</v>
      </c>
      <c r="BU514" t="s" s="0">
        <v>81</v>
      </c>
      <c r="BV514" t="s" s="0">
        <v>81</v>
      </c>
      <c r="BW514" t="s" s="0">
        <v>81</v>
      </c>
      <c r="BX514" t="s" s="0">
        <v>116</v>
      </c>
    </row>
    <row r="515">
      <c r="A515" t="s" s="0">
        <v>77</v>
      </c>
      <c r="B515" t="s" s="0">
        <v>77</v>
      </c>
      <c r="C515" t="s" s="0">
        <v>316</v>
      </c>
      <c r="D515" t="s" s="0">
        <v>77</v>
      </c>
      <c r="E515" t="s" s="0">
        <v>11563</v>
      </c>
      <c r="F515" t="s" s="0">
        <v>11564</v>
      </c>
      <c r="G515" t="s" s="0">
        <v>11565</v>
      </c>
      <c r="H515" t="s" s="0">
        <v>81</v>
      </c>
      <c r="I515" t="s" s="0">
        <v>82</v>
      </c>
      <c r="J515" t="s" s="0">
        <v>11566</v>
      </c>
      <c r="K515" t="s" s="0">
        <v>11567</v>
      </c>
      <c r="L515" t="s" s="0">
        <v>81</v>
      </c>
      <c r="M515" t="s" s="0">
        <v>81</v>
      </c>
      <c r="N515" t="s" s="0">
        <v>81</v>
      </c>
      <c r="O515" t="s" s="0">
        <v>11568</v>
      </c>
      <c r="P515" t="s" s="0">
        <v>11569</v>
      </c>
      <c r="Q515" t="s" s="0">
        <v>87</v>
      </c>
      <c r="R515" t="s" s="0">
        <v>81</v>
      </c>
      <c r="S515" t="s" s="0">
        <v>81</v>
      </c>
      <c r="T515" t="s" s="0">
        <v>81</v>
      </c>
      <c r="U515" t="s" s="0">
        <v>81</v>
      </c>
      <c r="V515" t="s" s="0">
        <v>11570</v>
      </c>
      <c r="W515" t="s" s="0">
        <v>11571</v>
      </c>
      <c r="X515" t="s" s="0">
        <v>81</v>
      </c>
      <c r="Y515" t="s" s="0">
        <v>81</v>
      </c>
      <c r="Z515" t="s" s="0">
        <v>90</v>
      </c>
      <c r="AA515" t="s" s="0">
        <v>91</v>
      </c>
      <c r="AB515" t="s" s="0">
        <v>81</v>
      </c>
      <c r="AC515" t="s" s="0">
        <v>81</v>
      </c>
      <c r="AD515" t="s" s="0">
        <v>81</v>
      </c>
      <c r="AE515" t="s" s="0">
        <v>81</v>
      </c>
      <c r="AF515" t="s" s="0">
        <v>81</v>
      </c>
      <c r="AG515" t="s" s="0">
        <v>11572</v>
      </c>
      <c r="AH515" t="s" s="0">
        <v>11573</v>
      </c>
      <c r="AI515" t="s" s="0">
        <v>81</v>
      </c>
      <c r="AJ515" t="s" s="0">
        <v>81</v>
      </c>
      <c r="AK515" t="s" s="0">
        <v>81</v>
      </c>
      <c r="AL515" t="s" s="0">
        <v>1184</v>
      </c>
      <c r="AM515" t="s" s="0">
        <v>671</v>
      </c>
      <c r="AN515" t="s" s="0">
        <v>344</v>
      </c>
      <c r="AO515" t="s" s="0">
        <v>196</v>
      </c>
      <c r="AP515" t="s" s="0">
        <v>295</v>
      </c>
      <c r="AQ515" t="s" s="0">
        <v>11574</v>
      </c>
      <c r="AR515" t="s" s="0">
        <v>11575</v>
      </c>
      <c r="AS515" t="s" s="0">
        <v>11576</v>
      </c>
      <c r="AT515" t="s" s="0">
        <v>11577</v>
      </c>
      <c r="AU515" t="s" s="0">
        <v>11578</v>
      </c>
      <c r="AV515" t="s" s="0">
        <v>81</v>
      </c>
      <c r="AW515" t="s" s="0">
        <v>11579</v>
      </c>
      <c r="AX515" t="s" s="0">
        <v>11580</v>
      </c>
      <c r="AY515" t="s" s="0">
        <v>320</v>
      </c>
      <c r="AZ515" t="s" s="0">
        <v>185</v>
      </c>
      <c r="BA515" t="s" s="0">
        <v>104</v>
      </c>
      <c r="BB515" t="s" s="0">
        <v>133</v>
      </c>
      <c r="BC515" t="s" s="0">
        <v>81</v>
      </c>
      <c r="BD515" t="s" s="0">
        <v>81</v>
      </c>
      <c r="BE515" t="s" s="0">
        <v>81</v>
      </c>
      <c r="BF515" t="s" s="0">
        <v>81</v>
      </c>
      <c r="BG515" t="s" s="0">
        <v>11581</v>
      </c>
      <c r="BH515" t="s" s="0">
        <v>11582</v>
      </c>
      <c r="BI515" t="s" s="0">
        <v>81</v>
      </c>
      <c r="BJ515" t="s" s="0">
        <v>11583</v>
      </c>
      <c r="BK515" t="s" s="1022">
        <f>HYPERLINK("http://dx.doi.org/10.21037/qims-23-1600","http://dx.doi.org/10.21037/qims-23-1600")</f>
        <v>11584</v>
      </c>
      <c r="BL515" t="s" s="0">
        <v>81</v>
      </c>
      <c r="BM515" t="s" s="0">
        <v>81</v>
      </c>
      <c r="BN515" t="s" s="0">
        <v>367</v>
      </c>
      <c r="BO515" t="s" s="0">
        <v>738</v>
      </c>
      <c r="BP515" t="s" s="0">
        <v>738</v>
      </c>
      <c r="BQ515" t="s" s="0">
        <v>11585</v>
      </c>
      <c r="BR515" t="s" s="0">
        <v>11586</v>
      </c>
      <c r="BS515" t="s" s="0">
        <v>11587</v>
      </c>
      <c r="BT515" t="s" s="1023">
        <f>HYPERLINK("https://www.webofscience.com/wos/woscc/full-record/WOS:001250132200021","View Record in Web of Science")</f>
        <v>114</v>
      </c>
      <c r="BU515" t="s" s="0">
        <v>301</v>
      </c>
      <c r="BV515" t="s" s="0">
        <v>81</v>
      </c>
      <c r="BW515" t="s" s="0">
        <v>81</v>
      </c>
      <c r="BX515" t="s" s="0">
        <v>116</v>
      </c>
    </row>
    <row r="516">
      <c r="A516" t="s" s="0">
        <v>77</v>
      </c>
      <c r="B516" t="s" s="0">
        <v>77</v>
      </c>
      <c r="C516" t="s" s="0">
        <v>77</v>
      </c>
      <c r="D516" t="s" s="0">
        <v>77</v>
      </c>
      <c r="E516" t="s" s="0">
        <v>11588</v>
      </c>
      <c r="F516" t="s" s="0">
        <v>11589</v>
      </c>
      <c r="G516" t="s" s="0">
        <v>11590</v>
      </c>
      <c r="H516" t="s" s="0">
        <v>81</v>
      </c>
      <c r="I516" t="s" s="0">
        <v>82</v>
      </c>
      <c r="J516" t="s" s="0">
        <v>11591</v>
      </c>
      <c r="K516" t="s" s="0">
        <v>11592</v>
      </c>
      <c r="L516" t="s" s="0">
        <v>81</v>
      </c>
      <c r="M516" t="s" s="0">
        <v>81</v>
      </c>
      <c r="N516" t="s" s="0">
        <v>81</v>
      </c>
      <c r="O516" t="s" s="0">
        <v>11593</v>
      </c>
      <c r="P516" t="s" s="0">
        <v>11594</v>
      </c>
      <c r="Q516" t="s" s="0">
        <v>87</v>
      </c>
      <c r="R516" t="s" s="0">
        <v>81</v>
      </c>
      <c r="S516" t="s" s="0">
        <v>81</v>
      </c>
      <c r="T516" t="s" s="0">
        <v>81</v>
      </c>
      <c r="U516" t="s" s="0">
        <v>81</v>
      </c>
      <c r="V516" t="s" s="0">
        <v>11595</v>
      </c>
      <c r="W516" t="s" s="0">
        <v>11596</v>
      </c>
      <c r="X516" t="s" s="0">
        <v>81</v>
      </c>
      <c r="Y516" t="s" s="0">
        <v>81</v>
      </c>
      <c r="Z516" t="s" s="0">
        <v>90</v>
      </c>
      <c r="AA516" t="s" s="0">
        <v>91</v>
      </c>
      <c r="AB516" t="s" s="0">
        <v>81</v>
      </c>
      <c r="AC516" t="s" s="0">
        <v>81</v>
      </c>
      <c r="AD516" t="s" s="0">
        <v>81</v>
      </c>
      <c r="AE516" t="s" s="0">
        <v>81</v>
      </c>
      <c r="AF516" t="s" s="0">
        <v>81</v>
      </c>
      <c r="AG516" t="s" s="0">
        <v>81</v>
      </c>
      <c r="AH516" t="s" s="0">
        <v>11597</v>
      </c>
      <c r="AI516" t="s" s="0">
        <v>81</v>
      </c>
      <c r="AJ516" t="s" s="0">
        <v>11598</v>
      </c>
      <c r="AK516" t="s" s="0">
        <v>81</v>
      </c>
      <c r="AL516" t="s" s="0">
        <v>1883</v>
      </c>
      <c r="AM516" t="s" s="0">
        <v>156</v>
      </c>
      <c r="AN516" t="s" s="0">
        <v>156</v>
      </c>
      <c r="AO516" t="s" s="0">
        <v>134</v>
      </c>
      <c r="AP516" t="s" s="0">
        <v>134</v>
      </c>
      <c r="AQ516" t="s" s="0">
        <v>603</v>
      </c>
      <c r="AR516" t="s" s="0">
        <v>604</v>
      </c>
      <c r="AS516" t="s" s="0">
        <v>605</v>
      </c>
      <c r="AT516" t="s" s="0">
        <v>11599</v>
      </c>
      <c r="AU516" t="s" s="0">
        <v>11600</v>
      </c>
      <c r="AV516" t="s" s="0">
        <v>81</v>
      </c>
      <c r="AW516" t="s" s="0">
        <v>11601</v>
      </c>
      <c r="AX516" t="s" s="0">
        <v>11602</v>
      </c>
      <c r="AY516" t="s" s="0">
        <v>11603</v>
      </c>
      <c r="AZ516" t="s" s="0">
        <v>103</v>
      </c>
      <c r="BA516" t="s" s="0">
        <v>399</v>
      </c>
      <c r="BB516" t="s" s="0">
        <v>97</v>
      </c>
      <c r="BC516" t="s" s="0">
        <v>81</v>
      </c>
      <c r="BD516" t="s" s="0">
        <v>81</v>
      </c>
      <c r="BE516" t="s" s="0">
        <v>81</v>
      </c>
      <c r="BF516" t="s" s="0">
        <v>81</v>
      </c>
      <c r="BG516" t="s" s="0">
        <v>81</v>
      </c>
      <c r="BH516" t="s" s="0">
        <v>81</v>
      </c>
      <c r="BI516" t="s" s="0">
        <v>11604</v>
      </c>
      <c r="BJ516" t="s" s="0">
        <v>11605</v>
      </c>
      <c r="BK516" t="s" s="1024">
        <f>HYPERLINK("http://dx.doi.org/10.1080/08839514.2026.2626117","http://dx.doi.org/10.1080/08839514.2026.2626117")</f>
        <v>11606</v>
      </c>
      <c r="BL516" t="s" s="0">
        <v>81</v>
      </c>
      <c r="BM516" t="s" s="0">
        <v>81</v>
      </c>
      <c r="BN516" t="s" s="0">
        <v>291</v>
      </c>
      <c r="BO516" t="s" s="0">
        <v>192</v>
      </c>
      <c r="BP516" t="s" s="0">
        <v>193</v>
      </c>
      <c r="BQ516" t="s" s="0">
        <v>11607</v>
      </c>
      <c r="BR516" t="s" s="0">
        <v>81</v>
      </c>
      <c r="BS516" t="s" s="0">
        <v>11608</v>
      </c>
      <c r="BT516" t="s" s="1025">
        <f>HYPERLINK("https://www.webofscience.com/wos/woscc/full-record/WOS:001687446400001","View Record in Web of Science")</f>
        <v>114</v>
      </c>
      <c r="BU516" t="s" s="0">
        <v>115</v>
      </c>
      <c r="BV516" t="s" s="0">
        <v>81</v>
      </c>
      <c r="BW516" t="s" s="0">
        <v>81</v>
      </c>
      <c r="BX516" t="s" s="0">
        <v>116</v>
      </c>
    </row>
    <row r="517">
      <c r="A517" t="s" s="0">
        <v>77</v>
      </c>
      <c r="B517" t="s" s="0">
        <v>77</v>
      </c>
      <c r="C517" t="s" s="0">
        <v>133</v>
      </c>
      <c r="D517" t="s" s="0">
        <v>77</v>
      </c>
      <c r="E517" t="s" s="0">
        <v>11609</v>
      </c>
      <c r="F517" t="s" s="0">
        <v>11610</v>
      </c>
      <c r="G517" t="s" s="0">
        <v>11611</v>
      </c>
      <c r="H517" t="s" s="0">
        <v>81</v>
      </c>
      <c r="I517" t="s" s="0">
        <v>238</v>
      </c>
      <c r="J517" t="s" s="0">
        <v>11612</v>
      </c>
      <c r="K517" t="s" s="0">
        <v>11613</v>
      </c>
      <c r="L517" t="s" s="0">
        <v>11614</v>
      </c>
      <c r="M517" t="s" s="0">
        <v>11615</v>
      </c>
      <c r="N517" t="s" s="0">
        <v>11616</v>
      </c>
      <c r="O517" t="s" s="0">
        <v>11617</v>
      </c>
      <c r="P517" t="s" s="0">
        <v>11618</v>
      </c>
      <c r="Q517" t="s" s="0">
        <v>87</v>
      </c>
      <c r="R517" t="s" s="0">
        <v>81</v>
      </c>
      <c r="S517" t="s" s="0">
        <v>81</v>
      </c>
      <c r="T517" t="s" s="0">
        <v>81</v>
      </c>
      <c r="U517" t="s" s="0">
        <v>81</v>
      </c>
      <c r="V517" t="s" s="0">
        <v>11619</v>
      </c>
      <c r="W517" t="s" s="0">
        <v>1416</v>
      </c>
      <c r="X517" t="s" s="0">
        <v>81</v>
      </c>
      <c r="Y517" t="s" s="0">
        <v>81</v>
      </c>
      <c r="Z517" t="s" s="0">
        <v>90</v>
      </c>
      <c r="AA517" t="s" s="0">
        <v>91</v>
      </c>
      <c r="AB517" t="s" s="0">
        <v>81</v>
      </c>
      <c r="AC517" t="s" s="0">
        <v>81</v>
      </c>
      <c r="AD517" t="s" s="0">
        <v>81</v>
      </c>
      <c r="AE517" t="s" s="0">
        <v>81</v>
      </c>
      <c r="AF517" t="s" s="0">
        <v>81</v>
      </c>
      <c r="AG517" t="s" s="0">
        <v>11620</v>
      </c>
      <c r="AH517" t="s" s="0">
        <v>81</v>
      </c>
      <c r="AI517" t="s" s="0">
        <v>11621</v>
      </c>
      <c r="AJ517" t="s" s="0">
        <v>11622</v>
      </c>
      <c r="AK517" t="s" s="0">
        <v>81</v>
      </c>
      <c r="AL517" t="s" s="0">
        <v>104</v>
      </c>
      <c r="AM517" t="s" s="0">
        <v>173</v>
      </c>
      <c r="AN517" t="s" s="0">
        <v>697</v>
      </c>
      <c r="AO517" t="s" s="0">
        <v>196</v>
      </c>
      <c r="AP517" t="s" s="0">
        <v>191</v>
      </c>
      <c r="AQ517" t="s" s="0">
        <v>368</v>
      </c>
      <c r="AR517" t="s" s="0">
        <v>369</v>
      </c>
      <c r="AS517" t="s" s="0">
        <v>370</v>
      </c>
      <c r="AT517" t="s" s="0">
        <v>81</v>
      </c>
      <c r="AU517" t="s" s="0">
        <v>1421</v>
      </c>
      <c r="AV517" t="s" s="0">
        <v>81</v>
      </c>
      <c r="AW517" t="s" s="0">
        <v>1422</v>
      </c>
      <c r="AX517" t="s" s="0">
        <v>1423</v>
      </c>
      <c r="AY517" t="s" s="0">
        <v>11623</v>
      </c>
      <c r="AZ517" t="s" s="0">
        <v>220</v>
      </c>
      <c r="BA517" t="s" s="0">
        <v>175</v>
      </c>
      <c r="BB517" t="s" s="0">
        <v>81</v>
      </c>
      <c r="BC517" t="s" s="0">
        <v>81</v>
      </c>
      <c r="BD517" t="s" s="0">
        <v>81</v>
      </c>
      <c r="BE517" t="s" s="0">
        <v>81</v>
      </c>
      <c r="BF517" t="s" s="0">
        <v>81</v>
      </c>
      <c r="BG517" t="s" s="0">
        <v>81</v>
      </c>
      <c r="BH517" t="s" s="0">
        <v>81</v>
      </c>
      <c r="BI517" t="s" s="0">
        <v>11624</v>
      </c>
      <c r="BJ517" t="s" s="0">
        <v>11625</v>
      </c>
      <c r="BK517" t="s" s="1026">
        <f>HYPERLINK("http://dx.doi.org/10.3389/fdgth.2022.931439","http://dx.doi.org/10.3389/fdgth.2022.931439")</f>
        <v>11626</v>
      </c>
      <c r="BL517" t="s" s="0">
        <v>81</v>
      </c>
      <c r="BM517" t="s" s="0">
        <v>81</v>
      </c>
      <c r="BN517" t="s" s="0">
        <v>381</v>
      </c>
      <c r="BO517" t="s" s="0">
        <v>792</v>
      </c>
      <c r="BP517" t="s" s="0">
        <v>792</v>
      </c>
      <c r="BQ517" t="s" s="0">
        <v>11627</v>
      </c>
      <c r="BR517" t="s" s="0">
        <v>11628</v>
      </c>
      <c r="BS517" t="s" s="0">
        <v>11629</v>
      </c>
      <c r="BT517" t="s" s="1027">
        <f>HYPERLINK("https://www.webofscience.com/wos/woscc/full-record/WOS:001034020100001","View Record in Web of Science")</f>
        <v>114</v>
      </c>
      <c r="BU517" t="s" s="0">
        <v>301</v>
      </c>
      <c r="BV517" t="s" s="0">
        <v>81</v>
      </c>
      <c r="BW517" t="s" s="0">
        <v>81</v>
      </c>
      <c r="BX517" t="s" s="0">
        <v>116</v>
      </c>
    </row>
    <row r="518">
      <c r="A518" t="s" s="0">
        <v>77</v>
      </c>
      <c r="B518" t="s" s="0">
        <v>77</v>
      </c>
      <c r="C518" t="s" s="0">
        <v>77</v>
      </c>
      <c r="D518" t="s" s="0">
        <v>77</v>
      </c>
      <c r="E518" t="s" s="0">
        <v>11630</v>
      </c>
      <c r="F518" t="s" s="0">
        <v>11631</v>
      </c>
      <c r="G518" t="s" s="0">
        <v>11632</v>
      </c>
      <c r="H518" t="s" s="0">
        <v>81</v>
      </c>
      <c r="I518" t="s" s="0">
        <v>238</v>
      </c>
      <c r="J518" t="s" s="0">
        <v>11633</v>
      </c>
      <c r="K518" t="s" s="0">
        <v>11634</v>
      </c>
      <c r="L518" t="s" s="0">
        <v>11635</v>
      </c>
      <c r="M518" t="s" s="0">
        <v>11636</v>
      </c>
      <c r="N518" t="s" s="0">
        <v>11637</v>
      </c>
      <c r="O518" t="s" s="0">
        <v>11638</v>
      </c>
      <c r="P518" t="s" s="0">
        <v>11639</v>
      </c>
      <c r="Q518" t="s" s="0">
        <v>87</v>
      </c>
      <c r="R518" t="s" s="0">
        <v>81</v>
      </c>
      <c r="S518" t="s" s="0">
        <v>81</v>
      </c>
      <c r="T518" t="s" s="0">
        <v>81</v>
      </c>
      <c r="U518" t="s" s="0">
        <v>81</v>
      </c>
      <c r="V518" t="s" s="0">
        <v>11640</v>
      </c>
      <c r="W518" t="s" s="0">
        <v>11641</v>
      </c>
      <c r="X518" t="s" s="0">
        <v>81</v>
      </c>
      <c r="Y518" t="s" s="0">
        <v>81</v>
      </c>
      <c r="Z518" t="s" s="0">
        <v>90</v>
      </c>
      <c r="AA518" t="s" s="0">
        <v>91</v>
      </c>
      <c r="AB518" t="s" s="0">
        <v>81</v>
      </c>
      <c r="AC518" t="s" s="0">
        <v>81</v>
      </c>
      <c r="AD518" t="s" s="0">
        <v>81</v>
      </c>
      <c r="AE518" t="s" s="0">
        <v>81</v>
      </c>
      <c r="AF518" t="s" s="0">
        <v>81</v>
      </c>
      <c r="AG518" t="s" s="0">
        <v>11642</v>
      </c>
      <c r="AH518" t="s" s="0">
        <v>81</v>
      </c>
      <c r="AI518" t="s" s="0">
        <v>11643</v>
      </c>
      <c r="AJ518" t="s" s="0">
        <v>11644</v>
      </c>
      <c r="AK518" t="s" s="0">
        <v>81</v>
      </c>
      <c r="AL518" t="s" s="0">
        <v>174</v>
      </c>
      <c r="AM518" t="s" s="0">
        <v>77</v>
      </c>
      <c r="AN518" t="s" s="0">
        <v>77</v>
      </c>
      <c r="AO518" t="s" s="0">
        <v>175</v>
      </c>
      <c r="AP518" t="s" s="0">
        <v>175</v>
      </c>
      <c r="AQ518" t="s" s="0">
        <v>11645</v>
      </c>
      <c r="AR518" t="s" s="0">
        <v>11646</v>
      </c>
      <c r="AS518" t="s" s="0">
        <v>11647</v>
      </c>
      <c r="AT518" t="s" s="0">
        <v>11648</v>
      </c>
      <c r="AU518" t="s" s="0">
        <v>81</v>
      </c>
      <c r="AV518" t="s" s="0">
        <v>81</v>
      </c>
      <c r="AW518" t="s" s="0">
        <v>11649</v>
      </c>
      <c r="AX518" t="s" s="0">
        <v>11650</v>
      </c>
      <c r="AY518" t="s" s="0">
        <v>290</v>
      </c>
      <c r="AZ518" t="s" s="0">
        <v>290</v>
      </c>
      <c r="BA518" t="s" s="0">
        <v>253</v>
      </c>
      <c r="BB518" t="s" s="0">
        <v>196</v>
      </c>
      <c r="BC518" t="s" s="0">
        <v>81</v>
      </c>
      <c r="BD518" t="s" s="0">
        <v>81</v>
      </c>
      <c r="BE518" t="s" s="0">
        <v>81</v>
      </c>
      <c r="BF518" t="s" s="0">
        <v>81</v>
      </c>
      <c r="BG518" t="s" s="0">
        <v>11651</v>
      </c>
      <c r="BH518" t="s" s="0">
        <v>11652</v>
      </c>
      <c r="BI518" t="s" s="0">
        <v>81</v>
      </c>
      <c r="BJ518" t="s" s="0">
        <v>11653</v>
      </c>
      <c r="BK518" t="s" s="1028">
        <f>HYPERLINK("http://dx.doi.org/10.56415/csjm.v33.14","http://dx.doi.org/10.56415/csjm.v33.14")</f>
        <v>11654</v>
      </c>
      <c r="BL518" t="s" s="0">
        <v>81</v>
      </c>
      <c r="BM518" t="s" s="0">
        <v>81</v>
      </c>
      <c r="BN518" t="s" s="0">
        <v>485</v>
      </c>
      <c r="BO518" t="s" s="0">
        <v>1895</v>
      </c>
      <c r="BP518" t="s" s="0">
        <v>152</v>
      </c>
      <c r="BQ518" t="s" s="0">
        <v>11655</v>
      </c>
      <c r="BR518" t="s" s="0">
        <v>81</v>
      </c>
      <c r="BS518" t="s" s="0">
        <v>11656</v>
      </c>
      <c r="BT518" t="s" s="1029">
        <f>HYPERLINK("https://www.webofscience.com/wos/woscc/full-record/WOS:001660673600001","View Record in Web of Science")</f>
        <v>114</v>
      </c>
      <c r="BU518" t="s" s="0">
        <v>301</v>
      </c>
      <c r="BV518" t="s" s="0">
        <v>81</v>
      </c>
      <c r="BW518" t="s" s="0">
        <v>81</v>
      </c>
      <c r="BX518" t="s" s="0">
        <v>116</v>
      </c>
    </row>
    <row r="519">
      <c r="A519" t="s" s="0">
        <v>97</v>
      </c>
      <c r="B519" t="s" s="0">
        <v>77</v>
      </c>
      <c r="C519" t="s" s="0">
        <v>134</v>
      </c>
      <c r="D519" t="s" s="0">
        <v>77</v>
      </c>
      <c r="E519" t="s" s="0">
        <v>11657</v>
      </c>
      <c r="F519" t="s" s="0">
        <v>11658</v>
      </c>
      <c r="G519" t="s" s="0">
        <v>11659</v>
      </c>
      <c r="H519" t="s" s="0">
        <v>81</v>
      </c>
      <c r="I519" t="s" s="0">
        <v>82</v>
      </c>
      <c r="J519" t="s" s="0">
        <v>11660</v>
      </c>
      <c r="K519" t="s" s="0">
        <v>11661</v>
      </c>
      <c r="L519" t="s" s="0">
        <v>81</v>
      </c>
      <c r="M519" t="s" s="0">
        <v>81</v>
      </c>
      <c r="N519" t="s" s="0">
        <v>81</v>
      </c>
      <c r="O519" t="s" s="0">
        <v>11662</v>
      </c>
      <c r="P519" t="s" s="0">
        <v>11663</v>
      </c>
      <c r="Q519" t="s" s="0">
        <v>87</v>
      </c>
      <c r="R519" t="s" s="0">
        <v>81</v>
      </c>
      <c r="S519" t="s" s="0">
        <v>81</v>
      </c>
      <c r="T519" t="s" s="0">
        <v>81</v>
      </c>
      <c r="U519" t="s" s="0">
        <v>81</v>
      </c>
      <c r="V519" t="s" s="0">
        <v>11664</v>
      </c>
      <c r="W519" t="s" s="0">
        <v>8356</v>
      </c>
      <c r="X519" t="s" s="0">
        <v>81</v>
      </c>
      <c r="Y519" t="s" s="0">
        <v>81</v>
      </c>
      <c r="Z519" t="s" s="0">
        <v>90</v>
      </c>
      <c r="AA519" t="s" s="0">
        <v>91</v>
      </c>
      <c r="AB519" t="s" s="0">
        <v>81</v>
      </c>
      <c r="AC519" t="s" s="0">
        <v>81</v>
      </c>
      <c r="AD519" t="s" s="0">
        <v>81</v>
      </c>
      <c r="AE519" t="s" s="0">
        <v>81</v>
      </c>
      <c r="AF519" t="s" s="0">
        <v>81</v>
      </c>
      <c r="AG519" t="s" s="0">
        <v>11665</v>
      </c>
      <c r="AH519" t="s" s="0">
        <v>1909</v>
      </c>
      <c r="AI519" t="s" s="0">
        <v>11666</v>
      </c>
      <c r="AJ519" t="s" s="0">
        <v>11667</v>
      </c>
      <c r="AK519" t="s" s="0">
        <v>81</v>
      </c>
      <c r="AL519" t="s" s="0">
        <v>756</v>
      </c>
      <c r="AM519" t="s" s="0">
        <v>544</v>
      </c>
      <c r="AN519" t="s" s="0">
        <v>4518</v>
      </c>
      <c r="AO519" t="s" s="0">
        <v>196</v>
      </c>
      <c r="AP519" t="s" s="0">
        <v>1254</v>
      </c>
      <c r="AQ519" t="s" s="0">
        <v>284</v>
      </c>
      <c r="AR519" t="s" s="0">
        <v>285</v>
      </c>
      <c r="AS519" t="s" s="0">
        <v>317</v>
      </c>
      <c r="AT519" t="s" s="0">
        <v>81</v>
      </c>
      <c r="AU519" t="s" s="0">
        <v>8359</v>
      </c>
      <c r="AV519" t="s" s="0">
        <v>81</v>
      </c>
      <c r="AW519" t="s" s="0">
        <v>8360</v>
      </c>
      <c r="AX519" t="s" s="0">
        <v>8361</v>
      </c>
      <c r="AY519" t="s" s="0">
        <v>5318</v>
      </c>
      <c r="AZ519" t="s" s="0">
        <v>220</v>
      </c>
      <c r="BA519" t="s" s="0">
        <v>210</v>
      </c>
      <c r="BB519" t="s" s="0">
        <v>485</v>
      </c>
      <c r="BC519" t="s" s="0">
        <v>81</v>
      </c>
      <c r="BD519" t="s" s="0">
        <v>81</v>
      </c>
      <c r="BE519" t="s" s="0">
        <v>81</v>
      </c>
      <c r="BF519" t="s" s="0">
        <v>81</v>
      </c>
      <c r="BG519" t="s" s="0">
        <v>81</v>
      </c>
      <c r="BH519" t="s" s="0">
        <v>81</v>
      </c>
      <c r="BI519" t="s" s="0">
        <v>11668</v>
      </c>
      <c r="BJ519" t="s" s="0">
        <v>11669</v>
      </c>
      <c r="BK519" t="s" s="1030">
        <f>HYPERLINK("http://dx.doi.org/10.3390/s22197268","http://dx.doi.org/10.3390/s22197268")</f>
        <v>11670</v>
      </c>
      <c r="BL519" t="s" s="0">
        <v>81</v>
      </c>
      <c r="BM519" t="s" s="0">
        <v>81</v>
      </c>
      <c r="BN519" t="s" s="0">
        <v>543</v>
      </c>
      <c r="BO519" t="s" s="0">
        <v>8365</v>
      </c>
      <c r="BP519" t="s" s="0">
        <v>8366</v>
      </c>
      <c r="BQ519" t="s" s="0">
        <v>11671</v>
      </c>
      <c r="BR519" t="s" s="0">
        <v>11672</v>
      </c>
      <c r="BS519" t="s" s="0">
        <v>11673</v>
      </c>
      <c r="BT519" t="s" s="1031">
        <f>HYPERLINK("https://www.webofscience.com/wos/woscc/full-record/WOS:000867242700001","View Record in Web of Science")</f>
        <v>114</v>
      </c>
      <c r="BU519" t="s" s="0">
        <v>301</v>
      </c>
      <c r="BV519" t="s" s="0">
        <v>81</v>
      </c>
      <c r="BW519" t="s" s="0">
        <v>81</v>
      </c>
      <c r="BX519" t="s" s="0">
        <v>116</v>
      </c>
    </row>
    <row r="520">
      <c r="A520" t="s" s="0">
        <v>77</v>
      </c>
      <c r="B520" t="s" s="0">
        <v>77</v>
      </c>
      <c r="C520" t="s" s="0">
        <v>77</v>
      </c>
      <c r="D520" t="s" s="0">
        <v>77</v>
      </c>
      <c r="E520" t="s" s="0">
        <v>11674</v>
      </c>
      <c r="F520" t="s" s="0">
        <v>11675</v>
      </c>
      <c r="G520" t="s" s="0">
        <v>11676</v>
      </c>
      <c r="H520" t="s" s="0">
        <v>81</v>
      </c>
      <c r="I520" t="s" s="0">
        <v>82</v>
      </c>
      <c r="J520" t="s" s="0">
        <v>11677</v>
      </c>
      <c r="K520" t="s" s="0">
        <v>11678</v>
      </c>
      <c r="L520" t="s" s="0">
        <v>11679</v>
      </c>
      <c r="M520" t="s" s="0">
        <v>11680</v>
      </c>
      <c r="N520" t="s" s="0">
        <v>11681</v>
      </c>
      <c r="O520" t="s" s="0">
        <v>11682</v>
      </c>
      <c r="P520" t="s" s="0">
        <v>11683</v>
      </c>
      <c r="Q520" t="s" s="0">
        <v>87</v>
      </c>
      <c r="R520" t="s" s="0">
        <v>81</v>
      </c>
      <c r="S520" t="s" s="0">
        <v>81</v>
      </c>
      <c r="T520" t="s" s="0">
        <v>81</v>
      </c>
      <c r="U520" t="s" s="0">
        <v>81</v>
      </c>
      <c r="V520" t="s" s="0">
        <v>11684</v>
      </c>
      <c r="W520" t="s" s="0">
        <v>910</v>
      </c>
      <c r="X520" t="s" s="0">
        <v>81</v>
      </c>
      <c r="Y520" t="s" s="0">
        <v>81</v>
      </c>
      <c r="Z520" t="s" s="0">
        <v>90</v>
      </c>
      <c r="AA520" t="s" s="0">
        <v>91</v>
      </c>
      <c r="AB520" t="s" s="0">
        <v>81</v>
      </c>
      <c r="AC520" t="s" s="0">
        <v>81</v>
      </c>
      <c r="AD520" t="s" s="0">
        <v>81</v>
      </c>
      <c r="AE520" t="s" s="0">
        <v>81</v>
      </c>
      <c r="AF520" t="s" s="0">
        <v>81</v>
      </c>
      <c r="AG520" t="s" s="0">
        <v>11685</v>
      </c>
      <c r="AH520" t="s" s="0">
        <v>11686</v>
      </c>
      <c r="AI520" t="s" s="0">
        <v>11687</v>
      </c>
      <c r="AJ520" t="s" s="0">
        <v>81</v>
      </c>
      <c r="AK520" t="s" s="0">
        <v>81</v>
      </c>
      <c r="AL520" t="s" s="0">
        <v>1374</v>
      </c>
      <c r="AM520" t="s" s="0">
        <v>97</v>
      </c>
      <c r="AN520" t="s" s="0">
        <v>97</v>
      </c>
      <c r="AO520" t="s" s="0">
        <v>175</v>
      </c>
      <c r="AP520" t="s" s="0">
        <v>133</v>
      </c>
      <c r="AQ520" t="s" s="0">
        <v>915</v>
      </c>
      <c r="AR520" t="s" s="0">
        <v>916</v>
      </c>
      <c r="AS520" t="s" s="0">
        <v>917</v>
      </c>
      <c r="AT520" t="s" s="0">
        <v>918</v>
      </c>
      <c r="AU520" t="s" s="0">
        <v>81</v>
      </c>
      <c r="AV520" t="s" s="0">
        <v>81</v>
      </c>
      <c r="AW520" t="s" s="0">
        <v>919</v>
      </c>
      <c r="AX520" t="s" s="0">
        <v>920</v>
      </c>
      <c r="AY520" t="s" s="0">
        <v>11688</v>
      </c>
      <c r="AZ520" t="s" s="0">
        <v>290</v>
      </c>
      <c r="BA520" t="s" s="0">
        <v>291</v>
      </c>
      <c r="BB520" t="s" s="0">
        <v>97</v>
      </c>
      <c r="BC520" t="s" s="0">
        <v>81</v>
      </c>
      <c r="BD520" t="s" s="0">
        <v>81</v>
      </c>
      <c r="BE520" t="s" s="0">
        <v>81</v>
      </c>
      <c r="BF520" t="s" s="0">
        <v>81</v>
      </c>
      <c r="BG520" t="s" s="0">
        <v>81</v>
      </c>
      <c r="BH520" t="s" s="0">
        <v>81</v>
      </c>
      <c r="BI520" t="s" s="0">
        <v>11689</v>
      </c>
      <c r="BJ520" t="s" s="0">
        <v>11690</v>
      </c>
      <c r="BK520" t="s" s="1032">
        <f>HYPERLINK("http://dx.doi.org/10.1038/s41598-025-25901-9","http://dx.doi.org/10.1038/s41598-025-25901-9")</f>
        <v>11691</v>
      </c>
      <c r="BL520" t="s" s="0">
        <v>81</v>
      </c>
      <c r="BM520" t="s" s="0">
        <v>81</v>
      </c>
      <c r="BN520" t="s" s="0">
        <v>104</v>
      </c>
      <c r="BO520" t="s" s="0">
        <v>926</v>
      </c>
      <c r="BP520" t="s" s="0">
        <v>927</v>
      </c>
      <c r="BQ520" t="s" s="0">
        <v>11692</v>
      </c>
      <c r="BR520" t="s" s="0">
        <v>11693</v>
      </c>
      <c r="BS520" t="s" s="0">
        <v>11694</v>
      </c>
      <c r="BT520" t="s" s="1033">
        <f>HYPERLINK("https://www.webofscience.com/wos/woscc/full-record/WOS:001625424900004","View Record in Web of Science")</f>
        <v>114</v>
      </c>
      <c r="BU520" t="s" s="0">
        <v>301</v>
      </c>
      <c r="BV520" t="s" s="0">
        <v>81</v>
      </c>
      <c r="BW520" t="s" s="0">
        <v>81</v>
      </c>
      <c r="BX520" t="s" s="0">
        <v>116</v>
      </c>
    </row>
    <row r="521">
      <c r="A521" t="s" s="0">
        <v>77</v>
      </c>
      <c r="B521" t="s" s="0">
        <v>77</v>
      </c>
      <c r="C521" t="s" s="0">
        <v>133</v>
      </c>
      <c r="D521" t="s" s="0">
        <v>77</v>
      </c>
      <c r="E521" t="s" s="0">
        <v>11695</v>
      </c>
      <c r="F521" t="s" s="0">
        <v>11696</v>
      </c>
      <c r="G521" t="s" s="0">
        <v>11697</v>
      </c>
      <c r="H521" t="s" s="0">
        <v>81</v>
      </c>
      <c r="I521" t="s" s="0">
        <v>82</v>
      </c>
      <c r="J521" t="s" s="0">
        <v>11698</v>
      </c>
      <c r="K521" t="s" s="0">
        <v>11699</v>
      </c>
      <c r="L521" t="s" s="0">
        <v>9140</v>
      </c>
      <c r="M521" t="s" s="0">
        <v>9141</v>
      </c>
      <c r="N521" t="s" s="0">
        <v>11700</v>
      </c>
      <c r="O521" t="s" s="0">
        <v>11701</v>
      </c>
      <c r="P521" t="s" s="0">
        <v>11702</v>
      </c>
      <c r="Q521" t="s" s="0">
        <v>87</v>
      </c>
      <c r="R521" t="s" s="0">
        <v>81</v>
      </c>
      <c r="S521" t="s" s="0">
        <v>81</v>
      </c>
      <c r="T521" t="s" s="0">
        <v>81</v>
      </c>
      <c r="U521" t="s" s="0">
        <v>81</v>
      </c>
      <c r="V521" t="s" s="0">
        <v>11703</v>
      </c>
      <c r="W521" t="s" s="0">
        <v>11704</v>
      </c>
      <c r="X521" t="s" s="0">
        <v>81</v>
      </c>
      <c r="Y521" t="s" s="0">
        <v>81</v>
      </c>
      <c r="Z521" t="s" s="0">
        <v>90</v>
      </c>
      <c r="AA521" t="s" s="0">
        <v>91</v>
      </c>
      <c r="AB521" t="s" s="0">
        <v>81</v>
      </c>
      <c r="AC521" t="s" s="0">
        <v>81</v>
      </c>
      <c r="AD521" t="s" s="0">
        <v>81</v>
      </c>
      <c r="AE521" t="s" s="0">
        <v>81</v>
      </c>
      <c r="AF521" t="s" s="0">
        <v>81</v>
      </c>
      <c r="AG521" t="s" s="0">
        <v>11705</v>
      </c>
      <c r="AH521" t="s" s="0">
        <v>81</v>
      </c>
      <c r="AI521" t="s" s="0">
        <v>11706</v>
      </c>
      <c r="AJ521" t="s" s="0">
        <v>11707</v>
      </c>
      <c r="AK521" t="s" s="0">
        <v>81</v>
      </c>
      <c r="AL521" t="s" s="0">
        <v>1607</v>
      </c>
      <c r="AM521" t="s" s="0">
        <v>486</v>
      </c>
      <c r="AN521" t="s" s="0">
        <v>104</v>
      </c>
      <c r="AO521" t="s" s="0">
        <v>156</v>
      </c>
      <c r="AP521" t="s" s="0">
        <v>486</v>
      </c>
      <c r="AQ521" t="s" s="0">
        <v>6544</v>
      </c>
      <c r="AR521" t="s" s="0">
        <v>429</v>
      </c>
      <c r="AS521" t="s" s="0">
        <v>6545</v>
      </c>
      <c r="AT521" t="s" s="0">
        <v>11708</v>
      </c>
      <c r="AU521" t="s" s="0">
        <v>11709</v>
      </c>
      <c r="AV521" t="s" s="0">
        <v>81</v>
      </c>
      <c r="AW521" t="s" s="0">
        <v>11710</v>
      </c>
      <c r="AX521" t="s" s="0">
        <v>11711</v>
      </c>
      <c r="AY521" t="s" s="0">
        <v>6608</v>
      </c>
      <c r="AZ521" t="s" s="0">
        <v>260</v>
      </c>
      <c r="BA521" t="s" s="0">
        <v>174</v>
      </c>
      <c r="BB521" t="s" s="0">
        <v>175</v>
      </c>
      <c r="BC521" t="s" s="0">
        <v>81</v>
      </c>
      <c r="BD521" t="s" s="0">
        <v>81</v>
      </c>
      <c r="BE521" t="s" s="0">
        <v>81</v>
      </c>
      <c r="BF521" t="s" s="0">
        <v>81</v>
      </c>
      <c r="BG521" t="s" s="0">
        <v>11712</v>
      </c>
      <c r="BH521" t="s" s="0">
        <v>11713</v>
      </c>
      <c r="BI521" t="s" s="0">
        <v>81</v>
      </c>
      <c r="BJ521" t="s" s="0">
        <v>11714</v>
      </c>
      <c r="BK521" t="s" s="1034">
        <f>HYPERLINK("http://dx.doi.org/10.1007/s11011-023-01171-0","http://dx.doi.org/10.1007/s11011-023-01171-0")</f>
        <v>11715</v>
      </c>
      <c r="BL521" t="s" s="0">
        <v>81</v>
      </c>
      <c r="BM521" t="s" s="0">
        <v>557</v>
      </c>
      <c r="BN521" t="s" s="0">
        <v>104</v>
      </c>
      <c r="BO521" t="s" s="0">
        <v>11716</v>
      </c>
      <c r="BP521" t="s" s="0">
        <v>11717</v>
      </c>
      <c r="BQ521" t="s" s="0">
        <v>11718</v>
      </c>
      <c r="BR521" t="s" s="0">
        <v>11719</v>
      </c>
      <c r="BS521" t="s" s="0">
        <v>11720</v>
      </c>
      <c r="BT521" t="s" s="1035">
        <f>HYPERLINK("https://www.webofscience.com/wos/woscc/full-record/WOS:000936532100001","View Record in Web of Science")</f>
        <v>114</v>
      </c>
      <c r="BU521" t="s" s="0">
        <v>155</v>
      </c>
      <c r="BV521" t="s" s="0">
        <v>81</v>
      </c>
      <c r="BW521" t="s" s="0">
        <v>81</v>
      </c>
      <c r="BX521" t="s" s="0">
        <v>116</v>
      </c>
    </row>
    <row r="522">
      <c r="A522" t="s" s="0">
        <v>77</v>
      </c>
      <c r="B522" t="s" s="0">
        <v>77</v>
      </c>
      <c r="C522" t="s" s="0">
        <v>97</v>
      </c>
      <c r="D522" t="s" s="0">
        <v>77</v>
      </c>
      <c r="E522" t="s" s="0">
        <v>11721</v>
      </c>
      <c r="F522" t="s" s="0">
        <v>11722</v>
      </c>
      <c r="G522" t="s" s="0">
        <v>11723</v>
      </c>
      <c r="H522" t="s" s="0">
        <v>81</v>
      </c>
      <c r="I522" t="s" s="0">
        <v>82</v>
      </c>
      <c r="J522" t="s" s="0">
        <v>11724</v>
      </c>
      <c r="K522" t="s" s="0">
        <v>11725</v>
      </c>
      <c r="L522" t="s" s="0">
        <v>11726</v>
      </c>
      <c r="M522" t="s" s="0">
        <v>11727</v>
      </c>
      <c r="N522" t="s" s="0">
        <v>11728</v>
      </c>
      <c r="O522" t="s" s="0">
        <v>11729</v>
      </c>
      <c r="P522" t="s" s="0">
        <v>11730</v>
      </c>
      <c r="Q522" t="s" s="0">
        <v>87</v>
      </c>
      <c r="R522" t="s" s="0">
        <v>81</v>
      </c>
      <c r="S522" t="s" s="0">
        <v>81</v>
      </c>
      <c r="T522" t="s" s="0">
        <v>81</v>
      </c>
      <c r="U522" t="s" s="0">
        <v>81</v>
      </c>
      <c r="V522" t="s" s="0">
        <v>11731</v>
      </c>
      <c r="W522" t="s" s="0">
        <v>4746</v>
      </c>
      <c r="X522" t="s" s="0">
        <v>81</v>
      </c>
      <c r="Y522" t="s" s="0">
        <v>81</v>
      </c>
      <c r="Z522" t="s" s="0">
        <v>90</v>
      </c>
      <c r="AA522" t="s" s="0">
        <v>91</v>
      </c>
      <c r="AB522" t="s" s="0">
        <v>81</v>
      </c>
      <c r="AC522" t="s" s="0">
        <v>81</v>
      </c>
      <c r="AD522" t="s" s="0">
        <v>81</v>
      </c>
      <c r="AE522" t="s" s="0">
        <v>81</v>
      </c>
      <c r="AF522" t="s" s="0">
        <v>81</v>
      </c>
      <c r="AG522" t="s" s="0">
        <v>11732</v>
      </c>
      <c r="AH522" t="s" s="0">
        <v>11733</v>
      </c>
      <c r="AI522" t="s" s="0">
        <v>81</v>
      </c>
      <c r="AJ522" t="s" s="0">
        <v>81</v>
      </c>
      <c r="AK522" t="s" s="0">
        <v>81</v>
      </c>
      <c r="AL522" t="s" s="0">
        <v>174</v>
      </c>
      <c r="AM522" t="s" s="0">
        <v>97</v>
      </c>
      <c r="AN522" t="s" s="0">
        <v>97</v>
      </c>
      <c r="AO522" t="s" s="0">
        <v>234</v>
      </c>
      <c r="AP522" t="s" s="0">
        <v>211</v>
      </c>
      <c r="AQ522" t="s" s="0">
        <v>3734</v>
      </c>
      <c r="AR522" t="s" s="0">
        <v>604</v>
      </c>
      <c r="AS522" t="s" s="0">
        <v>3735</v>
      </c>
      <c r="AT522" t="s" s="0">
        <v>4750</v>
      </c>
      <c r="AU522" t="s" s="0">
        <v>4751</v>
      </c>
      <c r="AV522" t="s" s="0">
        <v>81</v>
      </c>
      <c r="AW522" t="s" s="0">
        <v>4746</v>
      </c>
      <c r="AX522" t="s" s="0">
        <v>4752</v>
      </c>
      <c r="AY522" t="s" s="0">
        <v>5378</v>
      </c>
      <c r="AZ522" t="s" s="0">
        <v>290</v>
      </c>
      <c r="BA522" t="s" s="0">
        <v>4754</v>
      </c>
      <c r="BB522" t="s" s="0">
        <v>343</v>
      </c>
      <c r="BC522" t="s" s="0">
        <v>81</v>
      </c>
      <c r="BD522" t="s" s="0">
        <v>81</v>
      </c>
      <c r="BE522" t="s" s="0">
        <v>81</v>
      </c>
      <c r="BF522" t="s" s="0">
        <v>81</v>
      </c>
      <c r="BG522" t="s" s="0">
        <v>81</v>
      </c>
      <c r="BH522" t="s" s="0">
        <v>81</v>
      </c>
      <c r="BI522" t="s" s="0">
        <v>11734</v>
      </c>
      <c r="BJ522" t="s" s="0">
        <v>11735</v>
      </c>
      <c r="BK522" t="s" s="1036">
        <f>HYPERLINK("http://dx.doi.org/10.1097/MD.0000000000046015","http://dx.doi.org/10.1097/MD.0000000000046015")</f>
        <v>11736</v>
      </c>
      <c r="BL522" t="s" s="0">
        <v>81</v>
      </c>
      <c r="BM522" t="s" s="0">
        <v>81</v>
      </c>
      <c r="BN522" t="s" s="0">
        <v>134</v>
      </c>
      <c r="BO522" t="s" s="0">
        <v>296</v>
      </c>
      <c r="BP522" t="s" s="0">
        <v>297</v>
      </c>
      <c r="BQ522" t="s" s="0">
        <v>11737</v>
      </c>
      <c r="BR522" t="s" s="0">
        <v>11738</v>
      </c>
      <c r="BS522" t="s" s="0">
        <v>11739</v>
      </c>
      <c r="BT522" t="s" s="1037">
        <f>HYPERLINK("https://www.webofscience.com/wos/woscc/full-record/WOS:001616253000020","View Record in Web of Science")</f>
        <v>114</v>
      </c>
      <c r="BU522" t="s" s="0">
        <v>301</v>
      </c>
      <c r="BV522" t="s" s="0">
        <v>81</v>
      </c>
      <c r="BW522" t="s" s="0">
        <v>81</v>
      </c>
      <c r="BX522" t="s" s="0">
        <v>116</v>
      </c>
    </row>
    <row r="523">
      <c r="A523" t="s" s="0">
        <v>77</v>
      </c>
      <c r="B523" t="s" s="0">
        <v>77</v>
      </c>
      <c r="C523" t="s" s="0">
        <v>97</v>
      </c>
      <c r="D523" t="s" s="0">
        <v>77</v>
      </c>
      <c r="E523" t="s" s="0">
        <v>11740</v>
      </c>
      <c r="F523" t="s" s="0">
        <v>11741</v>
      </c>
      <c r="G523" t="s" s="0">
        <v>11742</v>
      </c>
      <c r="H523" t="s" s="0">
        <v>81</v>
      </c>
      <c r="I523" t="s" s="0">
        <v>82</v>
      </c>
      <c r="J523" t="s" s="0">
        <v>11743</v>
      </c>
      <c r="K523" t="s" s="0">
        <v>11744</v>
      </c>
      <c r="L523" t="s" s="0">
        <v>11745</v>
      </c>
      <c r="M523" t="s" s="0">
        <v>11746</v>
      </c>
      <c r="N523" t="s" s="0">
        <v>11747</v>
      </c>
      <c r="O523" t="s" s="0">
        <v>11748</v>
      </c>
      <c r="P523" t="s" s="0">
        <v>11749</v>
      </c>
      <c r="Q523" t="s" s="0">
        <v>87</v>
      </c>
      <c r="R523" t="s" s="0">
        <v>81</v>
      </c>
      <c r="S523" t="s" s="0">
        <v>81</v>
      </c>
      <c r="T523" t="s" s="0">
        <v>81</v>
      </c>
      <c r="U523" t="s" s="0">
        <v>81</v>
      </c>
      <c r="V523" t="s" s="0">
        <v>11750</v>
      </c>
      <c r="W523" t="s" s="0">
        <v>9402</v>
      </c>
      <c r="X523" t="s" s="0">
        <v>81</v>
      </c>
      <c r="Y523" t="s" s="0">
        <v>81</v>
      </c>
      <c r="Z523" t="s" s="0">
        <v>90</v>
      </c>
      <c r="AA523" t="s" s="0">
        <v>91</v>
      </c>
      <c r="AB523" t="s" s="0">
        <v>81</v>
      </c>
      <c r="AC523" t="s" s="0">
        <v>81</v>
      </c>
      <c r="AD523" t="s" s="0">
        <v>81</v>
      </c>
      <c r="AE523" t="s" s="0">
        <v>81</v>
      </c>
      <c r="AF523" t="s" s="0">
        <v>81</v>
      </c>
      <c r="AG523" t="s" s="0">
        <v>11751</v>
      </c>
      <c r="AH523" t="s" s="0">
        <v>11752</v>
      </c>
      <c r="AI523" t="s" s="0">
        <v>11753</v>
      </c>
      <c r="AJ523" t="s" s="0">
        <v>11754</v>
      </c>
      <c r="AK523" t="s" s="0">
        <v>81</v>
      </c>
      <c r="AL523" t="s" s="0">
        <v>2447</v>
      </c>
      <c r="AM523" t="s" s="0">
        <v>234</v>
      </c>
      <c r="AN523" t="s" s="0">
        <v>381</v>
      </c>
      <c r="AO523" t="s" s="0">
        <v>97</v>
      </c>
      <c r="AP523" t="s" s="0">
        <v>175</v>
      </c>
      <c r="AQ523" t="s" s="0">
        <v>1654</v>
      </c>
      <c r="AR523" t="s" s="0">
        <v>1345</v>
      </c>
      <c r="AS523" t="s" s="0">
        <v>1655</v>
      </c>
      <c r="AT523" t="s" s="0">
        <v>9406</v>
      </c>
      <c r="AU523" t="s" s="0">
        <v>9407</v>
      </c>
      <c r="AV523" t="s" s="0">
        <v>81</v>
      </c>
      <c r="AW523" t="s" s="0">
        <v>9408</v>
      </c>
      <c r="AX523" t="s" s="0">
        <v>9409</v>
      </c>
      <c r="AY523" t="s" s="0">
        <v>1743</v>
      </c>
      <c r="AZ523" t="s" s="0">
        <v>290</v>
      </c>
      <c r="BA523" t="s" s="0">
        <v>228</v>
      </c>
      <c r="BB523" t="s" s="0">
        <v>316</v>
      </c>
      <c r="BC523" t="s" s="0">
        <v>81</v>
      </c>
      <c r="BD523" t="s" s="0">
        <v>81</v>
      </c>
      <c r="BE523" t="s" s="0">
        <v>81</v>
      </c>
      <c r="BF523" t="s" s="0">
        <v>81</v>
      </c>
      <c r="BG523" t="s" s="0">
        <v>81</v>
      </c>
      <c r="BH523" t="s" s="0">
        <v>81</v>
      </c>
      <c r="BI523" t="s" s="0">
        <v>11755</v>
      </c>
      <c r="BJ523" t="s" s="0">
        <v>11756</v>
      </c>
      <c r="BK523" t="s" s="1038">
        <f>HYPERLINK("http://dx.doi.org/10.1093/bib/bbaf623","http://dx.doi.org/10.1093/bib/bbaf623")</f>
        <v>11757</v>
      </c>
      <c r="BL523" t="s" s="0">
        <v>81</v>
      </c>
      <c r="BM523" t="s" s="0">
        <v>81</v>
      </c>
      <c r="BN523" t="s" s="0">
        <v>291</v>
      </c>
      <c r="BO523" t="s" s="0">
        <v>9413</v>
      </c>
      <c r="BP523" t="s" s="0">
        <v>9414</v>
      </c>
      <c r="BQ523" t="s" s="0">
        <v>11758</v>
      </c>
      <c r="BR523" t="s" s="0">
        <v>11759</v>
      </c>
      <c r="BS523" t="s" s="0">
        <v>11760</v>
      </c>
      <c r="BT523" t="s" s="1039">
        <f>HYPERLINK("https://www.webofscience.com/wos/woscc/full-record/WOS:001627604300001","View Record in Web of Science")</f>
        <v>114</v>
      </c>
      <c r="BU523" t="s" s="0">
        <v>301</v>
      </c>
      <c r="BV523" t="s" s="0">
        <v>81</v>
      </c>
      <c r="BW523" t="s" s="0">
        <v>81</v>
      </c>
      <c r="BX523" t="s" s="0">
        <v>116</v>
      </c>
    </row>
    <row r="524">
      <c r="A524" t="s" s="0">
        <v>156</v>
      </c>
      <c r="B524" t="s" s="0">
        <v>77</v>
      </c>
      <c r="C524" t="s" s="0">
        <v>234</v>
      </c>
      <c r="D524" t="s" s="0">
        <v>77</v>
      </c>
      <c r="E524" t="s" s="0">
        <v>11761</v>
      </c>
      <c r="F524" t="s" s="0">
        <v>11762</v>
      </c>
      <c r="G524" t="s" s="0">
        <v>11763</v>
      </c>
      <c r="H524" t="s" s="0">
        <v>81</v>
      </c>
      <c r="I524" t="s" s="0">
        <v>82</v>
      </c>
      <c r="J524" t="s" s="0">
        <v>11764</v>
      </c>
      <c r="K524" t="s" s="0">
        <v>11765</v>
      </c>
      <c r="L524" t="s" s="0">
        <v>11766</v>
      </c>
      <c r="M524" t="s" s="0">
        <v>11767</v>
      </c>
      <c r="N524" t="s" s="0">
        <v>11768</v>
      </c>
      <c r="O524" t="s" s="0">
        <v>11769</v>
      </c>
      <c r="P524" t="s" s="0">
        <v>11770</v>
      </c>
      <c r="Q524" t="s" s="0">
        <v>87</v>
      </c>
      <c r="R524" t="s" s="0">
        <v>81</v>
      </c>
      <c r="S524" t="s" s="0">
        <v>81</v>
      </c>
      <c r="T524" t="s" s="0">
        <v>81</v>
      </c>
      <c r="U524" t="s" s="0">
        <v>81</v>
      </c>
      <c r="V524" t="s" s="0">
        <v>11771</v>
      </c>
      <c r="W524" t="s" s="0">
        <v>4424</v>
      </c>
      <c r="X524" t="s" s="0">
        <v>81</v>
      </c>
      <c r="Y524" t="s" s="0">
        <v>81</v>
      </c>
      <c r="Z524" t="s" s="0">
        <v>90</v>
      </c>
      <c r="AA524" t="s" s="0">
        <v>91</v>
      </c>
      <c r="AB524" t="s" s="0">
        <v>81</v>
      </c>
      <c r="AC524" t="s" s="0">
        <v>81</v>
      </c>
      <c r="AD524" t="s" s="0">
        <v>81</v>
      </c>
      <c r="AE524" t="s" s="0">
        <v>81</v>
      </c>
      <c r="AF524" t="s" s="0">
        <v>81</v>
      </c>
      <c r="AG524" t="s" s="0">
        <v>81</v>
      </c>
      <c r="AH524" t="s" s="0">
        <v>11772</v>
      </c>
      <c r="AI524" t="s" s="0">
        <v>11773</v>
      </c>
      <c r="AJ524" t="s" s="0">
        <v>11774</v>
      </c>
      <c r="AK524" t="s" s="0">
        <v>81</v>
      </c>
      <c r="AL524" t="s" s="0">
        <v>664</v>
      </c>
      <c r="AM524" t="s" s="0">
        <v>3518</v>
      </c>
      <c r="AN524" t="s" s="0">
        <v>696</v>
      </c>
      <c r="AO524" t="s" s="0">
        <v>381</v>
      </c>
      <c r="AP524" t="s" s="0">
        <v>253</v>
      </c>
      <c r="AQ524" t="s" s="0">
        <v>915</v>
      </c>
      <c r="AR524" t="s" s="0">
        <v>916</v>
      </c>
      <c r="AS524" t="s" s="0">
        <v>917</v>
      </c>
      <c r="AT524" t="s" s="0">
        <v>4426</v>
      </c>
      <c r="AU524" t="s" s="0">
        <v>81</v>
      </c>
      <c r="AV524" t="s" s="0">
        <v>81</v>
      </c>
      <c r="AW524" t="s" s="0">
        <v>4427</v>
      </c>
      <c r="AX524" t="s" s="0">
        <v>4428</v>
      </c>
      <c r="AY524" t="s" s="0">
        <v>11775</v>
      </c>
      <c r="AZ524" t="s" s="0">
        <v>185</v>
      </c>
      <c r="BA524" t="s" s="0">
        <v>234</v>
      </c>
      <c r="BB524" t="s" s="0">
        <v>97</v>
      </c>
      <c r="BC524" t="s" s="0">
        <v>81</v>
      </c>
      <c r="BD524" t="s" s="0">
        <v>81</v>
      </c>
      <c r="BE524" t="s" s="0">
        <v>81</v>
      </c>
      <c r="BF524" t="s" s="0">
        <v>81</v>
      </c>
      <c r="BG524" t="s" s="0">
        <v>81</v>
      </c>
      <c r="BH524" t="s" s="0">
        <v>81</v>
      </c>
      <c r="BI524" t="s" s="0">
        <v>11506</v>
      </c>
      <c r="BJ524" t="s" s="0">
        <v>11776</v>
      </c>
      <c r="BK524" t="s" s="1040">
        <f>HYPERLINK("http://dx.doi.org/10.1038/s41746-024-01292-5","http://dx.doi.org/10.1038/s41746-024-01292-5")</f>
        <v>11777</v>
      </c>
      <c r="BL524" t="s" s="0">
        <v>81</v>
      </c>
      <c r="BM524" t="s" s="0">
        <v>81</v>
      </c>
      <c r="BN524" t="s" s="0">
        <v>291</v>
      </c>
      <c r="BO524" t="s" s="0">
        <v>792</v>
      </c>
      <c r="BP524" t="s" s="0">
        <v>792</v>
      </c>
      <c r="BQ524" t="s" s="0">
        <v>11778</v>
      </c>
      <c r="BR524" t="s" s="0">
        <v>11779</v>
      </c>
      <c r="BS524" t="s" s="0">
        <v>11780</v>
      </c>
      <c r="BT524" t="s" s="1041">
        <f>HYPERLINK("https://www.webofscience.com/wos/woscc/full-record/WOS:001336299800001","View Record in Web of Science")</f>
        <v>114</v>
      </c>
      <c r="BU524" t="s" s="0">
        <v>7102</v>
      </c>
      <c r="BV524" t="s" s="0">
        <v>81</v>
      </c>
      <c r="BW524" t="s" s="0">
        <v>81</v>
      </c>
      <c r="BX524" t="s" s="0">
        <v>116</v>
      </c>
    </row>
    <row r="525">
      <c r="A525" t="s" s="0">
        <v>77</v>
      </c>
      <c r="B525" t="s" s="0">
        <v>77</v>
      </c>
      <c r="C525" t="s" s="0">
        <v>77</v>
      </c>
      <c r="D525" t="s" s="0">
        <v>77</v>
      </c>
      <c r="E525" t="s" s="0">
        <v>11781</v>
      </c>
      <c r="F525" t="s" s="0">
        <v>11782</v>
      </c>
      <c r="G525" t="s" s="0">
        <v>11783</v>
      </c>
      <c r="H525" t="s" s="0">
        <v>81</v>
      </c>
      <c r="I525" t="s" s="0">
        <v>82</v>
      </c>
      <c r="J525" t="s" s="0">
        <v>11784</v>
      </c>
      <c r="K525" t="s" s="0">
        <v>11785</v>
      </c>
      <c r="L525" t="s" s="0">
        <v>81</v>
      </c>
      <c r="M525" t="s" s="0">
        <v>81</v>
      </c>
      <c r="N525" t="s" s="0">
        <v>81</v>
      </c>
      <c r="O525" t="s" s="0">
        <v>11786</v>
      </c>
      <c r="P525" t="s" s="0">
        <v>11787</v>
      </c>
      <c r="Q525" t="s" s="0">
        <v>87</v>
      </c>
      <c r="R525" t="s" s="0">
        <v>81</v>
      </c>
      <c r="S525" t="s" s="0">
        <v>81</v>
      </c>
      <c r="T525" t="s" s="0">
        <v>81</v>
      </c>
      <c r="U525" t="s" s="0">
        <v>81</v>
      </c>
      <c r="V525" t="s" s="0">
        <v>11788</v>
      </c>
      <c r="W525" t="s" s="0">
        <v>3058</v>
      </c>
      <c r="X525" t="s" s="0">
        <v>81</v>
      </c>
      <c r="Y525" t="s" s="0">
        <v>81</v>
      </c>
      <c r="Z525" t="s" s="0">
        <v>90</v>
      </c>
      <c r="AA525" t="s" s="0">
        <v>91</v>
      </c>
      <c r="AB525" t="s" s="0">
        <v>81</v>
      </c>
      <c r="AC525" t="s" s="0">
        <v>81</v>
      </c>
      <c r="AD525" t="s" s="0">
        <v>81</v>
      </c>
      <c r="AE525" t="s" s="0">
        <v>81</v>
      </c>
      <c r="AF525" t="s" s="0">
        <v>81</v>
      </c>
      <c r="AG525" t="s" s="0">
        <v>11789</v>
      </c>
      <c r="AH525" t="s" s="0">
        <v>81</v>
      </c>
      <c r="AI525" t="s" s="0">
        <v>11790</v>
      </c>
      <c r="AJ525" t="s" s="0">
        <v>81</v>
      </c>
      <c r="AK525" t="s" s="0">
        <v>81</v>
      </c>
      <c r="AL525" t="s" s="0">
        <v>211</v>
      </c>
      <c r="AM525" t="s" s="0">
        <v>77</v>
      </c>
      <c r="AN525" t="s" s="0">
        <v>77</v>
      </c>
      <c r="AO525" t="s" s="0">
        <v>156</v>
      </c>
      <c r="AP525" t="s" s="0">
        <v>156</v>
      </c>
      <c r="AQ525" t="s" s="0">
        <v>3061</v>
      </c>
      <c r="AR525" t="s" s="0">
        <v>3062</v>
      </c>
      <c r="AS525" t="s" s="0">
        <v>3063</v>
      </c>
      <c r="AT525" t="s" s="0">
        <v>3064</v>
      </c>
      <c r="AU525" t="s" s="0">
        <v>3065</v>
      </c>
      <c r="AV525" t="s" s="0">
        <v>81</v>
      </c>
      <c r="AW525" t="s" s="0">
        <v>3066</v>
      </c>
      <c r="AX525" t="s" s="0">
        <v>3067</v>
      </c>
      <c r="AY525" t="s" s="0">
        <v>10851</v>
      </c>
      <c r="AZ525" t="s" s="0">
        <v>103</v>
      </c>
      <c r="BA525" t="s" s="0">
        <v>176</v>
      </c>
      <c r="BB525" t="s" s="0">
        <v>81</v>
      </c>
      <c r="BC525" t="s" s="0">
        <v>81</v>
      </c>
      <c r="BD525" t="s" s="0">
        <v>81</v>
      </c>
      <c r="BE525" t="s" s="0">
        <v>81</v>
      </c>
      <c r="BF525" t="s" s="0">
        <v>81</v>
      </c>
      <c r="BG525" t="s" s="0">
        <v>81</v>
      </c>
      <c r="BH525" t="s" s="0">
        <v>81</v>
      </c>
      <c r="BI525" t="s" s="0">
        <v>11791</v>
      </c>
      <c r="BJ525" t="s" s="0">
        <v>11792</v>
      </c>
      <c r="BK525" t="s" s="1042">
        <f>HYPERLINK("http://dx.doi.org/10.2196/97859","http://dx.doi.org/10.2196/97859")</f>
        <v>11793</v>
      </c>
      <c r="BL525" t="s" s="0">
        <v>81</v>
      </c>
      <c r="BM525" t="s" s="0">
        <v>81</v>
      </c>
      <c r="BN525" t="s" s="0">
        <v>175</v>
      </c>
      <c r="BO525" t="s" s="0">
        <v>792</v>
      </c>
      <c r="BP525" t="s" s="0">
        <v>792</v>
      </c>
      <c r="BQ525" t="s" s="0">
        <v>11794</v>
      </c>
      <c r="BR525" t="s" s="0">
        <v>11795</v>
      </c>
      <c r="BS525" t="s" s="0">
        <v>11796</v>
      </c>
      <c r="BT525" t="s" s="1043">
        <f>HYPERLINK("https://www.webofscience.com/wos/woscc/full-record/WOS:001793446800002","View Record in Web of Science")</f>
        <v>114</v>
      </c>
      <c r="BU525" t="s" s="0">
        <v>301</v>
      </c>
      <c r="BV525" t="s" s="0">
        <v>81</v>
      </c>
      <c r="BW525" t="s" s="0">
        <v>81</v>
      </c>
      <c r="BX525" t="s" s="0">
        <v>116</v>
      </c>
    </row>
    <row r="526">
      <c r="A526" t="s" s="0">
        <v>77</v>
      </c>
      <c r="B526" t="s" s="0">
        <v>77</v>
      </c>
      <c r="C526" t="s" s="0">
        <v>381</v>
      </c>
      <c r="D526" t="s" s="0">
        <v>77</v>
      </c>
      <c r="E526" t="s" s="0">
        <v>11797</v>
      </c>
      <c r="F526" t="s" s="0">
        <v>11798</v>
      </c>
      <c r="G526" t="s" s="0">
        <v>11799</v>
      </c>
      <c r="H526" t="s" s="0">
        <v>81</v>
      </c>
      <c r="I526" t="s" s="0">
        <v>238</v>
      </c>
      <c r="J526" t="s" s="0">
        <v>11800</v>
      </c>
      <c r="K526" t="s" s="0">
        <v>11801</v>
      </c>
      <c r="L526" t="s" s="0">
        <v>81</v>
      </c>
      <c r="M526" t="s" s="0">
        <v>81</v>
      </c>
      <c r="N526" t="s" s="0">
        <v>81</v>
      </c>
      <c r="O526" t="s" s="0">
        <v>11802</v>
      </c>
      <c r="P526" t="s" s="0">
        <v>11803</v>
      </c>
      <c r="Q526" t="s" s="0">
        <v>87</v>
      </c>
      <c r="R526" t="s" s="0">
        <v>81</v>
      </c>
      <c r="S526" t="s" s="0">
        <v>81</v>
      </c>
      <c r="T526" t="s" s="0">
        <v>81</v>
      </c>
      <c r="U526" t="s" s="0">
        <v>81</v>
      </c>
      <c r="V526" t="s" s="0">
        <v>11804</v>
      </c>
      <c r="W526" t="s" s="0">
        <v>10000</v>
      </c>
      <c r="X526" t="s" s="0">
        <v>81</v>
      </c>
      <c r="Y526" t="s" s="0">
        <v>81</v>
      </c>
      <c r="Z526" t="s" s="0">
        <v>90</v>
      </c>
      <c r="AA526" t="s" s="0">
        <v>91</v>
      </c>
      <c r="AB526" t="s" s="0">
        <v>81</v>
      </c>
      <c r="AC526" t="s" s="0">
        <v>81</v>
      </c>
      <c r="AD526" t="s" s="0">
        <v>81</v>
      </c>
      <c r="AE526" t="s" s="0">
        <v>81</v>
      </c>
      <c r="AF526" t="s" s="0">
        <v>81</v>
      </c>
      <c r="AG526" t="s" s="0">
        <v>11805</v>
      </c>
      <c r="AH526" t="s" s="0">
        <v>11806</v>
      </c>
      <c r="AI526" t="s" s="0">
        <v>11807</v>
      </c>
      <c r="AJ526" t="s" s="0">
        <v>11808</v>
      </c>
      <c r="AK526" t="s" s="0">
        <v>81</v>
      </c>
      <c r="AL526" t="s" s="0">
        <v>543</v>
      </c>
      <c r="AM526" t="s" s="0">
        <v>252</v>
      </c>
      <c r="AN526" t="s" s="0">
        <v>174</v>
      </c>
      <c r="AO526" t="s" s="0">
        <v>97</v>
      </c>
      <c r="AP526" t="s" s="0">
        <v>381</v>
      </c>
      <c r="AQ526" t="s" s="0">
        <v>284</v>
      </c>
      <c r="AR526" t="s" s="0">
        <v>285</v>
      </c>
      <c r="AS526" t="s" s="0">
        <v>317</v>
      </c>
      <c r="AT526" t="s" s="0">
        <v>81</v>
      </c>
      <c r="AU526" t="s" s="0">
        <v>10004</v>
      </c>
      <c r="AV526" t="s" s="0">
        <v>81</v>
      </c>
      <c r="AW526" t="s" s="0">
        <v>10000</v>
      </c>
      <c r="AX526" t="s" s="0">
        <v>10005</v>
      </c>
      <c r="AY526" t="s" s="0">
        <v>2577</v>
      </c>
      <c r="AZ526" t="s" s="0">
        <v>260</v>
      </c>
      <c r="BA526" t="s" s="0">
        <v>191</v>
      </c>
      <c r="BB526" t="s" s="0">
        <v>133</v>
      </c>
      <c r="BC526" t="s" s="0">
        <v>81</v>
      </c>
      <c r="BD526" t="s" s="0">
        <v>81</v>
      </c>
      <c r="BE526" t="s" s="0">
        <v>81</v>
      </c>
      <c r="BF526" t="s" s="0">
        <v>81</v>
      </c>
      <c r="BG526" t="s" s="0">
        <v>81</v>
      </c>
      <c r="BH526" t="s" s="0">
        <v>81</v>
      </c>
      <c r="BI526" t="s" s="0">
        <v>4125</v>
      </c>
      <c r="BJ526" t="s" s="0">
        <v>11809</v>
      </c>
      <c r="BK526" t="s" s="1044">
        <f>HYPERLINK("http://dx.doi.org/10.3390/technologies11050134","http://dx.doi.org/10.3390/technologies11050134")</f>
        <v>11810</v>
      </c>
      <c r="BL526" t="s" s="0">
        <v>81</v>
      </c>
      <c r="BM526" t="s" s="0">
        <v>81</v>
      </c>
      <c r="BN526" t="s" s="0">
        <v>399</v>
      </c>
      <c r="BO526" t="s" s="0">
        <v>1002</v>
      </c>
      <c r="BP526" t="s" s="0">
        <v>1003</v>
      </c>
      <c r="BQ526" t="s" s="0">
        <v>11811</v>
      </c>
      <c r="BR526" t="s" s="0">
        <v>81</v>
      </c>
      <c r="BS526" t="s" s="0">
        <v>11812</v>
      </c>
      <c r="BT526" t="s" s="1045">
        <f>HYPERLINK("https://www.webofscience.com/wos/woscc/full-record/WOS:001089993000001","View Record in Web of Science")</f>
        <v>114</v>
      </c>
      <c r="BU526" t="s" s="0">
        <v>6488</v>
      </c>
      <c r="BV526" t="s" s="0">
        <v>81</v>
      </c>
      <c r="BW526" t="s" s="0">
        <v>81</v>
      </c>
      <c r="BX526" t="s" s="0">
        <v>116</v>
      </c>
    </row>
    <row r="527">
      <c r="A527" t="s" s="0">
        <v>77</v>
      </c>
      <c r="B527" t="s" s="0">
        <v>77</v>
      </c>
      <c r="C527" t="s" s="0">
        <v>77</v>
      </c>
      <c r="D527" t="s" s="0">
        <v>77</v>
      </c>
      <c r="E527" t="s" s="0">
        <v>11813</v>
      </c>
      <c r="F527" t="s" s="0">
        <v>11814</v>
      </c>
      <c r="G527" t="s" s="0">
        <v>11815</v>
      </c>
      <c r="H527" t="s" s="0">
        <v>81</v>
      </c>
      <c r="I527" t="s" s="0">
        <v>82</v>
      </c>
      <c r="J527" t="s" s="0">
        <v>11816</v>
      </c>
      <c r="K527" t="s" s="0">
        <v>11817</v>
      </c>
      <c r="L527" t="s" s="0">
        <v>11818</v>
      </c>
      <c r="M527" t="s" s="0">
        <v>11819</v>
      </c>
      <c r="N527" t="s" s="0">
        <v>11820</v>
      </c>
      <c r="O527" t="s" s="0">
        <v>11821</v>
      </c>
      <c r="P527" t="s" s="0">
        <v>11822</v>
      </c>
      <c r="Q527" t="s" s="0">
        <v>87</v>
      </c>
      <c r="R527" t="s" s="0">
        <v>81</v>
      </c>
      <c r="S527" t="s" s="0">
        <v>81</v>
      </c>
      <c r="T527" t="s" s="0">
        <v>81</v>
      </c>
      <c r="U527" t="s" s="0">
        <v>81</v>
      </c>
      <c r="V527" t="s" s="0">
        <v>11823</v>
      </c>
      <c r="W527" t="s" s="0">
        <v>4424</v>
      </c>
      <c r="X527" t="s" s="0">
        <v>81</v>
      </c>
      <c r="Y527" t="s" s="0">
        <v>81</v>
      </c>
      <c r="Z527" t="s" s="0">
        <v>90</v>
      </c>
      <c r="AA527" t="s" s="0">
        <v>91</v>
      </c>
      <c r="AB527" t="s" s="0">
        <v>81</v>
      </c>
      <c r="AC527" t="s" s="0">
        <v>81</v>
      </c>
      <c r="AD527" t="s" s="0">
        <v>81</v>
      </c>
      <c r="AE527" t="s" s="0">
        <v>81</v>
      </c>
      <c r="AF527" t="s" s="0">
        <v>81</v>
      </c>
      <c r="AG527" t="s" s="0">
        <v>81</v>
      </c>
      <c r="AH527" t="s" s="0">
        <v>4100</v>
      </c>
      <c r="AI527" t="s" s="0">
        <v>81</v>
      </c>
      <c r="AJ527" t="s" s="0">
        <v>81</v>
      </c>
      <c r="AK527" t="s" s="0">
        <v>81</v>
      </c>
      <c r="AL527" t="s" s="0">
        <v>5626</v>
      </c>
      <c r="AM527" t="s" s="0">
        <v>77</v>
      </c>
      <c r="AN527" t="s" s="0">
        <v>77</v>
      </c>
      <c r="AO527" t="s" s="0">
        <v>77</v>
      </c>
      <c r="AP527" t="s" s="0">
        <v>77</v>
      </c>
      <c r="AQ527" t="s" s="0">
        <v>915</v>
      </c>
      <c r="AR527" t="s" s="0">
        <v>916</v>
      </c>
      <c r="AS527" t="s" s="0">
        <v>917</v>
      </c>
      <c r="AT527" t="s" s="0">
        <v>4426</v>
      </c>
      <c r="AU527" t="s" s="0">
        <v>81</v>
      </c>
      <c r="AV527" t="s" s="0">
        <v>81</v>
      </c>
      <c r="AW527" t="s" s="0">
        <v>4427</v>
      </c>
      <c r="AX527" t="s" s="0">
        <v>4428</v>
      </c>
      <c r="AY527" t="s" s="0">
        <v>11824</v>
      </c>
      <c r="AZ527" t="s" s="0">
        <v>103</v>
      </c>
      <c r="BA527" t="s" s="0">
        <v>261</v>
      </c>
      <c r="BB527" t="s" s="0">
        <v>97</v>
      </c>
      <c r="BC527" t="s" s="0">
        <v>81</v>
      </c>
      <c r="BD527" t="s" s="0">
        <v>81</v>
      </c>
      <c r="BE527" t="s" s="0">
        <v>81</v>
      </c>
      <c r="BF527" t="s" s="0">
        <v>81</v>
      </c>
      <c r="BG527" t="s" s="0">
        <v>81</v>
      </c>
      <c r="BH527" t="s" s="0">
        <v>81</v>
      </c>
      <c r="BI527" t="s" s="0">
        <v>11825</v>
      </c>
      <c r="BJ527" t="s" s="0">
        <v>11826</v>
      </c>
      <c r="BK527" t="s" s="1046">
        <f>HYPERLINK("http://dx.doi.org/10.1038/s41746-026-02689-0","http://dx.doi.org/10.1038/s41746-026-02689-0")</f>
        <v>11827</v>
      </c>
      <c r="BL527" t="s" s="0">
        <v>81</v>
      </c>
      <c r="BM527" t="s" s="0">
        <v>675</v>
      </c>
      <c r="BN527" t="s" s="0">
        <v>486</v>
      </c>
      <c r="BO527" t="s" s="0">
        <v>792</v>
      </c>
      <c r="BP527" t="s" s="0">
        <v>792</v>
      </c>
      <c r="BQ527" t="s" s="0">
        <v>11828</v>
      </c>
      <c r="BR527" t="s" s="0">
        <v>11829</v>
      </c>
      <c r="BS527" t="s" s="0">
        <v>11830</v>
      </c>
      <c r="BT527" t="s" s="1047">
        <f>HYPERLINK("https://www.webofscience.com/wos/woscc/full-record/WOS:001820512000001","View Record in Web of Science")</f>
        <v>114</v>
      </c>
      <c r="BU527" t="s" s="0">
        <v>301</v>
      </c>
      <c r="BV527" t="s" s="0">
        <v>81</v>
      </c>
      <c r="BW527" t="s" s="0">
        <v>81</v>
      </c>
      <c r="BX527" t="s" s="0">
        <v>116</v>
      </c>
    </row>
    <row r="528">
      <c r="A528" t="s" s="0">
        <v>77</v>
      </c>
      <c r="B528" t="s" s="0">
        <v>77</v>
      </c>
      <c r="C528" t="s" s="0">
        <v>77</v>
      </c>
      <c r="D528" t="s" s="0">
        <v>77</v>
      </c>
      <c r="E528" t="s" s="0">
        <v>11831</v>
      </c>
      <c r="F528" t="s" s="0">
        <v>11832</v>
      </c>
      <c r="G528" t="s" s="0">
        <v>11833</v>
      </c>
      <c r="H528" t="s" s="0">
        <v>81</v>
      </c>
      <c r="I528" t="s" s="0">
        <v>238</v>
      </c>
      <c r="J528" t="s" s="0">
        <v>11834</v>
      </c>
      <c r="K528" t="s" s="0">
        <v>11835</v>
      </c>
      <c r="L528" t="s" s="0">
        <v>11836</v>
      </c>
      <c r="M528" t="s" s="0">
        <v>11836</v>
      </c>
      <c r="N528" t="s" s="0">
        <v>11837</v>
      </c>
      <c r="O528" t="s" s="0">
        <v>11838</v>
      </c>
      <c r="P528" t="s" s="0">
        <v>11839</v>
      </c>
      <c r="Q528" t="s" s="0">
        <v>87</v>
      </c>
      <c r="R528" t="s" s="0">
        <v>81</v>
      </c>
      <c r="S528" t="s" s="0">
        <v>81</v>
      </c>
      <c r="T528" t="s" s="0">
        <v>81</v>
      </c>
      <c r="U528" t="s" s="0">
        <v>81</v>
      </c>
      <c r="V528" t="s" s="0">
        <v>11840</v>
      </c>
      <c r="W528" t="s" s="0">
        <v>11841</v>
      </c>
      <c r="X528" t="s" s="0">
        <v>81</v>
      </c>
      <c r="Y528" t="s" s="0">
        <v>81</v>
      </c>
      <c r="Z528" t="s" s="0">
        <v>90</v>
      </c>
      <c r="AA528" t="s" s="0">
        <v>1581</v>
      </c>
      <c r="AB528" t="s" s="0">
        <v>81</v>
      </c>
      <c r="AC528" t="s" s="0">
        <v>81</v>
      </c>
      <c r="AD528" t="s" s="0">
        <v>81</v>
      </c>
      <c r="AE528" t="s" s="0">
        <v>81</v>
      </c>
      <c r="AF528" t="s" s="0">
        <v>81</v>
      </c>
      <c r="AG528" t="s" s="0">
        <v>11842</v>
      </c>
      <c r="AH528" t="s" s="0">
        <v>11843</v>
      </c>
      <c r="AI528" t="s" s="0">
        <v>81</v>
      </c>
      <c r="AJ528" t="s" s="0">
        <v>81</v>
      </c>
      <c r="AK528" t="s" s="0">
        <v>81</v>
      </c>
      <c r="AL528" t="s" s="0">
        <v>3984</v>
      </c>
      <c r="AM528" t="s" s="0">
        <v>77</v>
      </c>
      <c r="AN528" t="s" s="0">
        <v>77</v>
      </c>
      <c r="AO528" t="s" s="0">
        <v>77</v>
      </c>
      <c r="AP528" t="s" s="0">
        <v>77</v>
      </c>
      <c r="AQ528" t="s" s="0">
        <v>1809</v>
      </c>
      <c r="AR528" t="s" s="0">
        <v>1810</v>
      </c>
      <c r="AS528" t="s" s="0">
        <v>1811</v>
      </c>
      <c r="AT528" t="s" s="0">
        <v>11844</v>
      </c>
      <c r="AU528" t="s" s="0">
        <v>11845</v>
      </c>
      <c r="AV528" t="s" s="0">
        <v>81</v>
      </c>
      <c r="AW528" t="s" s="0">
        <v>11846</v>
      </c>
      <c r="AX528" t="s" s="0">
        <v>11847</v>
      </c>
      <c r="AY528" t="s" s="0">
        <v>81</v>
      </c>
      <c r="AZ528" t="s" s="0">
        <v>103</v>
      </c>
      <c r="BA528" t="s" s="0">
        <v>81</v>
      </c>
      <c r="BB528" t="s" s="0">
        <v>81</v>
      </c>
      <c r="BC528" t="s" s="0">
        <v>81</v>
      </c>
      <c r="BD528" t="s" s="0">
        <v>81</v>
      </c>
      <c r="BE528" t="s" s="0">
        <v>81</v>
      </c>
      <c r="BF528" t="s" s="0">
        <v>81</v>
      </c>
      <c r="BG528" t="s" s="0">
        <v>81</v>
      </c>
      <c r="BH528" t="s" s="0">
        <v>81</v>
      </c>
      <c r="BI528" t="s" s="0">
        <v>81</v>
      </c>
      <c r="BJ528" t="s" s="0">
        <v>11848</v>
      </c>
      <c r="BK528" t="s" s="1048">
        <f>HYPERLINK("http://dx.doi.org/10.1177/15553434261470484","http://dx.doi.org/10.1177/15553434261470484")</f>
        <v>11849</v>
      </c>
      <c r="BL528" t="s" s="0">
        <v>81</v>
      </c>
      <c r="BM528" t="s" s="0">
        <v>6101</v>
      </c>
      <c r="BN528" t="s" s="0">
        <v>150</v>
      </c>
      <c r="BO528" t="s" s="0">
        <v>11850</v>
      </c>
      <c r="BP528" t="s" s="0">
        <v>11851</v>
      </c>
      <c r="BQ528" t="s" s="0">
        <v>11852</v>
      </c>
      <c r="BR528" t="s" s="0">
        <v>81</v>
      </c>
      <c r="BS528" t="s" s="0">
        <v>11853</v>
      </c>
      <c r="BT528" t="s" s="1049">
        <f>HYPERLINK("https://www.webofscience.com/wos/woscc/full-record/WOS:001838332700001","View Record in Web of Science")</f>
        <v>114</v>
      </c>
      <c r="BU528" t="s" s="0">
        <v>1055</v>
      </c>
      <c r="BV528" t="s" s="0">
        <v>81</v>
      </c>
      <c r="BW528" t="s" s="0">
        <v>81</v>
      </c>
      <c r="BX528" t="s" s="0">
        <v>116</v>
      </c>
    </row>
    <row r="529">
      <c r="A529" t="s" s="0">
        <v>77</v>
      </c>
      <c r="B529" t="s" s="0">
        <v>77</v>
      </c>
      <c r="C529" t="s" s="0">
        <v>77</v>
      </c>
      <c r="D529" t="s" s="0">
        <v>77</v>
      </c>
      <c r="E529" t="s" s="0">
        <v>11854</v>
      </c>
      <c r="F529" t="s" s="0">
        <v>11855</v>
      </c>
      <c r="G529" t="s" s="0">
        <v>11856</v>
      </c>
      <c r="H529" t="s" s="0">
        <v>81</v>
      </c>
      <c r="I529" t="s" s="0">
        <v>238</v>
      </c>
      <c r="J529" t="s" s="0">
        <v>11857</v>
      </c>
      <c r="K529" t="s" s="0">
        <v>11858</v>
      </c>
      <c r="L529" t="s" s="0">
        <v>81</v>
      </c>
      <c r="M529" t="s" s="0">
        <v>81</v>
      </c>
      <c r="N529" t="s" s="0">
        <v>81</v>
      </c>
      <c r="O529" t="s" s="0">
        <v>11859</v>
      </c>
      <c r="P529" t="s" s="0">
        <v>11860</v>
      </c>
      <c r="Q529" t="s" s="0">
        <v>87</v>
      </c>
      <c r="R529" t="s" s="0">
        <v>81</v>
      </c>
      <c r="S529" t="s" s="0">
        <v>81</v>
      </c>
      <c r="T529" t="s" s="0">
        <v>81</v>
      </c>
      <c r="U529" t="s" s="0">
        <v>81</v>
      </c>
      <c r="V529" t="s" s="0">
        <v>11861</v>
      </c>
      <c r="W529" t="s" s="0">
        <v>2227</v>
      </c>
      <c r="X529" t="s" s="0">
        <v>81</v>
      </c>
      <c r="Y529" t="s" s="0">
        <v>81</v>
      </c>
      <c r="Z529" t="s" s="0">
        <v>90</v>
      </c>
      <c r="AA529" t="s" s="0">
        <v>91</v>
      </c>
      <c r="AB529" t="s" s="0">
        <v>81</v>
      </c>
      <c r="AC529" t="s" s="0">
        <v>81</v>
      </c>
      <c r="AD529" t="s" s="0">
        <v>81</v>
      </c>
      <c r="AE529" t="s" s="0">
        <v>81</v>
      </c>
      <c r="AF529" t="s" s="0">
        <v>81</v>
      </c>
      <c r="AG529" t="s" s="0">
        <v>11862</v>
      </c>
      <c r="AH529" t="s" s="0">
        <v>81</v>
      </c>
      <c r="AI529" t="s" s="0">
        <v>11863</v>
      </c>
      <c r="AJ529" t="s" s="0">
        <v>11864</v>
      </c>
      <c r="AK529" t="s" s="0">
        <v>81</v>
      </c>
      <c r="AL529" t="s" s="0">
        <v>174</v>
      </c>
      <c r="AM529" t="s" s="0">
        <v>97</v>
      </c>
      <c r="AN529" t="s" s="0">
        <v>97</v>
      </c>
      <c r="AO529" t="s" s="0">
        <v>381</v>
      </c>
      <c r="AP529" t="s" s="0">
        <v>104</v>
      </c>
      <c r="AQ529" t="s" s="0">
        <v>2229</v>
      </c>
      <c r="AR529" t="s" s="0">
        <v>2230</v>
      </c>
      <c r="AS529" t="s" s="0">
        <v>2231</v>
      </c>
      <c r="AT529" t="s" s="0">
        <v>81</v>
      </c>
      <c r="AU529" t="s" s="0">
        <v>2232</v>
      </c>
      <c r="AV529" t="s" s="0">
        <v>81</v>
      </c>
      <c r="AW529" t="s" s="0">
        <v>2233</v>
      </c>
      <c r="AX529" t="s" s="0">
        <v>2234</v>
      </c>
      <c r="AY529" t="s" s="0">
        <v>290</v>
      </c>
      <c r="AZ529" t="s" s="0">
        <v>290</v>
      </c>
      <c r="BA529" t="s" s="0">
        <v>133</v>
      </c>
      <c r="BB529" t="s" s="0">
        <v>196</v>
      </c>
      <c r="BC529" t="s" s="0">
        <v>81</v>
      </c>
      <c r="BD529" t="s" s="0">
        <v>81</v>
      </c>
      <c r="BE529" t="s" s="0">
        <v>81</v>
      </c>
      <c r="BF529" t="s" s="0">
        <v>81</v>
      </c>
      <c r="BG529" t="s" s="0">
        <v>11865</v>
      </c>
      <c r="BH529" t="s" s="0">
        <v>11866</v>
      </c>
      <c r="BI529" t="s" s="0">
        <v>81</v>
      </c>
      <c r="BJ529" t="s" s="0">
        <v>81</v>
      </c>
      <c r="BK529" t="s" s="0">
        <v>81</v>
      </c>
      <c r="BL529" t="s" s="0">
        <v>81</v>
      </c>
      <c r="BM529" t="s" s="0">
        <v>81</v>
      </c>
      <c r="BN529" t="s" s="0">
        <v>150</v>
      </c>
      <c r="BO529" t="s" s="0">
        <v>409</v>
      </c>
      <c r="BP529" t="s" s="0">
        <v>152</v>
      </c>
      <c r="BQ529" t="s" s="0">
        <v>11867</v>
      </c>
      <c r="BR529" t="s" s="0">
        <v>81</v>
      </c>
      <c r="BS529" t="s" s="0">
        <v>11868</v>
      </c>
      <c r="BT529" t="s" s="1050">
        <f>HYPERLINK("https://www.webofscience.com/wos/woscc/full-record/WOS:001615972900007","View Record in Web of Science")</f>
        <v>114</v>
      </c>
      <c r="BU529" t="s" s="0">
        <v>81</v>
      </c>
      <c r="BV529" t="s" s="0">
        <v>81</v>
      </c>
      <c r="BW529" t="s" s="0">
        <v>81</v>
      </c>
      <c r="BX529" t="s" s="0">
        <v>116</v>
      </c>
    </row>
    <row r="530">
      <c r="A530" t="s" s="0">
        <v>77</v>
      </c>
      <c r="B530" t="s" s="0">
        <v>77</v>
      </c>
      <c r="C530" t="s" s="0">
        <v>77</v>
      </c>
      <c r="D530" t="s" s="0">
        <v>77</v>
      </c>
      <c r="E530" t="s" s="0">
        <v>11869</v>
      </c>
      <c r="F530" t="s" s="0">
        <v>11870</v>
      </c>
      <c r="G530" t="s" s="0">
        <v>11871</v>
      </c>
      <c r="H530" t="s" s="0">
        <v>81</v>
      </c>
      <c r="I530" t="s" s="0">
        <v>82</v>
      </c>
      <c r="J530" t="s" s="0">
        <v>11872</v>
      </c>
      <c r="K530" t="s" s="0">
        <v>11873</v>
      </c>
      <c r="L530" t="s" s="0">
        <v>11874</v>
      </c>
      <c r="M530" t="s" s="0">
        <v>11874</v>
      </c>
      <c r="N530" t="s" s="0">
        <v>11875</v>
      </c>
      <c r="O530" t="s" s="0">
        <v>11876</v>
      </c>
      <c r="P530" t="s" s="0">
        <v>11877</v>
      </c>
      <c r="Q530" t="s" s="0">
        <v>87</v>
      </c>
      <c r="R530" t="s" s="0">
        <v>81</v>
      </c>
      <c r="S530" t="s" s="0">
        <v>81</v>
      </c>
      <c r="T530" t="s" s="0">
        <v>81</v>
      </c>
      <c r="U530" t="s" s="0">
        <v>81</v>
      </c>
      <c r="V530" t="s" s="0">
        <v>11878</v>
      </c>
      <c r="W530" t="s" s="0">
        <v>3220</v>
      </c>
      <c r="X530" t="s" s="0">
        <v>81</v>
      </c>
      <c r="Y530" t="s" s="0">
        <v>81</v>
      </c>
      <c r="Z530" t="s" s="0">
        <v>90</v>
      </c>
      <c r="AA530" t="s" s="0">
        <v>91</v>
      </c>
      <c r="AB530" t="s" s="0">
        <v>81</v>
      </c>
      <c r="AC530" t="s" s="0">
        <v>81</v>
      </c>
      <c r="AD530" t="s" s="0">
        <v>81</v>
      </c>
      <c r="AE530" t="s" s="0">
        <v>81</v>
      </c>
      <c r="AF530" t="s" s="0">
        <v>81</v>
      </c>
      <c r="AG530" t="s" s="0">
        <v>11879</v>
      </c>
      <c r="AH530" t="s" s="0">
        <v>11880</v>
      </c>
      <c r="AI530" t="s" s="0">
        <v>11881</v>
      </c>
      <c r="AJ530" t="s" s="0">
        <v>81</v>
      </c>
      <c r="AK530" t="s" s="0">
        <v>81</v>
      </c>
      <c r="AL530" t="s" s="0">
        <v>544</v>
      </c>
      <c r="AM530" t="s" s="0">
        <v>77</v>
      </c>
      <c r="AN530" t="s" s="0">
        <v>77</v>
      </c>
      <c r="AO530" t="s" s="0">
        <v>97</v>
      </c>
      <c r="AP530" t="s" s="0">
        <v>97</v>
      </c>
      <c r="AQ530" t="s" s="0">
        <v>1608</v>
      </c>
      <c r="AR530" t="s" s="0">
        <v>1609</v>
      </c>
      <c r="AS530" t="s" s="0">
        <v>1610</v>
      </c>
      <c r="AT530" t="s" s="0">
        <v>3225</v>
      </c>
      <c r="AU530" t="s" s="0">
        <v>3226</v>
      </c>
      <c r="AV530" t="s" s="0">
        <v>81</v>
      </c>
      <c r="AW530" t="s" s="0">
        <v>3227</v>
      </c>
      <c r="AX530" t="s" s="0">
        <v>3228</v>
      </c>
      <c r="AY530" t="s" s="0">
        <v>5030</v>
      </c>
      <c r="AZ530" t="s" s="0">
        <v>103</v>
      </c>
      <c r="BA530" t="s" s="0">
        <v>5782</v>
      </c>
      <c r="BB530" t="s" s="0">
        <v>81</v>
      </c>
      <c r="BC530" t="s" s="0">
        <v>81</v>
      </c>
      <c r="BD530" t="s" s="0">
        <v>81</v>
      </c>
      <c r="BE530" t="s" s="0">
        <v>81</v>
      </c>
      <c r="BF530" t="s" s="0">
        <v>81</v>
      </c>
      <c r="BG530" t="s" s="0">
        <v>81</v>
      </c>
      <c r="BH530" t="s" s="0">
        <v>81</v>
      </c>
      <c r="BI530" t="s" s="0">
        <v>11882</v>
      </c>
      <c r="BJ530" t="s" s="0">
        <v>11883</v>
      </c>
      <c r="BK530" t="s" s="1051">
        <f>HYPERLINK("http://dx.doi.org/10.1016/j.cmpb.2026.109474","http://dx.doi.org/10.1016/j.cmpb.2026.109474")</f>
        <v>11884</v>
      </c>
      <c r="BL530" t="s" s="0">
        <v>81</v>
      </c>
      <c r="BM530" t="s" s="0">
        <v>81</v>
      </c>
      <c r="BN530" t="s" s="0">
        <v>291</v>
      </c>
      <c r="BO530" t="s" s="0">
        <v>3234</v>
      </c>
      <c r="BP530" t="s" s="0">
        <v>3235</v>
      </c>
      <c r="BQ530" t="s" s="0">
        <v>11885</v>
      </c>
      <c r="BR530" t="s" s="0">
        <v>11886</v>
      </c>
      <c r="BS530" t="s" s="0">
        <v>11887</v>
      </c>
      <c r="BT530" t="s" s="1052">
        <f>HYPERLINK("https://www.webofscience.com/wos/woscc/full-record/WOS:001805580500001","View Record in Web of Science")</f>
        <v>114</v>
      </c>
      <c r="BU530" t="s" s="0">
        <v>81</v>
      </c>
      <c r="BV530" t="s" s="0">
        <v>81</v>
      </c>
      <c r="BW530" t="s" s="0">
        <v>81</v>
      </c>
      <c r="BX530" t="s" s="0">
        <v>116</v>
      </c>
    </row>
    <row r="531">
      <c r="A531" t="s" s="0">
        <v>77</v>
      </c>
      <c r="B531" t="s" s="0">
        <v>77</v>
      </c>
      <c r="C531" t="s" s="0">
        <v>175</v>
      </c>
      <c r="D531" t="s" s="0">
        <v>77</v>
      </c>
      <c r="E531" t="s" s="0">
        <v>11888</v>
      </c>
      <c r="F531" t="s" s="0">
        <v>11889</v>
      </c>
      <c r="G531" t="s" s="0">
        <v>11890</v>
      </c>
      <c r="H531" t="s" s="0">
        <v>81</v>
      </c>
      <c r="I531" t="s" s="0">
        <v>238</v>
      </c>
      <c r="J531" t="s" s="0">
        <v>11891</v>
      </c>
      <c r="K531" t="s" s="0">
        <v>11892</v>
      </c>
      <c r="L531" t="s" s="0">
        <v>11893</v>
      </c>
      <c r="M531" t="s" s="0">
        <v>11894</v>
      </c>
      <c r="N531" t="s" s="0">
        <v>11895</v>
      </c>
      <c r="O531" t="s" s="0">
        <v>11896</v>
      </c>
      <c r="P531" t="s" s="0">
        <v>11897</v>
      </c>
      <c r="Q531" t="s" s="0">
        <v>87</v>
      </c>
      <c r="R531" t="s" s="0">
        <v>81</v>
      </c>
      <c r="S531" t="s" s="0">
        <v>81</v>
      </c>
      <c r="T531" t="s" s="0">
        <v>81</v>
      </c>
      <c r="U531" t="s" s="0">
        <v>81</v>
      </c>
      <c r="V531" t="s" s="0">
        <v>11898</v>
      </c>
      <c r="W531" t="s" s="0">
        <v>5833</v>
      </c>
      <c r="X531" t="s" s="0">
        <v>81</v>
      </c>
      <c r="Y531" t="s" s="0">
        <v>81</v>
      </c>
      <c r="Z531" t="s" s="0">
        <v>90</v>
      </c>
      <c r="AA531" t="s" s="0">
        <v>91</v>
      </c>
      <c r="AB531" t="s" s="0">
        <v>81</v>
      </c>
      <c r="AC531" t="s" s="0">
        <v>81</v>
      </c>
      <c r="AD531" t="s" s="0">
        <v>81</v>
      </c>
      <c r="AE531" t="s" s="0">
        <v>81</v>
      </c>
      <c r="AF531" t="s" s="0">
        <v>81</v>
      </c>
      <c r="AG531" t="s" s="0">
        <v>11899</v>
      </c>
      <c r="AH531" t="s" s="0">
        <v>81</v>
      </c>
      <c r="AI531" t="s" s="0">
        <v>11900</v>
      </c>
      <c r="AJ531" t="s" s="0">
        <v>11901</v>
      </c>
      <c r="AK531" t="s" s="0">
        <v>81</v>
      </c>
      <c r="AL531" t="s" s="0">
        <v>1561</v>
      </c>
      <c r="AM531" t="s" s="0">
        <v>210</v>
      </c>
      <c r="AN531" t="s" s="0">
        <v>109</v>
      </c>
      <c r="AO531" t="s" s="0">
        <v>77</v>
      </c>
      <c r="AP531" t="s" s="0">
        <v>196</v>
      </c>
      <c r="AQ531" t="s" s="0">
        <v>284</v>
      </c>
      <c r="AR531" t="s" s="0">
        <v>285</v>
      </c>
      <c r="AS531" t="s" s="0">
        <v>286</v>
      </c>
      <c r="AT531" t="s" s="0">
        <v>81</v>
      </c>
      <c r="AU531" t="s" s="0">
        <v>5837</v>
      </c>
      <c r="AV531" t="s" s="0">
        <v>81</v>
      </c>
      <c r="AW531" t="s" s="0">
        <v>5838</v>
      </c>
      <c r="AX531" t="s" s="0">
        <v>5839</v>
      </c>
      <c r="AY531" t="s" s="0">
        <v>1183</v>
      </c>
      <c r="AZ531" t="s" s="0">
        <v>185</v>
      </c>
      <c r="BA531" t="s" s="0">
        <v>211</v>
      </c>
      <c r="BB531" t="s" s="0">
        <v>134</v>
      </c>
      <c r="BC531" t="s" s="0">
        <v>81</v>
      </c>
      <c r="BD531" t="s" s="0">
        <v>81</v>
      </c>
      <c r="BE531" t="s" s="0">
        <v>81</v>
      </c>
      <c r="BF531" t="s" s="0">
        <v>81</v>
      </c>
      <c r="BG531" t="s" s="0">
        <v>81</v>
      </c>
      <c r="BH531" t="s" s="0">
        <v>81</v>
      </c>
      <c r="BI531" t="s" s="0">
        <v>11902</v>
      </c>
      <c r="BJ531" t="s" s="0">
        <v>11903</v>
      </c>
      <c r="BK531" t="s" s="1053">
        <f>HYPERLINK("http://dx.doi.org/10.3390/jimaging10120332","http://dx.doi.org/10.3390/jimaging10120332")</f>
        <v>11904</v>
      </c>
      <c r="BL531" t="s" s="0">
        <v>81</v>
      </c>
      <c r="BM531" t="s" s="0">
        <v>81</v>
      </c>
      <c r="BN531" t="s" s="0">
        <v>434</v>
      </c>
      <c r="BO531" t="s" s="0">
        <v>5844</v>
      </c>
      <c r="BP531" t="s" s="0">
        <v>5844</v>
      </c>
      <c r="BQ531" t="s" s="0">
        <v>11905</v>
      </c>
      <c r="BR531" t="s" s="0">
        <v>11906</v>
      </c>
      <c r="BS531" t="s" s="0">
        <v>11907</v>
      </c>
      <c r="BT531" t="s" s="1054">
        <f>HYPERLINK("https://www.webofscience.com/wos/woscc/full-record/WOS:001386827900001","View Record in Web of Science")</f>
        <v>114</v>
      </c>
      <c r="BU531" t="s" s="0">
        <v>301</v>
      </c>
      <c r="BV531" t="s" s="0">
        <v>81</v>
      </c>
      <c r="BW531" t="s" s="0">
        <v>81</v>
      </c>
      <c r="BX531" t="s" s="0">
        <v>116</v>
      </c>
    </row>
    <row r="532">
      <c r="A532" t="s" s="0">
        <v>77</v>
      </c>
      <c r="B532" t="s" s="0">
        <v>77</v>
      </c>
      <c r="C532" t="s" s="0">
        <v>77</v>
      </c>
      <c r="D532" t="s" s="0">
        <v>77</v>
      </c>
      <c r="E532" t="s" s="0">
        <v>11908</v>
      </c>
      <c r="F532" t="s" s="0">
        <v>11909</v>
      </c>
      <c r="G532" t="s" s="0">
        <v>11910</v>
      </c>
      <c r="H532" t="s" s="0">
        <v>81</v>
      </c>
      <c r="I532" t="s" s="0">
        <v>238</v>
      </c>
      <c r="J532" t="s" s="0">
        <v>11911</v>
      </c>
      <c r="K532" t="s" s="0">
        <v>11912</v>
      </c>
      <c r="L532" t="s" s="0">
        <v>11913</v>
      </c>
      <c r="M532" t="s" s="0">
        <v>11913</v>
      </c>
      <c r="N532" t="s" s="0">
        <v>11914</v>
      </c>
      <c r="O532" t="s" s="0">
        <v>11915</v>
      </c>
      <c r="P532" t="s" s="0">
        <v>11916</v>
      </c>
      <c r="Q532" t="s" s="0">
        <v>87</v>
      </c>
      <c r="R532" t="s" s="0">
        <v>81</v>
      </c>
      <c r="S532" t="s" s="0">
        <v>81</v>
      </c>
      <c r="T532" t="s" s="0">
        <v>81</v>
      </c>
      <c r="U532" t="s" s="0">
        <v>81</v>
      </c>
      <c r="V532" t="s" s="0">
        <v>11917</v>
      </c>
      <c r="W532" t="s" s="0">
        <v>11166</v>
      </c>
      <c r="X532" t="s" s="0">
        <v>81</v>
      </c>
      <c r="Y532" t="s" s="0">
        <v>81</v>
      </c>
      <c r="Z532" t="s" s="0">
        <v>90</v>
      </c>
      <c r="AA532" t="s" s="0">
        <v>91</v>
      </c>
      <c r="AB532" t="s" s="0">
        <v>81</v>
      </c>
      <c r="AC532" t="s" s="0">
        <v>81</v>
      </c>
      <c r="AD532" t="s" s="0">
        <v>81</v>
      </c>
      <c r="AE532" t="s" s="0">
        <v>81</v>
      </c>
      <c r="AF532" t="s" s="0">
        <v>81</v>
      </c>
      <c r="AG532" t="s" s="0">
        <v>11918</v>
      </c>
      <c r="AH532" t="s" s="0">
        <v>1342</v>
      </c>
      <c r="AI532" t="s" s="0">
        <v>81</v>
      </c>
      <c r="AJ532" t="s" s="0">
        <v>11919</v>
      </c>
      <c r="AK532" t="s" s="0">
        <v>81</v>
      </c>
      <c r="AL532" t="s" s="0">
        <v>399</v>
      </c>
      <c r="AM532" t="s" s="0">
        <v>77</v>
      </c>
      <c r="AN532" t="s" s="0">
        <v>77</v>
      </c>
      <c r="AO532" t="s" s="0">
        <v>97</v>
      </c>
      <c r="AP532" t="s" s="0">
        <v>133</v>
      </c>
      <c r="AQ532" t="s" s="0">
        <v>136</v>
      </c>
      <c r="AR532" t="s" s="0">
        <v>137</v>
      </c>
      <c r="AS532" t="s" s="0">
        <v>138</v>
      </c>
      <c r="AT532" t="s" s="0">
        <v>11170</v>
      </c>
      <c r="AU532" t="s" s="0">
        <v>81</v>
      </c>
      <c r="AV532" t="s" s="0">
        <v>81</v>
      </c>
      <c r="AW532" t="s" s="0">
        <v>11171</v>
      </c>
      <c r="AX532" t="s" s="0">
        <v>11172</v>
      </c>
      <c r="AY532" t="s" s="0">
        <v>143</v>
      </c>
      <c r="AZ532" t="s" s="0">
        <v>103</v>
      </c>
      <c r="BA532" t="s" s="0">
        <v>890</v>
      </c>
      <c r="BB532" t="s" s="0">
        <v>81</v>
      </c>
      <c r="BC532" t="s" s="0">
        <v>81</v>
      </c>
      <c r="BD532" t="s" s="0">
        <v>81</v>
      </c>
      <c r="BE532" t="s" s="0">
        <v>81</v>
      </c>
      <c r="BF532" t="s" s="0">
        <v>81</v>
      </c>
      <c r="BG532" t="s" s="0">
        <v>81</v>
      </c>
      <c r="BH532" t="s" s="0">
        <v>81</v>
      </c>
      <c r="BI532" t="s" s="0">
        <v>11920</v>
      </c>
      <c r="BJ532" t="s" s="0">
        <v>11921</v>
      </c>
      <c r="BK532" t="s" s="1055">
        <f>HYPERLINK("http://dx.doi.org/10.1016/j.array.2025.100637","http://dx.doi.org/10.1016/j.array.2025.100637")</f>
        <v>11922</v>
      </c>
      <c r="BL532" t="s" s="0">
        <v>81</v>
      </c>
      <c r="BM532" t="s" s="0">
        <v>2353</v>
      </c>
      <c r="BN532" t="s" s="0">
        <v>104</v>
      </c>
      <c r="BO532" t="s" s="0">
        <v>1895</v>
      </c>
      <c r="BP532" t="s" s="0">
        <v>152</v>
      </c>
      <c r="BQ532" t="s" s="0">
        <v>11923</v>
      </c>
      <c r="BR532" t="s" s="0">
        <v>81</v>
      </c>
      <c r="BS532" t="s" s="0">
        <v>11924</v>
      </c>
      <c r="BT532" t="s" s="1056">
        <f>HYPERLINK("https://www.webofscience.com/wos/woscc/full-record/WOS:001640673100001","View Record in Web of Science")</f>
        <v>114</v>
      </c>
      <c r="BU532" t="s" s="0">
        <v>301</v>
      </c>
      <c r="BV532" t="s" s="0">
        <v>81</v>
      </c>
      <c r="BW532" t="s" s="0">
        <v>81</v>
      </c>
      <c r="BX532" t="s" s="0">
        <v>116</v>
      </c>
    </row>
    <row r="533">
      <c r="A533" t="s" s="0">
        <v>156</v>
      </c>
      <c r="B533" t="s" s="0">
        <v>77</v>
      </c>
      <c r="C533" t="s" s="0">
        <v>316</v>
      </c>
      <c r="D533" t="s" s="0">
        <v>97</v>
      </c>
      <c r="E533" t="s" s="0">
        <v>11925</v>
      </c>
      <c r="F533" t="s" s="0">
        <v>11926</v>
      </c>
      <c r="G533" t="s" s="0">
        <v>11927</v>
      </c>
      <c r="H533" t="s" s="0">
        <v>81</v>
      </c>
      <c r="I533" t="s" s="0">
        <v>82</v>
      </c>
      <c r="J533" t="s" s="0">
        <v>11928</v>
      </c>
      <c r="K533" t="s" s="0">
        <v>11929</v>
      </c>
      <c r="L533" t="s" s="0">
        <v>81</v>
      </c>
      <c r="M533" t="s" s="0">
        <v>81</v>
      </c>
      <c r="N533" t="s" s="0">
        <v>81</v>
      </c>
      <c r="O533" t="s" s="0">
        <v>11930</v>
      </c>
      <c r="P533" t="s" s="0">
        <v>11931</v>
      </c>
      <c r="Q533" t="s" s="0">
        <v>87</v>
      </c>
      <c r="R533" t="s" s="0">
        <v>81</v>
      </c>
      <c r="S533" t="s" s="0">
        <v>81</v>
      </c>
      <c r="T533" t="s" s="0">
        <v>81</v>
      </c>
      <c r="U533" t="s" s="0">
        <v>81</v>
      </c>
      <c r="V533" t="s" s="0">
        <v>11932</v>
      </c>
      <c r="W533" t="s" s="0">
        <v>11933</v>
      </c>
      <c r="X533" t="s" s="0">
        <v>81</v>
      </c>
      <c r="Y533" t="s" s="0">
        <v>81</v>
      </c>
      <c r="Z533" t="s" s="0">
        <v>90</v>
      </c>
      <c r="AA533" t="s" s="0">
        <v>91</v>
      </c>
      <c r="AB533" t="s" s="0">
        <v>81</v>
      </c>
      <c r="AC533" t="s" s="0">
        <v>81</v>
      </c>
      <c r="AD533" t="s" s="0">
        <v>81</v>
      </c>
      <c r="AE533" t="s" s="0">
        <v>81</v>
      </c>
      <c r="AF533" t="s" s="0">
        <v>81</v>
      </c>
      <c r="AG533" t="s" s="0">
        <v>11934</v>
      </c>
      <c r="AH533" t="s" s="0">
        <v>11935</v>
      </c>
      <c r="AI533" t="s" s="0">
        <v>11936</v>
      </c>
      <c r="AJ533" t="s" s="0">
        <v>11937</v>
      </c>
      <c r="AK533" t="s" s="0">
        <v>81</v>
      </c>
      <c r="AL533" t="s" s="0">
        <v>456</v>
      </c>
      <c r="AM533" t="s" s="0">
        <v>5116</v>
      </c>
      <c r="AN533" t="s" s="0">
        <v>2296</v>
      </c>
      <c r="AO533" t="s" s="0">
        <v>252</v>
      </c>
      <c r="AP533" t="s" s="0">
        <v>11938</v>
      </c>
      <c r="AQ533" t="s" s="0">
        <v>3016</v>
      </c>
      <c r="AR533" t="s" s="0">
        <v>546</v>
      </c>
      <c r="AS533" t="s" s="0">
        <v>3017</v>
      </c>
      <c r="AT533" t="s" s="0">
        <v>81</v>
      </c>
      <c r="AU533" t="s" s="0">
        <v>11939</v>
      </c>
      <c r="AV533" t="s" s="0">
        <v>81</v>
      </c>
      <c r="AW533" t="s" s="0">
        <v>11940</v>
      </c>
      <c r="AX533" t="s" s="0">
        <v>11941</v>
      </c>
      <c r="AY533" t="s" s="0">
        <v>9858</v>
      </c>
      <c r="AZ533" t="s" s="0">
        <v>185</v>
      </c>
      <c r="BA533" t="s" s="0">
        <v>191</v>
      </c>
      <c r="BB533" t="s" s="0">
        <v>97</v>
      </c>
      <c r="BC533" t="s" s="0">
        <v>81</v>
      </c>
      <c r="BD533" t="s" s="0">
        <v>81</v>
      </c>
      <c r="BE533" t="s" s="0">
        <v>81</v>
      </c>
      <c r="BF533" t="s" s="0">
        <v>81</v>
      </c>
      <c r="BG533" t="s" s="0">
        <v>81</v>
      </c>
      <c r="BH533" t="s" s="0">
        <v>81</v>
      </c>
      <c r="BI533" t="s" s="0">
        <v>1254</v>
      </c>
      <c r="BJ533" t="s" s="0">
        <v>11942</v>
      </c>
      <c r="BK533" t="s" s="1057">
        <f>HYPERLINK("http://dx.doi.org/10.1186/s40537-024-00920-x","http://dx.doi.org/10.1186/s40537-024-00920-x")</f>
        <v>11943</v>
      </c>
      <c r="BL533" t="s" s="0">
        <v>81</v>
      </c>
      <c r="BM533" t="s" s="0">
        <v>81</v>
      </c>
      <c r="BN533" t="s" s="0">
        <v>176</v>
      </c>
      <c r="BO533" t="s" s="0">
        <v>1895</v>
      </c>
      <c r="BP533" t="s" s="0">
        <v>152</v>
      </c>
      <c r="BQ533" t="s" s="0">
        <v>11944</v>
      </c>
      <c r="BR533" t="s" s="0">
        <v>81</v>
      </c>
      <c r="BS533" t="s" s="0">
        <v>11945</v>
      </c>
      <c r="BT533" t="s" s="1058">
        <f>HYPERLINK("https://www.webofscience.com/wos/woscc/full-record/WOS:001206689900001","View Record in Web of Science")</f>
        <v>114</v>
      </c>
      <c r="BU533" t="s" s="0">
        <v>301</v>
      </c>
      <c r="BV533" t="s" s="0">
        <v>81</v>
      </c>
      <c r="BW533" t="s" s="0">
        <v>81</v>
      </c>
      <c r="BX533" t="s" s="0">
        <v>116</v>
      </c>
    </row>
    <row r="534">
      <c r="A534" t="s" s="0">
        <v>77</v>
      </c>
      <c r="B534" t="s" s="0">
        <v>77</v>
      </c>
      <c r="C534" t="s" s="0">
        <v>196</v>
      </c>
      <c r="D534" t="s" s="0">
        <v>77</v>
      </c>
      <c r="E534" t="s" s="0">
        <v>11946</v>
      </c>
      <c r="F534" t="s" s="0">
        <v>11947</v>
      </c>
      <c r="G534" t="s" s="0">
        <v>11948</v>
      </c>
      <c r="H534" t="s" s="0">
        <v>81</v>
      </c>
      <c r="I534" t="s" s="0">
        <v>82</v>
      </c>
      <c r="J534" t="s" s="0">
        <v>11949</v>
      </c>
      <c r="K534" t="s" s="0">
        <v>11950</v>
      </c>
      <c r="L534" t="s" s="0">
        <v>81</v>
      </c>
      <c r="M534" t="s" s="0">
        <v>81</v>
      </c>
      <c r="N534" t="s" s="0">
        <v>81</v>
      </c>
      <c r="O534" t="s" s="0">
        <v>11951</v>
      </c>
      <c r="P534" t="s" s="0">
        <v>11952</v>
      </c>
      <c r="Q534" t="s" s="0">
        <v>87</v>
      </c>
      <c r="R534" t="s" s="0">
        <v>81</v>
      </c>
      <c r="S534" t="s" s="0">
        <v>81</v>
      </c>
      <c r="T534" t="s" s="0">
        <v>81</v>
      </c>
      <c r="U534" t="s" s="0">
        <v>81</v>
      </c>
      <c r="V534" t="s" s="0">
        <v>11953</v>
      </c>
      <c r="W534" t="s" s="0">
        <v>3651</v>
      </c>
      <c r="X534" t="s" s="0">
        <v>81</v>
      </c>
      <c r="Y534" t="s" s="0">
        <v>81</v>
      </c>
      <c r="Z534" t="s" s="0">
        <v>90</v>
      </c>
      <c r="AA534" t="s" s="0">
        <v>91</v>
      </c>
      <c r="AB534" t="s" s="0">
        <v>81</v>
      </c>
      <c r="AC534" t="s" s="0">
        <v>81</v>
      </c>
      <c r="AD534" t="s" s="0">
        <v>81</v>
      </c>
      <c r="AE534" t="s" s="0">
        <v>81</v>
      </c>
      <c r="AF534" t="s" s="0">
        <v>81</v>
      </c>
      <c r="AG534" t="s" s="0">
        <v>11954</v>
      </c>
      <c r="AH534" t="s" s="0">
        <v>11955</v>
      </c>
      <c r="AI534" t="s" s="0">
        <v>11956</v>
      </c>
      <c r="AJ534" t="s" s="0">
        <v>11957</v>
      </c>
      <c r="AK534" t="s" s="0">
        <v>81</v>
      </c>
      <c r="AL534" t="s" s="0">
        <v>1442</v>
      </c>
      <c r="AM534" t="s" s="0">
        <v>135</v>
      </c>
      <c r="AN534" t="s" s="0">
        <v>671</v>
      </c>
      <c r="AO534" t="s" s="0">
        <v>156</v>
      </c>
      <c r="AP534" t="s" s="0">
        <v>222</v>
      </c>
      <c r="AQ534" t="s" s="0">
        <v>98</v>
      </c>
      <c r="AR534" t="s" s="0">
        <v>99</v>
      </c>
      <c r="AS534" t="s" s="0">
        <v>100</v>
      </c>
      <c r="AT534" t="s" s="0">
        <v>3655</v>
      </c>
      <c r="AU534" t="s" s="0">
        <v>3656</v>
      </c>
      <c r="AV534" t="s" s="0">
        <v>81</v>
      </c>
      <c r="AW534" t="s" s="0">
        <v>3657</v>
      </c>
      <c r="AX534" t="s" s="0">
        <v>3658</v>
      </c>
      <c r="AY534" t="s" s="0">
        <v>514</v>
      </c>
      <c r="AZ534" t="s" s="0">
        <v>185</v>
      </c>
      <c r="BA534" t="s" s="0">
        <v>176</v>
      </c>
      <c r="BB534" t="s" s="0">
        <v>175</v>
      </c>
      <c r="BC534" t="s" s="0">
        <v>81</v>
      </c>
      <c r="BD534" t="s" s="0">
        <v>81</v>
      </c>
      <c r="BE534" t="s" s="0">
        <v>81</v>
      </c>
      <c r="BF534" t="s" s="0">
        <v>81</v>
      </c>
      <c r="BG534" t="s" s="0">
        <v>11958</v>
      </c>
      <c r="BH534" t="s" s="0">
        <v>11959</v>
      </c>
      <c r="BI534" t="s" s="0">
        <v>81</v>
      </c>
      <c r="BJ534" t="s" s="0">
        <v>11960</v>
      </c>
      <c r="BK534" t="s" s="1059">
        <f>HYPERLINK("http://dx.doi.org/10.1109/JBHI.2024.3355329","http://dx.doi.org/10.1109/JBHI.2024.3355329")</f>
        <v>11961</v>
      </c>
      <c r="BL534" t="s" s="0">
        <v>81</v>
      </c>
      <c r="BM534" t="s" s="0">
        <v>81</v>
      </c>
      <c r="BN534" t="s" s="0">
        <v>134</v>
      </c>
      <c r="BO534" t="s" s="0">
        <v>3663</v>
      </c>
      <c r="BP534" t="s" s="0">
        <v>3664</v>
      </c>
      <c r="BQ534" t="s" s="0">
        <v>11962</v>
      </c>
      <c r="BR534" t="s" s="0">
        <v>11963</v>
      </c>
      <c r="BS534" t="s" s="0">
        <v>11964</v>
      </c>
      <c r="BT534" t="s" s="1060">
        <f>HYPERLINK("https://www.webofscience.com/wos/woscc/full-record/WOS:001258112900001","View Record in Web of Science")</f>
        <v>114</v>
      </c>
      <c r="BU534" t="s" s="0">
        <v>81</v>
      </c>
      <c r="BV534" t="s" s="0">
        <v>81</v>
      </c>
      <c r="BW534" t="s" s="0">
        <v>81</v>
      </c>
      <c r="BX534" t="s" s="0">
        <v>116</v>
      </c>
    </row>
    <row r="535">
      <c r="A535" t="s" s="0">
        <v>77</v>
      </c>
      <c r="B535" t="s" s="0">
        <v>77</v>
      </c>
      <c r="C535" t="s" s="0">
        <v>77</v>
      </c>
      <c r="D535" t="s" s="0">
        <v>77</v>
      </c>
      <c r="E535" t="s" s="0">
        <v>11965</v>
      </c>
      <c r="F535" t="s" s="0">
        <v>11966</v>
      </c>
      <c r="G535" t="s" s="0">
        <v>11967</v>
      </c>
      <c r="H535" t="s" s="0">
        <v>81</v>
      </c>
      <c r="I535" t="s" s="0">
        <v>238</v>
      </c>
      <c r="J535" t="s" s="0">
        <v>11968</v>
      </c>
      <c r="K535" t="s" s="0">
        <v>11969</v>
      </c>
      <c r="L535" t="s" s="0">
        <v>81</v>
      </c>
      <c r="M535" t="s" s="0">
        <v>81</v>
      </c>
      <c r="N535" t="s" s="0">
        <v>81</v>
      </c>
      <c r="O535" t="s" s="0">
        <v>11970</v>
      </c>
      <c r="P535" t="s" s="0">
        <v>11971</v>
      </c>
      <c r="Q535" t="s" s="0">
        <v>87</v>
      </c>
      <c r="R535" t="s" s="0">
        <v>81</v>
      </c>
      <c r="S535" t="s" s="0">
        <v>81</v>
      </c>
      <c r="T535" t="s" s="0">
        <v>81</v>
      </c>
      <c r="U535" t="s" s="0">
        <v>81</v>
      </c>
      <c r="V535" t="s" s="0">
        <v>11972</v>
      </c>
      <c r="W535" t="s" s="0">
        <v>11973</v>
      </c>
      <c r="X535" t="s" s="0">
        <v>81</v>
      </c>
      <c r="Y535" t="s" s="0">
        <v>81</v>
      </c>
      <c r="Z535" t="s" s="0">
        <v>90</v>
      </c>
      <c r="AA535" t="s" s="0">
        <v>91</v>
      </c>
      <c r="AB535" t="s" s="0">
        <v>81</v>
      </c>
      <c r="AC535" t="s" s="0">
        <v>81</v>
      </c>
      <c r="AD535" t="s" s="0">
        <v>81</v>
      </c>
      <c r="AE535" t="s" s="0">
        <v>81</v>
      </c>
      <c r="AF535" t="s" s="0">
        <v>81</v>
      </c>
      <c r="AG535" t="s" s="0">
        <v>11974</v>
      </c>
      <c r="AH535" t="s" s="0">
        <v>81</v>
      </c>
      <c r="AI535" t="s" s="0">
        <v>81</v>
      </c>
      <c r="AJ535" t="s" s="0">
        <v>81</v>
      </c>
      <c r="AK535" t="s" s="0">
        <v>81</v>
      </c>
      <c r="AL535" t="s" s="0">
        <v>291</v>
      </c>
      <c r="AM535" t="s" s="0">
        <v>77</v>
      </c>
      <c r="AN535" t="s" s="0">
        <v>77</v>
      </c>
      <c r="AO535" t="s" s="0">
        <v>97</v>
      </c>
      <c r="AP535" t="s" s="0">
        <v>97</v>
      </c>
      <c r="AQ535" t="s" s="0">
        <v>11975</v>
      </c>
      <c r="AR535" t="s" s="0">
        <v>11976</v>
      </c>
      <c r="AS535" t="s" s="0">
        <v>11977</v>
      </c>
      <c r="AT535" t="s" s="0">
        <v>11978</v>
      </c>
      <c r="AU535" t="s" s="0">
        <v>81</v>
      </c>
      <c r="AV535" t="s" s="0">
        <v>81</v>
      </c>
      <c r="AW535" t="s" s="0">
        <v>11979</v>
      </c>
      <c r="AX535" t="s" s="0">
        <v>11980</v>
      </c>
      <c r="AY535" t="s" s="0">
        <v>948</v>
      </c>
      <c r="AZ535" t="s" s="0">
        <v>103</v>
      </c>
      <c r="BA535" t="s" s="0">
        <v>485</v>
      </c>
      <c r="BB535" t="s" s="0">
        <v>97</v>
      </c>
      <c r="BC535" t="s" s="0">
        <v>81</v>
      </c>
      <c r="BD535" t="s" s="0">
        <v>81</v>
      </c>
      <c r="BE535" t="s" s="0">
        <v>81</v>
      </c>
      <c r="BF535" t="s" s="0">
        <v>81</v>
      </c>
      <c r="BG535" t="s" s="0">
        <v>81</v>
      </c>
      <c r="BH535" t="s" s="0">
        <v>81</v>
      </c>
      <c r="BI535" t="s" s="0">
        <v>11981</v>
      </c>
      <c r="BJ535" t="s" s="0">
        <v>11982</v>
      </c>
      <c r="BK535" t="s" s="1061">
        <f>HYPERLINK("http://dx.doi.org/10.7196/SAJBL.2026.v19i1.3527","http://dx.doi.org/10.7196/SAJBL.2026.v19i1.3527")</f>
        <v>11983</v>
      </c>
      <c r="BL535" t="s" s="0">
        <v>81</v>
      </c>
      <c r="BM535" t="s" s="0">
        <v>81</v>
      </c>
      <c r="BN535" t="s" s="0">
        <v>316</v>
      </c>
      <c r="BO535" t="s" s="0">
        <v>11984</v>
      </c>
      <c r="BP535" t="s" s="0">
        <v>11984</v>
      </c>
      <c r="BQ535" t="s" s="0">
        <v>11985</v>
      </c>
      <c r="BR535" t="s" s="0">
        <v>81</v>
      </c>
      <c r="BS535" t="s" s="0">
        <v>11986</v>
      </c>
      <c r="BT535" t="s" s="1062">
        <f>HYPERLINK("https://www.webofscience.com/wos/woscc/full-record/WOS:001825891800005","View Record in Web of Science")</f>
        <v>114</v>
      </c>
      <c r="BU535" t="s" s="0">
        <v>115</v>
      </c>
      <c r="BV535" t="s" s="0">
        <v>81</v>
      </c>
      <c r="BW535" t="s" s="0">
        <v>81</v>
      </c>
      <c r="BX535" t="s" s="0">
        <v>116</v>
      </c>
    </row>
    <row r="536">
      <c r="A536" t="s" s="0">
        <v>77</v>
      </c>
      <c r="B536" t="s" s="0">
        <v>77</v>
      </c>
      <c r="C536" t="s" s="0">
        <v>77</v>
      </c>
      <c r="D536" t="s" s="0">
        <v>77</v>
      </c>
      <c r="E536" t="s" s="0">
        <v>11987</v>
      </c>
      <c r="F536" t="s" s="0">
        <v>11988</v>
      </c>
      <c r="G536" t="s" s="0">
        <v>11989</v>
      </c>
      <c r="H536" t="s" s="0">
        <v>81</v>
      </c>
      <c r="I536" t="s" s="0">
        <v>238</v>
      </c>
      <c r="J536" t="s" s="0">
        <v>11990</v>
      </c>
      <c r="K536" t="s" s="0">
        <v>11991</v>
      </c>
      <c r="L536" t="s" s="0">
        <v>81</v>
      </c>
      <c r="M536" t="s" s="0">
        <v>81</v>
      </c>
      <c r="N536" t="s" s="0">
        <v>81</v>
      </c>
      <c r="O536" t="s" s="0">
        <v>11992</v>
      </c>
      <c r="P536" t="s" s="0">
        <v>11993</v>
      </c>
      <c r="Q536" t="s" s="0">
        <v>87</v>
      </c>
      <c r="R536" t="s" s="0">
        <v>81</v>
      </c>
      <c r="S536" t="s" s="0">
        <v>81</v>
      </c>
      <c r="T536" t="s" s="0">
        <v>81</v>
      </c>
      <c r="U536" t="s" s="0">
        <v>81</v>
      </c>
      <c r="V536" t="s" s="0">
        <v>11994</v>
      </c>
      <c r="W536" t="s" s="0">
        <v>11995</v>
      </c>
      <c r="X536" t="s" s="0">
        <v>81</v>
      </c>
      <c r="Y536" t="s" s="0">
        <v>81</v>
      </c>
      <c r="Z536" t="s" s="0">
        <v>90</v>
      </c>
      <c r="AA536" t="s" s="0">
        <v>91</v>
      </c>
      <c r="AB536" t="s" s="0">
        <v>81</v>
      </c>
      <c r="AC536" t="s" s="0">
        <v>81</v>
      </c>
      <c r="AD536" t="s" s="0">
        <v>81</v>
      </c>
      <c r="AE536" t="s" s="0">
        <v>81</v>
      </c>
      <c r="AF536" t="s" s="0">
        <v>81</v>
      </c>
      <c r="AG536" t="s" s="0">
        <v>11996</v>
      </c>
      <c r="AH536" t="s" s="0">
        <v>81</v>
      </c>
      <c r="AI536" t="s" s="0">
        <v>11997</v>
      </c>
      <c r="AJ536" t="s" s="0">
        <v>81</v>
      </c>
      <c r="AK536" t="s" s="0">
        <v>81</v>
      </c>
      <c r="AL536" t="s" s="0">
        <v>367</v>
      </c>
      <c r="AM536" t="s" s="0">
        <v>97</v>
      </c>
      <c r="AN536" t="s" s="0">
        <v>97</v>
      </c>
      <c r="AO536" t="s" s="0">
        <v>156</v>
      </c>
      <c r="AP536" t="s" s="0">
        <v>175</v>
      </c>
      <c r="AQ536" t="s" s="0">
        <v>11998</v>
      </c>
      <c r="AR536" t="s" s="0">
        <v>2663</v>
      </c>
      <c r="AS536" t="s" s="0">
        <v>11999</v>
      </c>
      <c r="AT536" t="s" s="0">
        <v>12000</v>
      </c>
      <c r="AU536" t="s" s="0">
        <v>12001</v>
      </c>
      <c r="AV536" t="s" s="0">
        <v>81</v>
      </c>
      <c r="AW536" t="s" s="0">
        <v>12002</v>
      </c>
      <c r="AX536" t="s" s="0">
        <v>12003</v>
      </c>
      <c r="AY536" t="s" s="0">
        <v>578</v>
      </c>
      <c r="AZ536" t="s" s="0">
        <v>290</v>
      </c>
      <c r="BA536" t="s" s="0">
        <v>343</v>
      </c>
      <c r="BB536" t="s" s="0">
        <v>316</v>
      </c>
      <c r="BC536" t="s" s="0">
        <v>4172</v>
      </c>
      <c r="BD536" t="s" s="0">
        <v>81</v>
      </c>
      <c r="BE536" t="s" s="0">
        <v>81</v>
      </c>
      <c r="BF536" t="s" s="0">
        <v>81</v>
      </c>
      <c r="BG536" t="s" s="0">
        <v>12004</v>
      </c>
      <c r="BH536" t="s" s="0">
        <v>12005</v>
      </c>
      <c r="BI536" t="s" s="0">
        <v>81</v>
      </c>
      <c r="BJ536" t="s" s="0">
        <v>12006</v>
      </c>
      <c r="BK536" t="s" s="1063">
        <f>HYPERLINK("http://dx.doi.org/10.47974/JIOS-2011","http://dx.doi.org/10.47974/JIOS-2011")</f>
        <v>12007</v>
      </c>
      <c r="BL536" t="s" s="0">
        <v>81</v>
      </c>
      <c r="BM536" t="s" s="0">
        <v>81</v>
      </c>
      <c r="BN536" t="s" s="0">
        <v>261</v>
      </c>
      <c r="BO536" t="s" s="0">
        <v>8153</v>
      </c>
      <c r="BP536" t="s" s="0">
        <v>8153</v>
      </c>
      <c r="BQ536" t="s" s="0">
        <v>12008</v>
      </c>
      <c r="BR536" t="s" s="0">
        <v>81</v>
      </c>
      <c r="BS536" t="s" s="0">
        <v>12009</v>
      </c>
      <c r="BT536" t="s" s="1064">
        <f>HYPERLINK("https://www.webofscience.com/wos/woscc/full-record/WOS:001596223900004","View Record in Web of Science")</f>
        <v>114</v>
      </c>
      <c r="BU536" t="s" s="0">
        <v>81</v>
      </c>
      <c r="BV536" t="s" s="0">
        <v>81</v>
      </c>
      <c r="BW536" t="s" s="0">
        <v>81</v>
      </c>
      <c r="BX536" t="s" s="0">
        <v>116</v>
      </c>
    </row>
    <row r="537">
      <c r="A537" t="s" s="0">
        <v>77</v>
      </c>
      <c r="B537" t="s" s="0">
        <v>77</v>
      </c>
      <c r="C537" t="s" s="0">
        <v>175</v>
      </c>
      <c r="D537" t="s" s="0">
        <v>77</v>
      </c>
      <c r="E537" t="s" s="0">
        <v>12010</v>
      </c>
      <c r="F537" t="s" s="0">
        <v>12011</v>
      </c>
      <c r="G537" t="s" s="0">
        <v>12012</v>
      </c>
      <c r="H537" t="s" s="0">
        <v>81</v>
      </c>
      <c r="I537" t="s" s="0">
        <v>238</v>
      </c>
      <c r="J537" t="s" s="0">
        <v>12013</v>
      </c>
      <c r="K537" t="s" s="0">
        <v>12014</v>
      </c>
      <c r="L537" t="s" s="0">
        <v>12015</v>
      </c>
      <c r="M537" t="s" s="0">
        <v>12016</v>
      </c>
      <c r="N537" t="s" s="0">
        <v>12017</v>
      </c>
      <c r="O537" t="s" s="0">
        <v>12018</v>
      </c>
      <c r="P537" t="s" s="0">
        <v>12019</v>
      </c>
      <c r="Q537" t="s" s="0">
        <v>87</v>
      </c>
      <c r="R537" t="s" s="0">
        <v>81</v>
      </c>
      <c r="S537" t="s" s="0">
        <v>81</v>
      </c>
      <c r="T537" t="s" s="0">
        <v>81</v>
      </c>
      <c r="U537" t="s" s="0">
        <v>81</v>
      </c>
      <c r="V537" t="s" s="0">
        <v>12020</v>
      </c>
      <c r="W537" t="s" s="0">
        <v>1111</v>
      </c>
      <c r="X537" t="s" s="0">
        <v>81</v>
      </c>
      <c r="Y537" t="s" s="0">
        <v>81</v>
      </c>
      <c r="Z537" t="s" s="0">
        <v>90</v>
      </c>
      <c r="AA537" t="s" s="0">
        <v>91</v>
      </c>
      <c r="AB537" t="s" s="0">
        <v>81</v>
      </c>
      <c r="AC537" t="s" s="0">
        <v>81</v>
      </c>
      <c r="AD537" t="s" s="0">
        <v>81</v>
      </c>
      <c r="AE537" t="s" s="0">
        <v>81</v>
      </c>
      <c r="AF537" t="s" s="0">
        <v>81</v>
      </c>
      <c r="AG537" t="s" s="0">
        <v>12021</v>
      </c>
      <c r="AH537" t="s" s="0">
        <v>12022</v>
      </c>
      <c r="AI537" t="s" s="0">
        <v>12023</v>
      </c>
      <c r="AJ537" t="s" s="0">
        <v>12024</v>
      </c>
      <c r="AK537" t="s" s="0">
        <v>81</v>
      </c>
      <c r="AL537" t="s" s="0">
        <v>10561</v>
      </c>
      <c r="AM537" t="s" s="0">
        <v>10556</v>
      </c>
      <c r="AN537" t="s" s="0">
        <v>8208</v>
      </c>
      <c r="AO537" t="s" s="0">
        <v>97</v>
      </c>
      <c r="AP537" t="s" s="0">
        <v>210</v>
      </c>
      <c r="AQ537" t="s" s="0">
        <v>98</v>
      </c>
      <c r="AR537" t="s" s="0">
        <v>99</v>
      </c>
      <c r="AS537" t="s" s="0">
        <v>100</v>
      </c>
      <c r="AT537" t="s" s="0">
        <v>81</v>
      </c>
      <c r="AU537" t="s" s="0">
        <v>1117</v>
      </c>
      <c r="AV537" t="s" s="0">
        <v>81</v>
      </c>
      <c r="AW537" t="s" s="0">
        <v>1118</v>
      </c>
      <c r="AX537" t="s" s="0">
        <v>1119</v>
      </c>
      <c r="AY537" t="s" s="0">
        <v>220</v>
      </c>
      <c r="AZ537" t="s" s="0">
        <v>220</v>
      </c>
      <c r="BA537" t="s" s="0">
        <v>196</v>
      </c>
      <c r="BB537" t="s" s="0">
        <v>81</v>
      </c>
      <c r="BC537" t="s" s="0">
        <v>81</v>
      </c>
      <c r="BD537" t="s" s="0">
        <v>81</v>
      </c>
      <c r="BE537" t="s" s="0">
        <v>81</v>
      </c>
      <c r="BF537" t="s" s="0">
        <v>81</v>
      </c>
      <c r="BG537" t="s" s="0">
        <v>12025</v>
      </c>
      <c r="BH537" t="s" s="0">
        <v>12026</v>
      </c>
      <c r="BI537" t="s" s="0">
        <v>81</v>
      </c>
      <c r="BJ537" t="s" s="0">
        <v>12027</v>
      </c>
      <c r="BK537" t="s" s="1065">
        <f>HYPERLINK("http://dx.doi.org/10.1109/OJCOMS.2022.3215676","http://dx.doi.org/10.1109/OJCOMS.2022.3215676")</f>
        <v>12028</v>
      </c>
      <c r="BL537" t="s" s="0">
        <v>81</v>
      </c>
      <c r="BM537" t="s" s="0">
        <v>81</v>
      </c>
      <c r="BN537" t="s" s="0">
        <v>344</v>
      </c>
      <c r="BO537" t="s" s="0">
        <v>1124</v>
      </c>
      <c r="BP537" t="s" s="0">
        <v>1125</v>
      </c>
      <c r="BQ537" t="s" s="0">
        <v>12029</v>
      </c>
      <c r="BR537" t="s" s="0">
        <v>81</v>
      </c>
      <c r="BS537" t="s" s="0">
        <v>12030</v>
      </c>
      <c r="BT537" t="s" s="1066">
        <f>HYPERLINK("https://www.webofscience.com/wos/woscc/full-record/WOS:000886914800005","View Record in Web of Science")</f>
        <v>114</v>
      </c>
      <c r="BU537" t="s" s="0">
        <v>301</v>
      </c>
      <c r="BV537" t="s" s="0">
        <v>81</v>
      </c>
      <c r="BW537" t="s" s="0">
        <v>81</v>
      </c>
      <c r="BX537" t="s" s="0">
        <v>116</v>
      </c>
    </row>
    <row r="538">
      <c r="A538" t="s" s="0">
        <v>77</v>
      </c>
      <c r="B538" t="s" s="0">
        <v>77</v>
      </c>
      <c r="C538" t="s" s="0">
        <v>77</v>
      </c>
      <c r="D538" t="s" s="0">
        <v>77</v>
      </c>
      <c r="E538" t="s" s="0">
        <v>12031</v>
      </c>
      <c r="F538" t="s" s="0">
        <v>12032</v>
      </c>
      <c r="G538" t="s" s="0">
        <v>12033</v>
      </c>
      <c r="H538" t="s" s="0">
        <v>81</v>
      </c>
      <c r="I538" t="s" s="0">
        <v>82</v>
      </c>
      <c r="J538" t="s" s="0">
        <v>12034</v>
      </c>
      <c r="K538" t="s" s="0">
        <v>12035</v>
      </c>
      <c r="L538" t="s" s="0">
        <v>12036</v>
      </c>
      <c r="M538" t="s" s="0">
        <v>12037</v>
      </c>
      <c r="N538" t="s" s="0">
        <v>12038</v>
      </c>
      <c r="O538" t="s" s="0">
        <v>12039</v>
      </c>
      <c r="P538" t="s" s="0">
        <v>12040</v>
      </c>
      <c r="Q538" t="s" s="0">
        <v>87</v>
      </c>
      <c r="R538" t="s" s="0">
        <v>81</v>
      </c>
      <c r="S538" t="s" s="0">
        <v>81</v>
      </c>
      <c r="T538" t="s" s="0">
        <v>81</v>
      </c>
      <c r="U538" t="s" s="0">
        <v>81</v>
      </c>
      <c r="V538" t="s" s="0">
        <v>12041</v>
      </c>
      <c r="W538" t="s" s="0">
        <v>12042</v>
      </c>
      <c r="X538" t="s" s="0">
        <v>81</v>
      </c>
      <c r="Y538" t="s" s="0">
        <v>81</v>
      </c>
      <c r="Z538" t="s" s="0">
        <v>90</v>
      </c>
      <c r="AA538" t="s" s="0">
        <v>1581</v>
      </c>
      <c r="AB538" t="s" s="0">
        <v>81</v>
      </c>
      <c r="AC538" t="s" s="0">
        <v>81</v>
      </c>
      <c r="AD538" t="s" s="0">
        <v>81</v>
      </c>
      <c r="AE538" t="s" s="0">
        <v>81</v>
      </c>
      <c r="AF538" t="s" s="0">
        <v>81</v>
      </c>
      <c r="AG538" t="s" s="0">
        <v>12043</v>
      </c>
      <c r="AH538" t="s" s="0">
        <v>4100</v>
      </c>
      <c r="AI538" t="s" s="0">
        <v>81</v>
      </c>
      <c r="AJ538" t="s" s="0">
        <v>81</v>
      </c>
      <c r="AK538" t="s" s="0">
        <v>81</v>
      </c>
      <c r="AL538" t="s" s="0">
        <v>890</v>
      </c>
      <c r="AM538" t="s" s="0">
        <v>77</v>
      </c>
      <c r="AN538" t="s" s="0">
        <v>77</v>
      </c>
      <c r="AO538" t="s" s="0">
        <v>77</v>
      </c>
      <c r="AP538" t="s" s="0">
        <v>77</v>
      </c>
      <c r="AQ538" t="s" s="0">
        <v>212</v>
      </c>
      <c r="AR538" t="s" s="0">
        <v>213</v>
      </c>
      <c r="AS538" t="s" s="0">
        <v>214</v>
      </c>
      <c r="AT538" t="s" s="0">
        <v>12044</v>
      </c>
      <c r="AU538" t="s" s="0">
        <v>12045</v>
      </c>
      <c r="AV538" t="s" s="0">
        <v>81</v>
      </c>
      <c r="AW538" t="s" s="0">
        <v>12046</v>
      </c>
      <c r="AX538" t="s" s="0">
        <v>12047</v>
      </c>
      <c r="AY538" t="s" s="0">
        <v>81</v>
      </c>
      <c r="AZ538" t="s" s="0">
        <v>103</v>
      </c>
      <c r="BA538" t="s" s="0">
        <v>81</v>
      </c>
      <c r="BB538" t="s" s="0">
        <v>81</v>
      </c>
      <c r="BC538" t="s" s="0">
        <v>81</v>
      </c>
      <c r="BD538" t="s" s="0">
        <v>81</v>
      </c>
      <c r="BE538" t="s" s="0">
        <v>81</v>
      </c>
      <c r="BF538" t="s" s="0">
        <v>81</v>
      </c>
      <c r="BG538" t="s" s="0">
        <v>81</v>
      </c>
      <c r="BH538" t="s" s="0">
        <v>81</v>
      </c>
      <c r="BI538" t="s" s="0">
        <v>81</v>
      </c>
      <c r="BJ538" t="s" s="0">
        <v>12048</v>
      </c>
      <c r="BK538" t="s" s="1067">
        <f>HYPERLINK("http://dx.doi.org/10.1007/s11255-026-05342-7","http://dx.doi.org/10.1007/s11255-026-05342-7")</f>
        <v>12049</v>
      </c>
      <c r="BL538" t="s" s="0">
        <v>81</v>
      </c>
      <c r="BM538" t="s" s="0">
        <v>6101</v>
      </c>
      <c r="BN538" t="s" s="0">
        <v>191</v>
      </c>
      <c r="BO538" t="s" s="0">
        <v>2334</v>
      </c>
      <c r="BP538" t="s" s="0">
        <v>2334</v>
      </c>
      <c r="BQ538" t="s" s="0">
        <v>12050</v>
      </c>
      <c r="BR538" t="s" s="0">
        <v>12051</v>
      </c>
      <c r="BS538" t="s" s="0">
        <v>12052</v>
      </c>
      <c r="BT538" t="s" s="1068">
        <f>HYPERLINK("https://www.webofscience.com/wos/woscc/full-record/WOS:001851778600001","View Record in Web of Science")</f>
        <v>114</v>
      </c>
      <c r="BU538" t="s" s="0">
        <v>11347</v>
      </c>
      <c r="BV538" t="s" s="0">
        <v>81</v>
      </c>
      <c r="BW538" t="s" s="0">
        <v>81</v>
      </c>
      <c r="BX538" t="s" s="0">
        <v>116</v>
      </c>
    </row>
    <row r="539">
      <c r="A539" t="s" s="0">
        <v>77</v>
      </c>
      <c r="B539" t="s" s="0">
        <v>77</v>
      </c>
      <c r="C539" t="s" s="0">
        <v>77</v>
      </c>
      <c r="D539" t="s" s="0">
        <v>77</v>
      </c>
      <c r="E539" t="s" s="0">
        <v>12053</v>
      </c>
      <c r="F539" t="s" s="0">
        <v>12054</v>
      </c>
      <c r="G539" t="s" s="0">
        <v>12055</v>
      </c>
      <c r="H539" t="s" s="0">
        <v>81</v>
      </c>
      <c r="I539" t="s" s="0">
        <v>82</v>
      </c>
      <c r="J539" t="s" s="0">
        <v>12056</v>
      </c>
      <c r="K539" t="s" s="0">
        <v>12057</v>
      </c>
      <c r="L539" t="s" s="0">
        <v>81</v>
      </c>
      <c r="M539" t="s" s="0">
        <v>81</v>
      </c>
      <c r="N539" t="s" s="0">
        <v>81</v>
      </c>
      <c r="O539" t="s" s="0">
        <v>12058</v>
      </c>
      <c r="P539" t="s" s="0">
        <v>12059</v>
      </c>
      <c r="Q539" t="s" s="0">
        <v>87</v>
      </c>
      <c r="R539" t="s" s="0">
        <v>81</v>
      </c>
      <c r="S539" t="s" s="0">
        <v>81</v>
      </c>
      <c r="T539" t="s" s="0">
        <v>81</v>
      </c>
      <c r="U539" t="s" s="0">
        <v>81</v>
      </c>
      <c r="V539" t="s" s="0">
        <v>12060</v>
      </c>
      <c r="W539" t="s" s="0">
        <v>89</v>
      </c>
      <c r="X539" t="s" s="0">
        <v>81</v>
      </c>
      <c r="Y539" t="s" s="0">
        <v>81</v>
      </c>
      <c r="Z539" t="s" s="0">
        <v>90</v>
      </c>
      <c r="AA539" t="s" s="0">
        <v>91</v>
      </c>
      <c r="AB539" t="s" s="0">
        <v>81</v>
      </c>
      <c r="AC539" t="s" s="0">
        <v>81</v>
      </c>
      <c r="AD539" t="s" s="0">
        <v>81</v>
      </c>
      <c r="AE539" t="s" s="0">
        <v>81</v>
      </c>
      <c r="AF539" t="s" s="0">
        <v>81</v>
      </c>
      <c r="AG539" t="s" s="0">
        <v>12061</v>
      </c>
      <c r="AH539" t="s" s="0">
        <v>12062</v>
      </c>
      <c r="AI539" t="s" s="0">
        <v>12063</v>
      </c>
      <c r="AJ539" t="s" s="0">
        <v>12064</v>
      </c>
      <c r="AK539" t="s" s="0">
        <v>81</v>
      </c>
      <c r="AL539" t="s" s="0">
        <v>344</v>
      </c>
      <c r="AM539" t="s" s="0">
        <v>156</v>
      </c>
      <c r="AN539" t="s" s="0">
        <v>156</v>
      </c>
      <c r="AO539" t="s" s="0">
        <v>77</v>
      </c>
      <c r="AP539" t="s" s="0">
        <v>97</v>
      </c>
      <c r="AQ539" t="s" s="0">
        <v>98</v>
      </c>
      <c r="AR539" t="s" s="0">
        <v>99</v>
      </c>
      <c r="AS539" t="s" s="0">
        <v>100</v>
      </c>
      <c r="AT539" t="s" s="0">
        <v>101</v>
      </c>
      <c r="AU539" t="s" s="0">
        <v>81</v>
      </c>
      <c r="AV539" t="s" s="0">
        <v>81</v>
      </c>
      <c r="AW539" t="s" s="0">
        <v>89</v>
      </c>
      <c r="AX539" t="s" s="0">
        <v>102</v>
      </c>
      <c r="AY539" t="s" s="0">
        <v>290</v>
      </c>
      <c r="AZ539" t="s" s="0">
        <v>290</v>
      </c>
      <c r="BA539" t="s" s="0">
        <v>486</v>
      </c>
      <c r="BB539" t="s" s="0">
        <v>81</v>
      </c>
      <c r="BC539" t="s" s="0">
        <v>81</v>
      </c>
      <c r="BD539" t="s" s="0">
        <v>81</v>
      </c>
      <c r="BE539" t="s" s="0">
        <v>81</v>
      </c>
      <c r="BF539" t="s" s="0">
        <v>81</v>
      </c>
      <c r="BG539" t="s" s="0">
        <v>12065</v>
      </c>
      <c r="BH539" t="s" s="0">
        <v>12066</v>
      </c>
      <c r="BI539" t="s" s="0">
        <v>81</v>
      </c>
      <c r="BJ539" t="s" s="0">
        <v>12067</v>
      </c>
      <c r="BK539" t="s" s="1069">
        <f>HYPERLINK("http://dx.doi.org/10.1109/ACCESS.2025.3609459","http://dx.doi.org/10.1109/ACCESS.2025.3609459")</f>
        <v>12068</v>
      </c>
      <c r="BL539" t="s" s="0">
        <v>81</v>
      </c>
      <c r="BM539" t="s" s="0">
        <v>81</v>
      </c>
      <c r="BN539" t="s" s="0">
        <v>486</v>
      </c>
      <c r="BO539" t="s" s="0">
        <v>110</v>
      </c>
      <c r="BP539" t="s" s="0">
        <v>111</v>
      </c>
      <c r="BQ539" t="s" s="0">
        <v>12069</v>
      </c>
      <c r="BR539" t="s" s="0">
        <v>81</v>
      </c>
      <c r="BS539" t="s" s="0">
        <v>12070</v>
      </c>
      <c r="BT539" t="s" s="1070">
        <f>HYPERLINK("https://www.webofscience.com/wos/woscc/full-record/WOS:001575778800010","View Record in Web of Science")</f>
        <v>114</v>
      </c>
      <c r="BU539" t="s" s="0">
        <v>301</v>
      </c>
      <c r="BV539" t="s" s="0">
        <v>81</v>
      </c>
      <c r="BW539" t="s" s="0">
        <v>81</v>
      </c>
      <c r="BX539" t="s" s="0">
        <v>116</v>
      </c>
    </row>
    <row r="540">
      <c r="A540" t="s" s="0">
        <v>77</v>
      </c>
      <c r="B540" t="s" s="0">
        <v>77</v>
      </c>
      <c r="C540" t="s" s="0">
        <v>77</v>
      </c>
      <c r="D540" t="s" s="0">
        <v>77</v>
      </c>
      <c r="E540" t="s" s="0">
        <v>12071</v>
      </c>
      <c r="F540" t="s" s="0">
        <v>12072</v>
      </c>
      <c r="G540" t="s" s="0">
        <v>12073</v>
      </c>
      <c r="H540" t="s" s="0">
        <v>81</v>
      </c>
      <c r="I540" t="s" s="0">
        <v>238</v>
      </c>
      <c r="J540" t="s" s="0">
        <v>12074</v>
      </c>
      <c r="K540" t="s" s="0">
        <v>12075</v>
      </c>
      <c r="L540" t="s" s="0">
        <v>81</v>
      </c>
      <c r="M540" t="s" s="0">
        <v>81</v>
      </c>
      <c r="N540" t="s" s="0">
        <v>81</v>
      </c>
      <c r="O540" t="s" s="0">
        <v>12076</v>
      </c>
      <c r="P540" t="s" s="0">
        <v>1136</v>
      </c>
      <c r="Q540" t="s" s="0">
        <v>87</v>
      </c>
      <c r="R540" t="s" s="0">
        <v>81</v>
      </c>
      <c r="S540" t="s" s="0">
        <v>81</v>
      </c>
      <c r="T540" t="s" s="0">
        <v>81</v>
      </c>
      <c r="U540" t="s" s="0">
        <v>81</v>
      </c>
      <c r="V540" t="s" s="0">
        <v>12077</v>
      </c>
      <c r="W540" t="s" s="0">
        <v>886</v>
      </c>
      <c r="X540" t="s" s="0">
        <v>81</v>
      </c>
      <c r="Y540" t="s" s="0">
        <v>81</v>
      </c>
      <c r="Z540" t="s" s="0">
        <v>90</v>
      </c>
      <c r="AA540" t="s" s="0">
        <v>91</v>
      </c>
      <c r="AB540" t="s" s="0">
        <v>81</v>
      </c>
      <c r="AC540" t="s" s="0">
        <v>81</v>
      </c>
      <c r="AD540" t="s" s="0">
        <v>81</v>
      </c>
      <c r="AE540" t="s" s="0">
        <v>81</v>
      </c>
      <c r="AF540" t="s" s="0">
        <v>81</v>
      </c>
      <c r="AG540" t="s" s="0">
        <v>12078</v>
      </c>
      <c r="AH540" t="s" s="0">
        <v>12079</v>
      </c>
      <c r="AI540" t="s" s="0">
        <v>81</v>
      </c>
      <c r="AJ540" t="s" s="0">
        <v>81</v>
      </c>
      <c r="AK540" t="s" s="0">
        <v>81</v>
      </c>
      <c r="AL540" t="s" s="0">
        <v>150</v>
      </c>
      <c r="AM540" t="s" s="0">
        <v>77</v>
      </c>
      <c r="AN540" t="s" s="0">
        <v>77</v>
      </c>
      <c r="AO540" t="s" s="0">
        <v>97</v>
      </c>
      <c r="AP540" t="s" s="0">
        <v>97</v>
      </c>
      <c r="AQ540" t="s" s="0">
        <v>368</v>
      </c>
      <c r="AR540" t="s" s="0">
        <v>369</v>
      </c>
      <c r="AS540" t="s" s="0">
        <v>370</v>
      </c>
      <c r="AT540" t="s" s="0">
        <v>81</v>
      </c>
      <c r="AU540" t="s" s="0">
        <v>891</v>
      </c>
      <c r="AV540" t="s" s="0">
        <v>81</v>
      </c>
      <c r="AW540" t="s" s="0">
        <v>892</v>
      </c>
      <c r="AX540" t="s" s="0">
        <v>893</v>
      </c>
      <c r="AY540" t="s" s="0">
        <v>12080</v>
      </c>
      <c r="AZ540" t="s" s="0">
        <v>103</v>
      </c>
      <c r="BA540" t="s" s="0">
        <v>261</v>
      </c>
      <c r="BB540" t="s" s="0">
        <v>81</v>
      </c>
      <c r="BC540" t="s" s="0">
        <v>81</v>
      </c>
      <c r="BD540" t="s" s="0">
        <v>81</v>
      </c>
      <c r="BE540" t="s" s="0">
        <v>81</v>
      </c>
      <c r="BF540" t="s" s="0">
        <v>81</v>
      </c>
      <c r="BG540" t="s" s="0">
        <v>81</v>
      </c>
      <c r="BH540" t="s" s="0">
        <v>81</v>
      </c>
      <c r="BI540" t="s" s="0">
        <v>12081</v>
      </c>
      <c r="BJ540" t="s" s="0">
        <v>12082</v>
      </c>
      <c r="BK540" t="s" s="1071">
        <f>HYPERLINK("http://dx.doi.org/10.3389/frai.2026.1853361","http://dx.doi.org/10.3389/frai.2026.1853361")</f>
        <v>12083</v>
      </c>
      <c r="BL540" t="s" s="0">
        <v>81</v>
      </c>
      <c r="BM540" t="s" s="0">
        <v>849</v>
      </c>
      <c r="BN540" t="s" s="0">
        <v>344</v>
      </c>
      <c r="BO540" t="s" s="0">
        <v>898</v>
      </c>
      <c r="BP540" t="s" s="0">
        <v>152</v>
      </c>
      <c r="BQ540" t="s" s="0">
        <v>12084</v>
      </c>
      <c r="BR540" t="s" s="0">
        <v>12085</v>
      </c>
      <c r="BS540" t="s" s="0">
        <v>12086</v>
      </c>
      <c r="BT540" t="s" s="1072">
        <f>HYPERLINK("https://www.webofscience.com/wos/woscc/full-record/WOS:001813863500001","View Record in Web of Science")</f>
        <v>114</v>
      </c>
      <c r="BU540" t="s" s="0">
        <v>301</v>
      </c>
      <c r="BV540" t="s" s="0">
        <v>81</v>
      </c>
      <c r="BW540" t="s" s="0">
        <v>81</v>
      </c>
      <c r="BX540" t="s" s="0">
        <v>116</v>
      </c>
    </row>
    <row r="541">
      <c r="A541" t="s" s="0">
        <v>77</v>
      </c>
      <c r="B541" t="s" s="0">
        <v>77</v>
      </c>
      <c r="C541" t="s" s="0">
        <v>77</v>
      </c>
      <c r="D541" t="s" s="0">
        <v>77</v>
      </c>
      <c r="E541" t="s" s="0">
        <v>12087</v>
      </c>
      <c r="F541" t="s" s="0">
        <v>12088</v>
      </c>
      <c r="G541" t="s" s="0">
        <v>12089</v>
      </c>
      <c r="H541" t="s" s="0">
        <v>81</v>
      </c>
      <c r="I541" t="s" s="0">
        <v>238</v>
      </c>
      <c r="J541" t="s" s="0">
        <v>12090</v>
      </c>
      <c r="K541" t="s" s="0">
        <v>12091</v>
      </c>
      <c r="L541" t="s" s="0">
        <v>6513</v>
      </c>
      <c r="M541" t="s" s="0">
        <v>6513</v>
      </c>
      <c r="N541" t="s" s="0">
        <v>6514</v>
      </c>
      <c r="O541" t="s" s="0">
        <v>12092</v>
      </c>
      <c r="P541" t="s" s="0">
        <v>11077</v>
      </c>
      <c r="Q541" t="s" s="0">
        <v>87</v>
      </c>
      <c r="R541" t="s" s="0">
        <v>81</v>
      </c>
      <c r="S541" t="s" s="0">
        <v>81</v>
      </c>
      <c r="T541" t="s" s="0">
        <v>81</v>
      </c>
      <c r="U541" t="s" s="0">
        <v>81</v>
      </c>
      <c r="V541" t="s" s="0">
        <v>12093</v>
      </c>
      <c r="W541" t="s" s="0">
        <v>11457</v>
      </c>
      <c r="X541" t="s" s="0">
        <v>81</v>
      </c>
      <c r="Y541" t="s" s="0">
        <v>81</v>
      </c>
      <c r="Z541" t="s" s="0">
        <v>90</v>
      </c>
      <c r="AA541" t="s" s="0">
        <v>91</v>
      </c>
      <c r="AB541" t="s" s="0">
        <v>81</v>
      </c>
      <c r="AC541" t="s" s="0">
        <v>81</v>
      </c>
      <c r="AD541" t="s" s="0">
        <v>81</v>
      </c>
      <c r="AE541" t="s" s="0">
        <v>81</v>
      </c>
      <c r="AF541" t="s" s="0">
        <v>81</v>
      </c>
      <c r="AG541" t="s" s="0">
        <v>12094</v>
      </c>
      <c r="AH541" t="s" s="0">
        <v>81</v>
      </c>
      <c r="AI541" t="s" s="0">
        <v>81</v>
      </c>
      <c r="AJ541" t="s" s="0">
        <v>81</v>
      </c>
      <c r="AK541" t="s" s="0">
        <v>81</v>
      </c>
      <c r="AL541" t="s" s="0">
        <v>253</v>
      </c>
      <c r="AM541" t="s" s="0">
        <v>77</v>
      </c>
      <c r="AN541" t="s" s="0">
        <v>77</v>
      </c>
      <c r="AO541" t="s" s="0">
        <v>97</v>
      </c>
      <c r="AP541" t="s" s="0">
        <v>97</v>
      </c>
      <c r="AQ541" t="s" s="0">
        <v>212</v>
      </c>
      <c r="AR541" t="s" s="0">
        <v>429</v>
      </c>
      <c r="AS541" t="s" s="0">
        <v>784</v>
      </c>
      <c r="AT541" t="s" s="0">
        <v>81</v>
      </c>
      <c r="AU541" t="s" s="0">
        <v>11461</v>
      </c>
      <c r="AV541" t="s" s="0">
        <v>81</v>
      </c>
      <c r="AW541" t="s" s="0">
        <v>11462</v>
      </c>
      <c r="AX541" t="s" s="0">
        <v>11463</v>
      </c>
      <c r="AY541" t="s" s="0">
        <v>12095</v>
      </c>
      <c r="AZ541" t="s" s="0">
        <v>103</v>
      </c>
      <c r="BA541" t="s" s="0">
        <v>381</v>
      </c>
      <c r="BB541" t="s" s="0">
        <v>316</v>
      </c>
      <c r="BC541" t="s" s="0">
        <v>81</v>
      </c>
      <c r="BD541" t="s" s="0">
        <v>81</v>
      </c>
      <c r="BE541" t="s" s="0">
        <v>81</v>
      </c>
      <c r="BF541" t="s" s="0">
        <v>81</v>
      </c>
      <c r="BG541" t="s" s="0">
        <v>81</v>
      </c>
      <c r="BH541" t="s" s="0">
        <v>81</v>
      </c>
      <c r="BI541" t="s" s="0">
        <v>12096</v>
      </c>
      <c r="BJ541" t="s" s="0">
        <v>12097</v>
      </c>
      <c r="BK541" t="s" s="1073">
        <f>HYPERLINK("http://dx.doi.org/10.1007/s42452-026-08618-w","http://dx.doi.org/10.1007/s42452-026-08618-w")</f>
        <v>12098</v>
      </c>
      <c r="BL541" t="s" s="0">
        <v>81</v>
      </c>
      <c r="BM541" t="s" s="0">
        <v>81</v>
      </c>
      <c r="BN541" t="s" s="0">
        <v>252</v>
      </c>
      <c r="BO541" t="s" s="0">
        <v>926</v>
      </c>
      <c r="BP541" t="s" s="0">
        <v>927</v>
      </c>
      <c r="BQ541" t="s" s="0">
        <v>12099</v>
      </c>
      <c r="BR541" t="s" s="0">
        <v>81</v>
      </c>
      <c r="BS541" t="s" s="0">
        <v>12100</v>
      </c>
      <c r="BT541" t="s" s="1074">
        <f>HYPERLINK("https://www.webofscience.com/wos/woscc/full-record/WOS:001787049800001","View Record in Web of Science")</f>
        <v>114</v>
      </c>
      <c r="BU541" t="s" s="0">
        <v>301</v>
      </c>
      <c r="BV541" t="s" s="0">
        <v>81</v>
      </c>
      <c r="BW541" t="s" s="0">
        <v>81</v>
      </c>
      <c r="BX541" t="s" s="0">
        <v>116</v>
      </c>
    </row>
    <row r="542">
      <c r="A542" t="s" s="0">
        <v>77</v>
      </c>
      <c r="B542" t="s" s="0">
        <v>77</v>
      </c>
      <c r="C542" t="s" s="0">
        <v>97</v>
      </c>
      <c r="D542" t="s" s="0">
        <v>77</v>
      </c>
      <c r="E542" t="s" s="0">
        <v>12101</v>
      </c>
      <c r="F542" t="s" s="0">
        <v>12102</v>
      </c>
      <c r="G542" t="s" s="0">
        <v>12103</v>
      </c>
      <c r="H542" t="s" s="0">
        <v>81</v>
      </c>
      <c r="I542" t="s" s="0">
        <v>82</v>
      </c>
      <c r="J542" t="s" s="0">
        <v>12104</v>
      </c>
      <c r="K542" t="s" s="0">
        <v>12105</v>
      </c>
      <c r="L542" t="s" s="0">
        <v>12106</v>
      </c>
      <c r="M542" t="s" s="0">
        <v>12107</v>
      </c>
      <c r="N542" t="s" s="0">
        <v>12108</v>
      </c>
      <c r="O542" t="s" s="0">
        <v>12109</v>
      </c>
      <c r="P542" t="s" s="0">
        <v>12110</v>
      </c>
      <c r="Q542" t="s" s="0">
        <v>87</v>
      </c>
      <c r="R542" t="s" s="0">
        <v>81</v>
      </c>
      <c r="S542" t="s" s="0">
        <v>81</v>
      </c>
      <c r="T542" t="s" s="0">
        <v>81</v>
      </c>
      <c r="U542" t="s" s="0">
        <v>81</v>
      </c>
      <c r="V542" t="s" s="0">
        <v>12111</v>
      </c>
      <c r="W542" t="s" s="0">
        <v>2158</v>
      </c>
      <c r="X542" t="s" s="0">
        <v>81</v>
      </c>
      <c r="Y542" t="s" s="0">
        <v>81</v>
      </c>
      <c r="Z542" t="s" s="0">
        <v>90</v>
      </c>
      <c r="AA542" t="s" s="0">
        <v>91</v>
      </c>
      <c r="AB542" t="s" s="0">
        <v>81</v>
      </c>
      <c r="AC542" t="s" s="0">
        <v>81</v>
      </c>
      <c r="AD542" t="s" s="0">
        <v>81</v>
      </c>
      <c r="AE542" t="s" s="0">
        <v>81</v>
      </c>
      <c r="AF542" t="s" s="0">
        <v>81</v>
      </c>
      <c r="AG542" t="s" s="0">
        <v>12112</v>
      </c>
      <c r="AH542" t="s" s="0">
        <v>81</v>
      </c>
      <c r="AI542" t="s" s="0">
        <v>12113</v>
      </c>
      <c r="AJ542" t="s" s="0">
        <v>12114</v>
      </c>
      <c r="AK542" t="s" s="0">
        <v>81</v>
      </c>
      <c r="AL542" t="s" s="0">
        <v>173</v>
      </c>
      <c r="AM542" t="s" s="0">
        <v>175</v>
      </c>
      <c r="AN542" t="s" s="0">
        <v>175</v>
      </c>
      <c r="AO542" t="s" s="0">
        <v>156</v>
      </c>
      <c r="AP542" t="s" s="0">
        <v>261</v>
      </c>
      <c r="AQ542" t="s" s="0">
        <v>1344</v>
      </c>
      <c r="AR542" t="s" s="0">
        <v>1345</v>
      </c>
      <c r="AS542" t="s" s="0">
        <v>1346</v>
      </c>
      <c r="AT542" t="s" s="0">
        <v>2163</v>
      </c>
      <c r="AU542" t="s" s="0">
        <v>2164</v>
      </c>
      <c r="AV542" t="s" s="0">
        <v>81</v>
      </c>
      <c r="AW542" t="s" s="0">
        <v>2165</v>
      </c>
      <c r="AX542" t="s" s="0">
        <v>2166</v>
      </c>
      <c r="AY542" t="s" s="0">
        <v>10887</v>
      </c>
      <c r="AZ542" t="s" s="0">
        <v>290</v>
      </c>
      <c r="BA542" t="s" s="0">
        <v>12115</v>
      </c>
      <c r="BB542" t="s" s="0">
        <v>81</v>
      </c>
      <c r="BC542" t="s" s="0">
        <v>81</v>
      </c>
      <c r="BD542" t="s" s="0">
        <v>81</v>
      </c>
      <c r="BE542" t="s" s="0">
        <v>81</v>
      </c>
      <c r="BF542" t="s" s="0">
        <v>81</v>
      </c>
      <c r="BG542" t="s" s="0">
        <v>81</v>
      </c>
      <c r="BH542" t="s" s="0">
        <v>81</v>
      </c>
      <c r="BI542" t="s" s="0">
        <v>12116</v>
      </c>
      <c r="BJ542" t="s" s="0">
        <v>12117</v>
      </c>
      <c r="BK542" t="s" s="1075">
        <f>HYPERLINK("http://dx.doi.org/10.1016/j.engappai.2024.109681","http://dx.doi.org/10.1016/j.engappai.2024.109681")</f>
        <v>12118</v>
      </c>
      <c r="BL542" t="s" s="0">
        <v>81</v>
      </c>
      <c r="BM542" t="s" s="0">
        <v>6722</v>
      </c>
      <c r="BN542" t="s" s="0">
        <v>291</v>
      </c>
      <c r="BO542" t="s" s="0">
        <v>2172</v>
      </c>
      <c r="BP542" t="s" s="0">
        <v>2173</v>
      </c>
      <c r="BQ542" t="s" s="0">
        <v>12119</v>
      </c>
      <c r="BR542" t="s" s="0">
        <v>81</v>
      </c>
      <c r="BS542" t="s" s="0">
        <v>12120</v>
      </c>
      <c r="BT542" t="s" s="1076">
        <f>HYPERLINK("https://www.webofscience.com/wos/woscc/full-record/WOS:001377055700001","View Record in Web of Science")</f>
        <v>114</v>
      </c>
      <c r="BU542" t="s" s="0">
        <v>81</v>
      </c>
      <c r="BV542" t="s" s="0">
        <v>81</v>
      </c>
      <c r="BW542" t="s" s="0">
        <v>81</v>
      </c>
      <c r="BX542" t="s" s="0">
        <v>116</v>
      </c>
    </row>
    <row r="543">
      <c r="A543" t="s" s="0">
        <v>97</v>
      </c>
      <c r="B543" t="s" s="0">
        <v>77</v>
      </c>
      <c r="C543" t="s" s="0">
        <v>77</v>
      </c>
      <c r="D543" t="s" s="0">
        <v>77</v>
      </c>
      <c r="E543" t="s" s="0">
        <v>12121</v>
      </c>
      <c r="F543" t="s" s="0">
        <v>12122</v>
      </c>
      <c r="G543" t="s" s="0">
        <v>12123</v>
      </c>
      <c r="H543" t="s" s="0">
        <v>81</v>
      </c>
      <c r="I543" t="s" s="0">
        <v>82</v>
      </c>
      <c r="J543" t="s" s="0">
        <v>12124</v>
      </c>
      <c r="K543" t="s" s="0">
        <v>12125</v>
      </c>
      <c r="L543" t="s" s="0">
        <v>12126</v>
      </c>
      <c r="M543" t="s" s="0">
        <v>1850</v>
      </c>
      <c r="N543" t="s" s="0">
        <v>12127</v>
      </c>
      <c r="O543" t="s" s="0">
        <v>12128</v>
      </c>
      <c r="P543" t="s" s="0">
        <v>12129</v>
      </c>
      <c r="Q543" t="s" s="0">
        <v>87</v>
      </c>
      <c r="R543" t="s" s="0">
        <v>81</v>
      </c>
      <c r="S543" t="s" s="0">
        <v>81</v>
      </c>
      <c r="T543" t="s" s="0">
        <v>81</v>
      </c>
      <c r="U543" t="s" s="0">
        <v>81</v>
      </c>
      <c r="V543" t="s" s="0">
        <v>12130</v>
      </c>
      <c r="W543" t="s" s="0">
        <v>12131</v>
      </c>
      <c r="X543" t="s" s="0">
        <v>81</v>
      </c>
      <c r="Y543" t="s" s="0">
        <v>81</v>
      </c>
      <c r="Z543" t="s" s="0">
        <v>90</v>
      </c>
      <c r="AA543" t="s" s="0">
        <v>91</v>
      </c>
      <c r="AB543" t="s" s="0">
        <v>81</v>
      </c>
      <c r="AC543" t="s" s="0">
        <v>81</v>
      </c>
      <c r="AD543" t="s" s="0">
        <v>81</v>
      </c>
      <c r="AE543" t="s" s="0">
        <v>81</v>
      </c>
      <c r="AF543" t="s" s="0">
        <v>81</v>
      </c>
      <c r="AG543" t="s" s="0">
        <v>12132</v>
      </c>
      <c r="AH543" t="s" s="0">
        <v>12133</v>
      </c>
      <c r="AI543" t="s" s="0">
        <v>12134</v>
      </c>
      <c r="AJ543" t="s" s="0">
        <v>12135</v>
      </c>
      <c r="AK543" t="s" s="0">
        <v>81</v>
      </c>
      <c r="AL543" t="s" s="0">
        <v>5451</v>
      </c>
      <c r="AM543" t="s" s="0">
        <v>211</v>
      </c>
      <c r="AN543" t="s" s="0">
        <v>291</v>
      </c>
      <c r="AO543" t="s" s="0">
        <v>77</v>
      </c>
      <c r="AP543" t="s" s="0">
        <v>222</v>
      </c>
      <c r="AQ543" t="s" s="0">
        <v>726</v>
      </c>
      <c r="AR543" t="s" s="0">
        <v>727</v>
      </c>
      <c r="AS543" t="s" s="0">
        <v>728</v>
      </c>
      <c r="AT543" t="s" s="0">
        <v>12136</v>
      </c>
      <c r="AU543" t="s" s="0">
        <v>12137</v>
      </c>
      <c r="AV543" t="s" s="0">
        <v>81</v>
      </c>
      <c r="AW543" t="s" s="0">
        <v>12138</v>
      </c>
      <c r="AX543" t="s" s="0">
        <v>12139</v>
      </c>
      <c r="AY543" t="s" s="0">
        <v>2427</v>
      </c>
      <c r="AZ543" t="s" s="0">
        <v>185</v>
      </c>
      <c r="BA543" t="s" s="0">
        <v>367</v>
      </c>
      <c r="BB543" t="s" s="0">
        <v>486</v>
      </c>
      <c r="BC543" t="s" s="0">
        <v>81</v>
      </c>
      <c r="BD543" t="s" s="0">
        <v>81</v>
      </c>
      <c r="BE543" t="s" s="0">
        <v>81</v>
      </c>
      <c r="BF543" t="s" s="0">
        <v>81</v>
      </c>
      <c r="BG543" t="s" s="0">
        <v>12140</v>
      </c>
      <c r="BH543" t="s" s="0">
        <v>12141</v>
      </c>
      <c r="BI543" t="s" s="0">
        <v>81</v>
      </c>
      <c r="BJ543" t="s" s="0">
        <v>12142</v>
      </c>
      <c r="BK543" t="s" s="1077">
        <f>HYPERLINK("http://dx.doi.org/10.1049/ipr2.13211","http://dx.doi.org/10.1049/ipr2.13211")</f>
        <v>12143</v>
      </c>
      <c r="BL543" t="s" s="0">
        <v>81</v>
      </c>
      <c r="BM543" t="s" s="0">
        <v>2879</v>
      </c>
      <c r="BN543" t="s" s="0">
        <v>671</v>
      </c>
      <c r="BO543" t="s" s="0">
        <v>12144</v>
      </c>
      <c r="BP543" t="s" s="0">
        <v>12145</v>
      </c>
      <c r="BQ543" t="s" s="0">
        <v>12146</v>
      </c>
      <c r="BR543" t="s" s="0">
        <v>81</v>
      </c>
      <c r="BS543" t="s" s="0">
        <v>12147</v>
      </c>
      <c r="BT543" t="s" s="1078">
        <f>HYPERLINK("https://www.webofscience.com/wos/woscc/full-record/WOS:001293373900001","View Record in Web of Science")</f>
        <v>114</v>
      </c>
      <c r="BU543" t="s" s="0">
        <v>115</v>
      </c>
      <c r="BV543" t="s" s="0">
        <v>81</v>
      </c>
      <c r="BW543" t="s" s="0">
        <v>81</v>
      </c>
      <c r="BX543" t="s" s="0">
        <v>116</v>
      </c>
    </row>
    <row r="544">
      <c r="A544" t="s" s="0">
        <v>77</v>
      </c>
      <c r="B544" t="s" s="0">
        <v>77</v>
      </c>
      <c r="C544" t="s" s="0">
        <v>77</v>
      </c>
      <c r="D544" t="s" s="0">
        <v>77</v>
      </c>
      <c r="E544" t="s" s="0">
        <v>12148</v>
      </c>
      <c r="F544" t="s" s="0">
        <v>12149</v>
      </c>
      <c r="G544" t="s" s="0">
        <v>12150</v>
      </c>
      <c r="H544" t="s" s="0">
        <v>81</v>
      </c>
      <c r="I544" t="s" s="0">
        <v>82</v>
      </c>
      <c r="J544" t="s" s="0">
        <v>12151</v>
      </c>
      <c r="K544" t="s" s="0">
        <v>12152</v>
      </c>
      <c r="L544" t="s" s="0">
        <v>12153</v>
      </c>
      <c r="M544" t="s" s="0">
        <v>12154</v>
      </c>
      <c r="N544" t="s" s="0">
        <v>12155</v>
      </c>
      <c r="O544" t="s" s="0">
        <v>12156</v>
      </c>
      <c r="P544" t="s" s="0">
        <v>12157</v>
      </c>
      <c r="Q544" t="s" s="0">
        <v>87</v>
      </c>
      <c r="R544" t="s" s="0">
        <v>81</v>
      </c>
      <c r="S544" t="s" s="0">
        <v>81</v>
      </c>
      <c r="T544" t="s" s="0">
        <v>81</v>
      </c>
      <c r="U544" t="s" s="0">
        <v>81</v>
      </c>
      <c r="V544" t="s" s="0">
        <v>12158</v>
      </c>
      <c r="W544" t="s" s="0">
        <v>1602</v>
      </c>
      <c r="X544" t="s" s="0">
        <v>81</v>
      </c>
      <c r="Y544" t="s" s="0">
        <v>81</v>
      </c>
      <c r="Z544" t="s" s="0">
        <v>90</v>
      </c>
      <c r="AA544" t="s" s="0">
        <v>91</v>
      </c>
      <c r="AB544" t="s" s="0">
        <v>81</v>
      </c>
      <c r="AC544" t="s" s="0">
        <v>81</v>
      </c>
      <c r="AD544" t="s" s="0">
        <v>81</v>
      </c>
      <c r="AE544" t="s" s="0">
        <v>81</v>
      </c>
      <c r="AF544" t="s" s="0">
        <v>81</v>
      </c>
      <c r="AG544" t="s" s="0">
        <v>12159</v>
      </c>
      <c r="AH544" t="s" s="0">
        <v>81</v>
      </c>
      <c r="AI544" t="s" s="0">
        <v>12160</v>
      </c>
      <c r="AJ544" t="s" s="0">
        <v>12161</v>
      </c>
      <c r="AK544" t="s" s="0">
        <v>81</v>
      </c>
      <c r="AL544" t="s" s="0">
        <v>890</v>
      </c>
      <c r="AM544" t="s" s="0">
        <v>77</v>
      </c>
      <c r="AN544" t="s" s="0">
        <v>77</v>
      </c>
      <c r="AO544" t="s" s="0">
        <v>77</v>
      </c>
      <c r="AP544" t="s" s="0">
        <v>77</v>
      </c>
      <c r="AQ544" t="s" s="0">
        <v>1608</v>
      </c>
      <c r="AR544" t="s" s="0">
        <v>1609</v>
      </c>
      <c r="AS544" t="s" s="0">
        <v>1610</v>
      </c>
      <c r="AT544" t="s" s="0">
        <v>1611</v>
      </c>
      <c r="AU544" t="s" s="0">
        <v>1612</v>
      </c>
      <c r="AV544" t="s" s="0">
        <v>81</v>
      </c>
      <c r="AW544" t="s" s="0">
        <v>1613</v>
      </c>
      <c r="AX544" t="s" s="0">
        <v>1614</v>
      </c>
      <c r="AY544" t="s" s="0">
        <v>6101</v>
      </c>
      <c r="AZ544" t="s" s="0">
        <v>103</v>
      </c>
      <c r="BA544" t="s" s="0">
        <v>12162</v>
      </c>
      <c r="BB544" t="s" s="0">
        <v>81</v>
      </c>
      <c r="BC544" t="s" s="0">
        <v>81</v>
      </c>
      <c r="BD544" t="s" s="0">
        <v>81</v>
      </c>
      <c r="BE544" t="s" s="0">
        <v>81</v>
      </c>
      <c r="BF544" t="s" s="0">
        <v>81</v>
      </c>
      <c r="BG544" t="s" s="0">
        <v>81</v>
      </c>
      <c r="BH544" t="s" s="0">
        <v>81</v>
      </c>
      <c r="BI544" t="s" s="0">
        <v>12163</v>
      </c>
      <c r="BJ544" t="s" s="0">
        <v>12164</v>
      </c>
      <c r="BK544" t="s" s="1079">
        <f>HYPERLINK("http://dx.doi.org/10.1016/j.ijmedinf.2026.106464","http://dx.doi.org/10.1016/j.ijmedinf.2026.106464")</f>
        <v>12165</v>
      </c>
      <c r="BL544" t="s" s="0">
        <v>81</v>
      </c>
      <c r="BM544" t="s" s="0">
        <v>675</v>
      </c>
      <c r="BN544" t="s" s="0">
        <v>381</v>
      </c>
      <c r="BO544" t="s" s="0">
        <v>1619</v>
      </c>
      <c r="BP544" t="s" s="0">
        <v>1620</v>
      </c>
      <c r="BQ544" t="s" s="0">
        <v>12166</v>
      </c>
      <c r="BR544" t="s" s="0">
        <v>12167</v>
      </c>
      <c r="BS544" t="s" s="0">
        <v>12168</v>
      </c>
      <c r="BT544" t="s" s="1080">
        <f>HYPERLINK("https://www.webofscience.com/wos/woscc/full-record/WOS:001765270100001","View Record in Web of Science")</f>
        <v>114</v>
      </c>
      <c r="BU544" t="s" s="0">
        <v>1055</v>
      </c>
      <c r="BV544" t="s" s="0">
        <v>81</v>
      </c>
      <c r="BW544" t="s" s="0">
        <v>81</v>
      </c>
      <c r="BX544" t="s" s="0">
        <v>116</v>
      </c>
    </row>
    <row r="545">
      <c r="A545" t="s" s="0">
        <v>77</v>
      </c>
      <c r="B545" t="s" s="0">
        <v>77</v>
      </c>
      <c r="C545" t="s" s="0">
        <v>77</v>
      </c>
      <c r="D545" t="s" s="0">
        <v>77</v>
      </c>
      <c r="E545" t="s" s="0">
        <v>12169</v>
      </c>
      <c r="F545" t="s" s="0">
        <v>12170</v>
      </c>
      <c r="G545" t="s" s="0">
        <v>12171</v>
      </c>
      <c r="H545" t="s" s="0">
        <v>81</v>
      </c>
      <c r="I545" t="s" s="0">
        <v>528</v>
      </c>
      <c r="J545" t="s" s="0">
        <v>12172</v>
      </c>
      <c r="K545" t="s" s="0">
        <v>12173</v>
      </c>
      <c r="L545" t="s" s="0">
        <v>12174</v>
      </c>
      <c r="M545" t="s" s="0">
        <v>12175</v>
      </c>
      <c r="N545" t="s" s="0">
        <v>12176</v>
      </c>
      <c r="O545" t="s" s="0">
        <v>12177</v>
      </c>
      <c r="P545" t="s" s="0">
        <v>12178</v>
      </c>
      <c r="Q545" t="s" s="0">
        <v>87</v>
      </c>
      <c r="R545" t="s" s="0">
        <v>81</v>
      </c>
      <c r="S545" t="s" s="0">
        <v>81</v>
      </c>
      <c r="T545" t="s" s="0">
        <v>81</v>
      </c>
      <c r="U545" t="s" s="0">
        <v>81</v>
      </c>
      <c r="V545" t="s" s="0">
        <v>12179</v>
      </c>
      <c r="W545" t="s" s="0">
        <v>10783</v>
      </c>
      <c r="X545" t="s" s="0">
        <v>81</v>
      </c>
      <c r="Y545" t="s" s="0">
        <v>81</v>
      </c>
      <c r="Z545" t="s" s="0">
        <v>90</v>
      </c>
      <c r="AA545" t="s" s="0">
        <v>91</v>
      </c>
      <c r="AB545" t="s" s="0">
        <v>81</v>
      </c>
      <c r="AC545" t="s" s="0">
        <v>81</v>
      </c>
      <c r="AD545" t="s" s="0">
        <v>81</v>
      </c>
      <c r="AE545" t="s" s="0">
        <v>81</v>
      </c>
      <c r="AF545" t="s" s="0">
        <v>81</v>
      </c>
      <c r="AG545" t="s" s="0">
        <v>12180</v>
      </c>
      <c r="AH545" t="s" s="0">
        <v>12181</v>
      </c>
      <c r="AI545" t="s" s="0">
        <v>12182</v>
      </c>
      <c r="AJ545" t="s" s="0">
        <v>81</v>
      </c>
      <c r="AK545" t="s" s="0">
        <v>81</v>
      </c>
      <c r="AL545" t="s" s="0">
        <v>399</v>
      </c>
      <c r="AM545" t="s" s="0">
        <v>196</v>
      </c>
      <c r="AN545" t="s" s="0">
        <v>196</v>
      </c>
      <c r="AO545" t="s" s="0">
        <v>261</v>
      </c>
      <c r="AP545" t="s" s="0">
        <v>664</v>
      </c>
      <c r="AQ545" t="s" s="0">
        <v>136</v>
      </c>
      <c r="AR545" t="s" s="0">
        <v>137</v>
      </c>
      <c r="AS545" t="s" s="0">
        <v>138</v>
      </c>
      <c r="AT545" t="s" s="0">
        <v>10788</v>
      </c>
      <c r="AU545" t="s" s="0">
        <v>10789</v>
      </c>
      <c r="AV545" t="s" s="0">
        <v>81</v>
      </c>
      <c r="AW545" t="s" s="0">
        <v>10790</v>
      </c>
      <c r="AX545" t="s" s="0">
        <v>10791</v>
      </c>
      <c r="AY545" t="s" s="0">
        <v>12183</v>
      </c>
      <c r="AZ545" t="s" s="0">
        <v>103</v>
      </c>
      <c r="BA545" t="s" s="0">
        <v>12184</v>
      </c>
      <c r="BB545" t="s" s="0">
        <v>81</v>
      </c>
      <c r="BC545" t="s" s="0">
        <v>81</v>
      </c>
      <c r="BD545" t="s" s="0">
        <v>81</v>
      </c>
      <c r="BE545" t="s" s="0">
        <v>81</v>
      </c>
      <c r="BF545" t="s" s="0">
        <v>81</v>
      </c>
      <c r="BG545" t="s" s="0">
        <v>81</v>
      </c>
      <c r="BH545" t="s" s="0">
        <v>81</v>
      </c>
      <c r="BI545" t="s" s="0">
        <v>12185</v>
      </c>
      <c r="BJ545" t="s" s="0">
        <v>12186</v>
      </c>
      <c r="BK545" t="s" s="1081">
        <f>HYPERLINK("http://dx.doi.org/10.1016/j.jad.2025.120169","http://dx.doi.org/10.1016/j.jad.2025.120169")</f>
        <v>12187</v>
      </c>
      <c r="BL545" t="s" s="0">
        <v>81</v>
      </c>
      <c r="BM545" t="s" s="0">
        <v>1869</v>
      </c>
      <c r="BN545" t="s" s="0">
        <v>291</v>
      </c>
      <c r="BO545" t="s" s="0">
        <v>10797</v>
      </c>
      <c r="BP545" t="s" s="0">
        <v>8096</v>
      </c>
      <c r="BQ545" t="s" s="0">
        <v>12188</v>
      </c>
      <c r="BR545" t="s" s="0">
        <v>12189</v>
      </c>
      <c r="BS545" t="s" s="0">
        <v>12190</v>
      </c>
      <c r="BT545" t="s" s="1082">
        <f>HYPERLINK("https://www.webofscience.com/wos/woscc/full-record/WOS:001566746500007","View Record in Web of Science")</f>
        <v>114</v>
      </c>
      <c r="BU545" t="s" s="0">
        <v>1055</v>
      </c>
      <c r="BV545" t="s" s="0">
        <v>81</v>
      </c>
      <c r="BW545" t="s" s="0">
        <v>81</v>
      </c>
      <c r="BX545" t="s" s="0">
        <v>116</v>
      </c>
    </row>
    <row r="546">
      <c r="A546" t="s" s="0">
        <v>77</v>
      </c>
      <c r="B546" t="s" s="0">
        <v>77</v>
      </c>
      <c r="C546" t="s" s="0">
        <v>97</v>
      </c>
      <c r="D546" t="s" s="0">
        <v>77</v>
      </c>
      <c r="E546" t="s" s="0">
        <v>12191</v>
      </c>
      <c r="F546" t="s" s="0">
        <v>12192</v>
      </c>
      <c r="G546" t="s" s="0">
        <v>12193</v>
      </c>
      <c r="H546" t="s" s="0">
        <v>81</v>
      </c>
      <c r="I546" t="s" s="0">
        <v>82</v>
      </c>
      <c r="J546" t="s" s="0">
        <v>12194</v>
      </c>
      <c r="K546" t="s" s="0">
        <v>12195</v>
      </c>
      <c r="L546" t="s" s="0">
        <v>12196</v>
      </c>
      <c r="M546" t="s" s="0">
        <v>12197</v>
      </c>
      <c r="N546" t="s" s="0">
        <v>12198</v>
      </c>
      <c r="O546" t="s" s="0">
        <v>12199</v>
      </c>
      <c r="P546" t="s" s="0">
        <v>12200</v>
      </c>
      <c r="Q546" t="s" s="0">
        <v>87</v>
      </c>
      <c r="R546" t="s" s="0">
        <v>81</v>
      </c>
      <c r="S546" t="s" s="0">
        <v>81</v>
      </c>
      <c r="T546" t="s" s="0">
        <v>81</v>
      </c>
      <c r="U546" t="s" s="0">
        <v>81</v>
      </c>
      <c r="V546" t="s" s="0">
        <v>12201</v>
      </c>
      <c r="W546" t="s" s="0">
        <v>12202</v>
      </c>
      <c r="X546" t="s" s="0">
        <v>81</v>
      </c>
      <c r="Y546" t="s" s="0">
        <v>81</v>
      </c>
      <c r="Z546" t="s" s="0">
        <v>90</v>
      </c>
      <c r="AA546" t="s" s="0">
        <v>91</v>
      </c>
      <c r="AB546" t="s" s="0">
        <v>81</v>
      </c>
      <c r="AC546" t="s" s="0">
        <v>81</v>
      </c>
      <c r="AD546" t="s" s="0">
        <v>81</v>
      </c>
      <c r="AE546" t="s" s="0">
        <v>81</v>
      </c>
      <c r="AF546" t="s" s="0">
        <v>81</v>
      </c>
      <c r="AG546" t="s" s="0">
        <v>12203</v>
      </c>
      <c r="AH546" t="s" s="0">
        <v>12204</v>
      </c>
      <c r="AI546" t="s" s="0">
        <v>7964</v>
      </c>
      <c r="AJ546" t="s" s="0">
        <v>81</v>
      </c>
      <c r="AK546" t="s" s="0">
        <v>81</v>
      </c>
      <c r="AL546" t="s" s="0">
        <v>399</v>
      </c>
      <c r="AM546" t="s" s="0">
        <v>175</v>
      </c>
      <c r="AN546" t="s" s="0">
        <v>133</v>
      </c>
      <c r="AO546" t="s" s="0">
        <v>77</v>
      </c>
      <c r="AP546" t="s" s="0">
        <v>97</v>
      </c>
      <c r="AQ546" t="s" s="0">
        <v>368</v>
      </c>
      <c r="AR546" t="s" s="0">
        <v>369</v>
      </c>
      <c r="AS546" t="s" s="0">
        <v>370</v>
      </c>
      <c r="AT546" t="s" s="0">
        <v>12205</v>
      </c>
      <c r="AU546" t="s" s="0">
        <v>81</v>
      </c>
      <c r="AV546" t="s" s="0">
        <v>81</v>
      </c>
      <c r="AW546" t="s" s="0">
        <v>12206</v>
      </c>
      <c r="AX546" t="s" s="0">
        <v>12207</v>
      </c>
      <c r="AY546" t="s" s="0">
        <v>12208</v>
      </c>
      <c r="AZ546" t="s" s="0">
        <v>185</v>
      </c>
      <c r="BA546" t="s" s="0">
        <v>291</v>
      </c>
      <c r="BB546" t="s" s="0">
        <v>81</v>
      </c>
      <c r="BC546" t="s" s="0">
        <v>81</v>
      </c>
      <c r="BD546" t="s" s="0">
        <v>81</v>
      </c>
      <c r="BE546" t="s" s="0">
        <v>81</v>
      </c>
      <c r="BF546" t="s" s="0">
        <v>81</v>
      </c>
      <c r="BG546" t="s" s="0">
        <v>81</v>
      </c>
      <c r="BH546" t="s" s="0">
        <v>81</v>
      </c>
      <c r="BI546" t="s" s="0">
        <v>12209</v>
      </c>
      <c r="BJ546" t="s" s="0">
        <v>12210</v>
      </c>
      <c r="BK546" t="s" s="1083">
        <f>HYPERLINK("http://dx.doi.org/10.3389/fimmu.2024.1364954","http://dx.doi.org/10.3389/fimmu.2024.1364954")</f>
        <v>12211</v>
      </c>
      <c r="BL546" t="s" s="0">
        <v>81</v>
      </c>
      <c r="BM546" t="s" s="0">
        <v>81</v>
      </c>
      <c r="BN546" t="s" s="0">
        <v>211</v>
      </c>
      <c r="BO546" t="s" s="0">
        <v>12212</v>
      </c>
      <c r="BP546" t="s" s="0">
        <v>12212</v>
      </c>
      <c r="BQ546" t="s" s="0">
        <v>12213</v>
      </c>
      <c r="BR546" t="s" s="0">
        <v>12214</v>
      </c>
      <c r="BS546" t="s" s="0">
        <v>12215</v>
      </c>
      <c r="BT546" t="s" s="1084">
        <f>HYPERLINK("https://www.webofscience.com/wos/woscc/full-record/WOS:001187171300001","View Record in Web of Science")</f>
        <v>114</v>
      </c>
      <c r="BU546" t="s" s="0">
        <v>301</v>
      </c>
      <c r="BV546" t="s" s="0">
        <v>81</v>
      </c>
      <c r="BW546" t="s" s="0">
        <v>81</v>
      </c>
      <c r="BX546" t="s" s="0">
        <v>116</v>
      </c>
    </row>
    <row r="547">
      <c r="A547" t="s" s="0">
        <v>77</v>
      </c>
      <c r="B547" t="s" s="0">
        <v>77</v>
      </c>
      <c r="C547" t="s" s="0">
        <v>77</v>
      </c>
      <c r="D547" t="s" s="0">
        <v>77</v>
      </c>
      <c r="E547" t="s" s="0">
        <v>12216</v>
      </c>
      <c r="F547" t="s" s="0">
        <v>12217</v>
      </c>
      <c r="G547" t="s" s="0">
        <v>12218</v>
      </c>
      <c r="H547" t="s" s="0">
        <v>81</v>
      </c>
      <c r="I547" t="s" s="0">
        <v>82</v>
      </c>
      <c r="J547" t="s" s="0">
        <v>12219</v>
      </c>
      <c r="K547" t="s" s="0">
        <v>12220</v>
      </c>
      <c r="L547" t="s" s="0">
        <v>81</v>
      </c>
      <c r="M547" t="s" s="0">
        <v>81</v>
      </c>
      <c r="N547" t="s" s="0">
        <v>81</v>
      </c>
      <c r="O547" t="s" s="0">
        <v>12221</v>
      </c>
      <c r="P547" t="s" s="0">
        <v>81</v>
      </c>
      <c r="Q547" t="s" s="0">
        <v>87</v>
      </c>
      <c r="R547" t="s" s="0">
        <v>81</v>
      </c>
      <c r="S547" t="s" s="0">
        <v>81</v>
      </c>
      <c r="T547" t="s" s="0">
        <v>81</v>
      </c>
      <c r="U547" t="s" s="0">
        <v>81</v>
      </c>
      <c r="V547" t="s" s="0">
        <v>12222</v>
      </c>
      <c r="W547" t="s" s="0">
        <v>12223</v>
      </c>
      <c r="X547" t="s" s="0">
        <v>81</v>
      </c>
      <c r="Y547" t="s" s="0">
        <v>81</v>
      </c>
      <c r="Z547" t="s" s="0">
        <v>90</v>
      </c>
      <c r="AA547" t="s" s="0">
        <v>91</v>
      </c>
      <c r="AB547" t="s" s="0">
        <v>81</v>
      </c>
      <c r="AC547" t="s" s="0">
        <v>81</v>
      </c>
      <c r="AD547" t="s" s="0">
        <v>81</v>
      </c>
      <c r="AE547" t="s" s="0">
        <v>81</v>
      </c>
      <c r="AF547" t="s" s="0">
        <v>81</v>
      </c>
      <c r="AG547" t="s" s="0">
        <v>12224</v>
      </c>
      <c r="AH547" t="s" s="0">
        <v>81</v>
      </c>
      <c r="AI547" t="s" s="0">
        <v>12225</v>
      </c>
      <c r="AJ547" t="s" s="0">
        <v>81</v>
      </c>
      <c r="AK547" t="s" s="0">
        <v>81</v>
      </c>
      <c r="AL547" t="s" s="0">
        <v>324</v>
      </c>
      <c r="AM547" t="s" s="0">
        <v>77</v>
      </c>
      <c r="AN547" t="s" s="0">
        <v>77</v>
      </c>
      <c r="AO547" t="s" s="0">
        <v>97</v>
      </c>
      <c r="AP547" t="s" s="0">
        <v>316</v>
      </c>
      <c r="AQ547" t="s" s="0">
        <v>6120</v>
      </c>
      <c r="AR547" t="s" s="0">
        <v>2571</v>
      </c>
      <c r="AS547" t="s" s="0">
        <v>6121</v>
      </c>
      <c r="AT547" t="s" s="0">
        <v>12226</v>
      </c>
      <c r="AU547" t="s" s="0">
        <v>12227</v>
      </c>
      <c r="AV547" t="s" s="0">
        <v>81</v>
      </c>
      <c r="AW547" t="s" s="0">
        <v>12228</v>
      </c>
      <c r="AX547" t="s" s="0">
        <v>12229</v>
      </c>
      <c r="AY547" t="s" s="0">
        <v>12230</v>
      </c>
      <c r="AZ547" t="s" s="0">
        <v>290</v>
      </c>
      <c r="BA547" t="s" s="0">
        <v>664</v>
      </c>
      <c r="BB547" t="s" s="0">
        <v>134</v>
      </c>
      <c r="BC547" t="s" s="0">
        <v>81</v>
      </c>
      <c r="BD547" t="s" s="0">
        <v>81</v>
      </c>
      <c r="BE547" t="s" s="0">
        <v>81</v>
      </c>
      <c r="BF547" t="s" s="0">
        <v>81</v>
      </c>
      <c r="BG547" t="s" s="0">
        <v>81</v>
      </c>
      <c r="BH547" t="s" s="0">
        <v>81</v>
      </c>
      <c r="BI547" t="s" s="0">
        <v>81</v>
      </c>
      <c r="BJ547" t="s" s="0">
        <v>12231</v>
      </c>
      <c r="BK547" t="s" s="1085">
        <f>HYPERLINK("http://dx.doi.org/10.1142/S0218001425570125","http://dx.doi.org/10.1142/S0218001425570125")</f>
        <v>12232</v>
      </c>
      <c r="BL547" t="s" s="0">
        <v>81</v>
      </c>
      <c r="BM547" t="s" s="0">
        <v>733</v>
      </c>
      <c r="BN547" t="s" s="0">
        <v>1912</v>
      </c>
      <c r="BO547" t="s" s="0">
        <v>409</v>
      </c>
      <c r="BP547" t="s" s="0">
        <v>152</v>
      </c>
      <c r="BQ547" t="s" s="0">
        <v>12233</v>
      </c>
      <c r="BR547" t="s" s="0">
        <v>81</v>
      </c>
      <c r="BS547" t="s" s="0">
        <v>12234</v>
      </c>
      <c r="BT547" t="s" s="1086">
        <f>HYPERLINK("https://www.webofscience.com/wos/woscc/full-record/WOS:001532881900001","View Record in Web of Science")</f>
        <v>114</v>
      </c>
      <c r="BU547" t="s" s="0">
        <v>81</v>
      </c>
      <c r="BV547" t="s" s="0">
        <v>81</v>
      </c>
      <c r="BW547" t="s" s="0">
        <v>81</v>
      </c>
      <c r="BX547" t="s" s="0">
        <v>116</v>
      </c>
    </row>
    <row r="548">
      <c r="A548" t="s" s="0">
        <v>77</v>
      </c>
      <c r="B548" t="s" s="0">
        <v>77</v>
      </c>
      <c r="C548" t="s" s="0">
        <v>77</v>
      </c>
      <c r="D548" t="s" s="0">
        <v>77</v>
      </c>
      <c r="E548" t="s" s="0">
        <v>12235</v>
      </c>
      <c r="F548" t="s" s="0">
        <v>12236</v>
      </c>
      <c r="G548" t="s" s="0">
        <v>12237</v>
      </c>
      <c r="H548" t="s" s="0">
        <v>81</v>
      </c>
      <c r="I548" t="s" s="0">
        <v>82</v>
      </c>
      <c r="J548" t="s" s="0">
        <v>12238</v>
      </c>
      <c r="K548" t="s" s="0">
        <v>12239</v>
      </c>
      <c r="L548" t="s" s="0">
        <v>12240</v>
      </c>
      <c r="M548" t="s" s="0">
        <v>12241</v>
      </c>
      <c r="N548" t="s" s="0">
        <v>12242</v>
      </c>
      <c r="O548" t="s" s="0">
        <v>12243</v>
      </c>
      <c r="P548" t="s" s="0">
        <v>12244</v>
      </c>
      <c r="Q548" t="s" s="0">
        <v>87</v>
      </c>
      <c r="R548" t="s" s="0">
        <v>81</v>
      </c>
      <c r="S548" t="s" s="0">
        <v>81</v>
      </c>
      <c r="T548" t="s" s="0">
        <v>81</v>
      </c>
      <c r="U548" t="s" s="0">
        <v>81</v>
      </c>
      <c r="V548" t="s" s="0">
        <v>12245</v>
      </c>
      <c r="W548" t="s" s="0">
        <v>910</v>
      </c>
      <c r="X548" t="s" s="0">
        <v>81</v>
      </c>
      <c r="Y548" t="s" s="0">
        <v>81</v>
      </c>
      <c r="Z548" t="s" s="0">
        <v>90</v>
      </c>
      <c r="AA548" t="s" s="0">
        <v>91</v>
      </c>
      <c r="AB548" t="s" s="0">
        <v>81</v>
      </c>
      <c r="AC548" t="s" s="0">
        <v>81</v>
      </c>
      <c r="AD548" t="s" s="0">
        <v>81</v>
      </c>
      <c r="AE548" t="s" s="0">
        <v>81</v>
      </c>
      <c r="AF548" t="s" s="0">
        <v>81</v>
      </c>
      <c r="AG548" t="s" s="0">
        <v>12246</v>
      </c>
      <c r="AH548" t="s" s="0">
        <v>12247</v>
      </c>
      <c r="AI548" t="s" s="0">
        <v>12248</v>
      </c>
      <c r="AJ548" t="s" s="0">
        <v>81</v>
      </c>
      <c r="AK548" t="s" s="0">
        <v>81</v>
      </c>
      <c r="AL548" t="s" s="0">
        <v>221</v>
      </c>
      <c r="AM548" t="s" s="0">
        <v>97</v>
      </c>
      <c r="AN548" t="s" s="0">
        <v>97</v>
      </c>
      <c r="AO548" t="s" s="0">
        <v>77</v>
      </c>
      <c r="AP548" t="s" s="0">
        <v>77</v>
      </c>
      <c r="AQ548" t="s" s="0">
        <v>915</v>
      </c>
      <c r="AR548" t="s" s="0">
        <v>916</v>
      </c>
      <c r="AS548" t="s" s="0">
        <v>917</v>
      </c>
      <c r="AT548" t="s" s="0">
        <v>918</v>
      </c>
      <c r="AU548" t="s" s="0">
        <v>81</v>
      </c>
      <c r="AV548" t="s" s="0">
        <v>81</v>
      </c>
      <c r="AW548" t="s" s="0">
        <v>919</v>
      </c>
      <c r="AX548" t="s" s="0">
        <v>920</v>
      </c>
      <c r="AY548" t="s" s="0">
        <v>12249</v>
      </c>
      <c r="AZ548" t="s" s="0">
        <v>103</v>
      </c>
      <c r="BA548" t="s" s="0">
        <v>925</v>
      </c>
      <c r="BB548" t="s" s="0">
        <v>97</v>
      </c>
      <c r="BC548" t="s" s="0">
        <v>81</v>
      </c>
      <c r="BD548" t="s" s="0">
        <v>81</v>
      </c>
      <c r="BE548" t="s" s="0">
        <v>81</v>
      </c>
      <c r="BF548" t="s" s="0">
        <v>81</v>
      </c>
      <c r="BG548" t="s" s="0">
        <v>81</v>
      </c>
      <c r="BH548" t="s" s="0">
        <v>81</v>
      </c>
      <c r="BI548" t="s" s="0">
        <v>12250</v>
      </c>
      <c r="BJ548" t="s" s="0">
        <v>12251</v>
      </c>
      <c r="BK548" t="s" s="1087">
        <f>HYPERLINK("http://dx.doi.org/10.1038/s41598-026-48015-2","http://dx.doi.org/10.1038/s41598-026-48015-2")</f>
        <v>12252</v>
      </c>
      <c r="BL548" t="s" s="0">
        <v>81</v>
      </c>
      <c r="BM548" t="s" s="0">
        <v>948</v>
      </c>
      <c r="BN548" t="s" s="0">
        <v>104</v>
      </c>
      <c r="BO548" t="s" s="0">
        <v>926</v>
      </c>
      <c r="BP548" t="s" s="0">
        <v>927</v>
      </c>
      <c r="BQ548" t="s" s="0">
        <v>12253</v>
      </c>
      <c r="BR548" t="s" s="0">
        <v>12254</v>
      </c>
      <c r="BS548" t="s" s="0">
        <v>12255</v>
      </c>
      <c r="BT548" t="s" s="1088">
        <f>HYPERLINK("https://www.webofscience.com/wos/woscc/full-record/WOS:001792240000001","View Record in Web of Science")</f>
        <v>114</v>
      </c>
      <c r="BU548" t="s" s="0">
        <v>6488</v>
      </c>
      <c r="BV548" t="s" s="0">
        <v>81</v>
      </c>
      <c r="BW548" t="s" s="0">
        <v>81</v>
      </c>
      <c r="BX548" t="s" s="0">
        <v>116</v>
      </c>
    </row>
    <row r="549">
      <c r="A549" t="s" s="0">
        <v>77</v>
      </c>
      <c r="B549" t="s" s="0">
        <v>77</v>
      </c>
      <c r="C549" t="s" s="0">
        <v>77</v>
      </c>
      <c r="D549" t="s" s="0">
        <v>77</v>
      </c>
      <c r="E549" t="s" s="0">
        <v>12256</v>
      </c>
      <c r="F549" t="s" s="0">
        <v>12257</v>
      </c>
      <c r="G549" t="s" s="0">
        <v>12258</v>
      </c>
      <c r="H549" t="s" s="0">
        <v>81</v>
      </c>
      <c r="I549" t="s" s="0">
        <v>82</v>
      </c>
      <c r="J549" t="s" s="0">
        <v>12259</v>
      </c>
      <c r="K549" t="s" s="0">
        <v>12260</v>
      </c>
      <c r="L549" t="s" s="0">
        <v>12261</v>
      </c>
      <c r="M549" t="s" s="0">
        <v>12262</v>
      </c>
      <c r="N549" t="s" s="0">
        <v>12263</v>
      </c>
      <c r="O549" t="s" s="0">
        <v>12264</v>
      </c>
      <c r="P549" t="s" s="0">
        <v>12265</v>
      </c>
      <c r="Q549" t="s" s="0">
        <v>87</v>
      </c>
      <c r="R549" t="s" s="0">
        <v>81</v>
      </c>
      <c r="S549" t="s" s="0">
        <v>81</v>
      </c>
      <c r="T549" t="s" s="0">
        <v>81</v>
      </c>
      <c r="U549" t="s" s="0">
        <v>81</v>
      </c>
      <c r="V549" t="s" s="0">
        <v>12266</v>
      </c>
      <c r="W549" t="s" s="0">
        <v>12267</v>
      </c>
      <c r="X549" t="s" s="0">
        <v>81</v>
      </c>
      <c r="Y549" t="s" s="0">
        <v>81</v>
      </c>
      <c r="Z549" t="s" s="0">
        <v>90</v>
      </c>
      <c r="AA549" t="s" s="0">
        <v>91</v>
      </c>
      <c r="AB549" t="s" s="0">
        <v>81</v>
      </c>
      <c r="AC549" t="s" s="0">
        <v>81</v>
      </c>
      <c r="AD549" t="s" s="0">
        <v>81</v>
      </c>
      <c r="AE549" t="s" s="0">
        <v>81</v>
      </c>
      <c r="AF549" t="s" s="0">
        <v>81</v>
      </c>
      <c r="AG549" t="s" s="0">
        <v>12268</v>
      </c>
      <c r="AH549" t="s" s="0">
        <v>81</v>
      </c>
      <c r="AI549" t="s" s="0">
        <v>12269</v>
      </c>
      <c r="AJ549" t="s" s="0">
        <v>81</v>
      </c>
      <c r="AK549" t="s" s="0">
        <v>81</v>
      </c>
      <c r="AL549" t="s" s="0">
        <v>1374</v>
      </c>
      <c r="AM549" t="s" s="0">
        <v>77</v>
      </c>
      <c r="AN549" t="s" s="0">
        <v>77</v>
      </c>
      <c r="AO549" t="s" s="0">
        <v>196</v>
      </c>
      <c r="AP549" t="s" s="0">
        <v>196</v>
      </c>
      <c r="AQ549" t="s" s="0">
        <v>12270</v>
      </c>
      <c r="AR549" t="s" s="0">
        <v>12271</v>
      </c>
      <c r="AS549" t="s" s="0">
        <v>12272</v>
      </c>
      <c r="AT549" t="s" s="0">
        <v>12273</v>
      </c>
      <c r="AU549" t="s" s="0">
        <v>12274</v>
      </c>
      <c r="AV549" t="s" s="0">
        <v>81</v>
      </c>
      <c r="AW549" t="s" s="0">
        <v>12275</v>
      </c>
      <c r="AX549" t="s" s="0">
        <v>12276</v>
      </c>
      <c r="AY549" t="s" s="0">
        <v>2108</v>
      </c>
      <c r="AZ549" t="s" s="0">
        <v>103</v>
      </c>
      <c r="BA549" t="s" s="0">
        <v>174</v>
      </c>
      <c r="BB549" t="s" s="0">
        <v>156</v>
      </c>
      <c r="BC549" t="s" s="0">
        <v>81</v>
      </c>
      <c r="BD549" t="s" s="0">
        <v>81</v>
      </c>
      <c r="BE549" t="s" s="0">
        <v>81</v>
      </c>
      <c r="BF549" t="s" s="0">
        <v>81</v>
      </c>
      <c r="BG549" t="s" s="0">
        <v>81</v>
      </c>
      <c r="BH549" t="s" s="0">
        <v>81</v>
      </c>
      <c r="BI549" t="s" s="0">
        <v>12277</v>
      </c>
      <c r="BJ549" t="s" s="0">
        <v>12278</v>
      </c>
      <c r="BK549" t="s" s="1089">
        <f>HYPERLINK("http://dx.doi.org/10.25259/JKSUS_1183_2025","http://dx.doi.org/10.25259/JKSUS_1183_2025")</f>
        <v>12279</v>
      </c>
      <c r="BL549" t="s" s="0">
        <v>81</v>
      </c>
      <c r="BM549" t="s" s="0">
        <v>81</v>
      </c>
      <c r="BN549" t="s" s="0">
        <v>925</v>
      </c>
      <c r="BO549" t="s" s="0">
        <v>926</v>
      </c>
      <c r="BP549" t="s" s="0">
        <v>927</v>
      </c>
      <c r="BQ549" t="s" s="0">
        <v>12280</v>
      </c>
      <c r="BR549" t="s" s="0">
        <v>81</v>
      </c>
      <c r="BS549" t="s" s="0">
        <v>12281</v>
      </c>
      <c r="BT549" t="s" s="1090">
        <f>HYPERLINK("https://www.webofscience.com/wos/woscc/full-record/WOS:001707122200011","View Record in Web of Science")</f>
        <v>114</v>
      </c>
      <c r="BU549" t="s" s="0">
        <v>1055</v>
      </c>
      <c r="BV549" t="s" s="0">
        <v>81</v>
      </c>
      <c r="BW549" t="s" s="0">
        <v>81</v>
      </c>
      <c r="BX549" t="s" s="0">
        <v>116</v>
      </c>
    </row>
    <row r="550">
      <c r="A550" t="s" s="0">
        <v>77</v>
      </c>
      <c r="B550" t="s" s="0">
        <v>77</v>
      </c>
      <c r="C550" t="s" s="0">
        <v>77</v>
      </c>
      <c r="D550" t="s" s="0">
        <v>77</v>
      </c>
      <c r="E550" t="s" s="0">
        <v>12282</v>
      </c>
      <c r="F550" t="s" s="0">
        <v>12283</v>
      </c>
      <c r="G550" t="s" s="0">
        <v>12284</v>
      </c>
      <c r="H550" t="s" s="0">
        <v>81</v>
      </c>
      <c r="I550" t="s" s="0">
        <v>82</v>
      </c>
      <c r="J550" t="s" s="0">
        <v>12285</v>
      </c>
      <c r="K550" t="s" s="0">
        <v>12286</v>
      </c>
      <c r="L550" t="s" s="0">
        <v>81</v>
      </c>
      <c r="M550" t="s" s="0">
        <v>81</v>
      </c>
      <c r="N550" t="s" s="0">
        <v>81</v>
      </c>
      <c r="O550" t="s" s="0">
        <v>12287</v>
      </c>
      <c r="P550" t="s" s="0">
        <v>8427</v>
      </c>
      <c r="Q550" t="s" s="0">
        <v>87</v>
      </c>
      <c r="R550" t="s" s="0">
        <v>81</v>
      </c>
      <c r="S550" t="s" s="0">
        <v>81</v>
      </c>
      <c r="T550" t="s" s="0">
        <v>81</v>
      </c>
      <c r="U550" t="s" s="0">
        <v>81</v>
      </c>
      <c r="V550" t="s" s="0">
        <v>12288</v>
      </c>
      <c r="W550" t="s" s="0">
        <v>2070</v>
      </c>
      <c r="X550" t="s" s="0">
        <v>81</v>
      </c>
      <c r="Y550" t="s" s="0">
        <v>81</v>
      </c>
      <c r="Z550" t="s" s="0">
        <v>90</v>
      </c>
      <c r="AA550" t="s" s="0">
        <v>91</v>
      </c>
      <c r="AB550" t="s" s="0">
        <v>81</v>
      </c>
      <c r="AC550" t="s" s="0">
        <v>81</v>
      </c>
      <c r="AD550" t="s" s="0">
        <v>81</v>
      </c>
      <c r="AE550" t="s" s="0">
        <v>81</v>
      </c>
      <c r="AF550" t="s" s="0">
        <v>81</v>
      </c>
      <c r="AG550" t="s" s="0">
        <v>12289</v>
      </c>
      <c r="AH550" t="s" s="0">
        <v>81</v>
      </c>
      <c r="AI550" t="s" s="0">
        <v>12290</v>
      </c>
      <c r="AJ550" t="s" s="0">
        <v>12291</v>
      </c>
      <c r="AK550" t="s" s="0">
        <v>81</v>
      </c>
      <c r="AL550" t="s" s="0">
        <v>1785</v>
      </c>
      <c r="AM550" t="s" s="0">
        <v>196</v>
      </c>
      <c r="AN550" t="s" s="0">
        <v>196</v>
      </c>
      <c r="AO550" t="s" s="0">
        <v>77</v>
      </c>
      <c r="AP550" t="s" s="0">
        <v>175</v>
      </c>
      <c r="AQ550" t="s" s="0">
        <v>177</v>
      </c>
      <c r="AR550" t="s" s="0">
        <v>178</v>
      </c>
      <c r="AS550" t="s" s="0">
        <v>179</v>
      </c>
      <c r="AT550" t="s" s="0">
        <v>2073</v>
      </c>
      <c r="AU550" t="s" s="0">
        <v>2074</v>
      </c>
      <c r="AV550" t="s" s="0">
        <v>81</v>
      </c>
      <c r="AW550" t="s" s="0">
        <v>2075</v>
      </c>
      <c r="AX550" t="s" s="0">
        <v>2076</v>
      </c>
      <c r="AY550" t="s" s="0">
        <v>1935</v>
      </c>
      <c r="AZ550" t="s" s="0">
        <v>103</v>
      </c>
      <c r="BA550" t="s" s="0">
        <v>7799</v>
      </c>
      <c r="BB550" t="s" s="0">
        <v>81</v>
      </c>
      <c r="BC550" t="s" s="0">
        <v>81</v>
      </c>
      <c r="BD550" t="s" s="0">
        <v>81</v>
      </c>
      <c r="BE550" t="s" s="0">
        <v>81</v>
      </c>
      <c r="BF550" t="s" s="0">
        <v>81</v>
      </c>
      <c r="BG550" t="s" s="0">
        <v>81</v>
      </c>
      <c r="BH550" t="s" s="0">
        <v>81</v>
      </c>
      <c r="BI550" t="s" s="0">
        <v>12292</v>
      </c>
      <c r="BJ550" t="s" s="0">
        <v>12293</v>
      </c>
      <c r="BK550" t="s" s="1091">
        <f>HYPERLINK("http://dx.doi.org/10.1016/j.bspc.2025.109272","http://dx.doi.org/10.1016/j.bspc.2025.109272")</f>
        <v>12294</v>
      </c>
      <c r="BL550" t="s" s="0">
        <v>81</v>
      </c>
      <c r="BM550" t="s" s="0">
        <v>1029</v>
      </c>
      <c r="BN550" t="s" s="0">
        <v>211</v>
      </c>
      <c r="BO550" t="s" s="0">
        <v>2082</v>
      </c>
      <c r="BP550" t="s" s="0">
        <v>1003</v>
      </c>
      <c r="BQ550" t="s" s="0">
        <v>12295</v>
      </c>
      <c r="BR550" t="s" s="0">
        <v>81</v>
      </c>
      <c r="BS550" t="s" s="0">
        <v>12296</v>
      </c>
      <c r="BT550" t="s" s="1092">
        <f>HYPERLINK("https://www.webofscience.com/wos/woscc/full-record/WOS:001640814700001","View Record in Web of Science")</f>
        <v>114</v>
      </c>
      <c r="BU550" t="s" s="0">
        <v>81</v>
      </c>
      <c r="BV550" t="s" s="0">
        <v>81</v>
      </c>
      <c r="BW550" t="s" s="0">
        <v>81</v>
      </c>
      <c r="BX550" t="s" s="0">
        <v>116</v>
      </c>
    </row>
    <row r="551">
      <c r="A551" t="s" s="0">
        <v>97</v>
      </c>
      <c r="B551" t="s" s="0">
        <v>77</v>
      </c>
      <c r="C551" t="s" s="0">
        <v>175</v>
      </c>
      <c r="D551" t="s" s="0">
        <v>77</v>
      </c>
      <c r="E551" t="s" s="0">
        <v>12297</v>
      </c>
      <c r="F551" t="s" s="0">
        <v>12298</v>
      </c>
      <c r="G551" t="s" s="0">
        <v>12299</v>
      </c>
      <c r="H551" t="s" s="0">
        <v>81</v>
      </c>
      <c r="I551" t="s" s="0">
        <v>82</v>
      </c>
      <c r="J551" t="s" s="0">
        <v>12300</v>
      </c>
      <c r="K551" t="s" s="0">
        <v>12301</v>
      </c>
      <c r="L551" t="s" s="0">
        <v>12302</v>
      </c>
      <c r="M551" t="s" s="0">
        <v>12303</v>
      </c>
      <c r="N551" t="s" s="0">
        <v>12304</v>
      </c>
      <c r="O551" t="s" s="0">
        <v>12305</v>
      </c>
      <c r="P551" t="s" s="0">
        <v>12306</v>
      </c>
      <c r="Q551" t="s" s="0">
        <v>87</v>
      </c>
      <c r="R551" t="s" s="0">
        <v>81</v>
      </c>
      <c r="S551" t="s" s="0">
        <v>81</v>
      </c>
      <c r="T551" t="s" s="0">
        <v>81</v>
      </c>
      <c r="U551" t="s" s="0">
        <v>81</v>
      </c>
      <c r="V551" t="s" s="0">
        <v>12307</v>
      </c>
      <c r="W551" t="s" s="0">
        <v>2293</v>
      </c>
      <c r="X551" t="s" s="0">
        <v>81</v>
      </c>
      <c r="Y551" t="s" s="0">
        <v>81</v>
      </c>
      <c r="Z551" t="s" s="0">
        <v>90</v>
      </c>
      <c r="AA551" t="s" s="0">
        <v>91</v>
      </c>
      <c r="AB551" t="s" s="0">
        <v>81</v>
      </c>
      <c r="AC551" t="s" s="0">
        <v>81</v>
      </c>
      <c r="AD551" t="s" s="0">
        <v>81</v>
      </c>
      <c r="AE551" t="s" s="0">
        <v>81</v>
      </c>
      <c r="AF551" t="s" s="0">
        <v>81</v>
      </c>
      <c r="AG551" t="s" s="0">
        <v>12308</v>
      </c>
      <c r="AH551" t="s" s="0">
        <v>81</v>
      </c>
      <c r="AI551" t="s" s="0">
        <v>12309</v>
      </c>
      <c r="AJ551" t="s" s="0">
        <v>12310</v>
      </c>
      <c r="AK551" t="s" s="0">
        <v>81</v>
      </c>
      <c r="AL551" t="s" s="0">
        <v>174</v>
      </c>
      <c r="AM551" t="s" s="0">
        <v>228</v>
      </c>
      <c r="AN551" t="s" s="0">
        <v>253</v>
      </c>
      <c r="AO551" t="s" s="0">
        <v>175</v>
      </c>
      <c r="AP551" t="s" s="0">
        <v>434</v>
      </c>
      <c r="AQ551" t="s" s="0">
        <v>136</v>
      </c>
      <c r="AR551" t="s" s="0">
        <v>137</v>
      </c>
      <c r="AS551" t="s" s="0">
        <v>138</v>
      </c>
      <c r="AT551" t="s" s="0">
        <v>2297</v>
      </c>
      <c r="AU551" t="s" s="0">
        <v>2298</v>
      </c>
      <c r="AV551" t="s" s="0">
        <v>81</v>
      </c>
      <c r="AW551" t="s" s="0">
        <v>2299</v>
      </c>
      <c r="AX551" t="s" s="0">
        <v>2300</v>
      </c>
      <c r="AY551" t="s" s="0">
        <v>2077</v>
      </c>
      <c r="AZ551" t="s" s="0">
        <v>260</v>
      </c>
      <c r="BA551" t="s" s="0">
        <v>3425</v>
      </c>
      <c r="BB551" t="s" s="0">
        <v>81</v>
      </c>
      <c r="BC551" t="s" s="0">
        <v>81</v>
      </c>
      <c r="BD551" t="s" s="0">
        <v>81</v>
      </c>
      <c r="BE551" t="s" s="0">
        <v>81</v>
      </c>
      <c r="BF551" t="s" s="0">
        <v>81</v>
      </c>
      <c r="BG551" t="s" s="0">
        <v>81</v>
      </c>
      <c r="BH551" t="s" s="0">
        <v>81</v>
      </c>
      <c r="BI551" t="s" s="0">
        <v>12311</v>
      </c>
      <c r="BJ551" t="s" s="0">
        <v>12312</v>
      </c>
      <c r="BK551" t="s" s="1093">
        <f>HYPERLINK("http://dx.doi.org/10.1016/j.media.2023.102861","http://dx.doi.org/10.1016/j.media.2023.102861")</f>
        <v>12313</v>
      </c>
      <c r="BL551" t="s" s="0">
        <v>81</v>
      </c>
      <c r="BM551" t="s" s="0">
        <v>5526</v>
      </c>
      <c r="BN551" t="s" s="0">
        <v>191</v>
      </c>
      <c r="BO551" t="s" s="0">
        <v>2306</v>
      </c>
      <c r="BP551" t="s" s="0">
        <v>2307</v>
      </c>
      <c r="BQ551" t="s" s="0">
        <v>12314</v>
      </c>
      <c r="BR551" t="s" s="0">
        <v>12315</v>
      </c>
      <c r="BS551" t="s" s="0">
        <v>12316</v>
      </c>
      <c r="BT551" t="s" s="1094">
        <f>HYPERLINK("https://www.webofscience.com/wos/woscc/full-record/WOS:001027558900001","View Record in Web of Science")</f>
        <v>114</v>
      </c>
      <c r="BU551" t="s" s="0">
        <v>155</v>
      </c>
      <c r="BV551" t="s" s="0">
        <v>81</v>
      </c>
      <c r="BW551" t="s" s="0">
        <v>81</v>
      </c>
      <c r="BX551" t="s" s="0">
        <v>116</v>
      </c>
    </row>
    <row r="552">
      <c r="A552" t="s" s="0">
        <v>77</v>
      </c>
      <c r="B552" t="s" s="0">
        <v>77</v>
      </c>
      <c r="C552" t="s" s="0">
        <v>196</v>
      </c>
      <c r="D552" t="s" s="0">
        <v>77</v>
      </c>
      <c r="E552" t="s" s="0">
        <v>12317</v>
      </c>
      <c r="F552" t="s" s="0">
        <v>12318</v>
      </c>
      <c r="G552" t="s" s="0">
        <v>12319</v>
      </c>
      <c r="H552" t="s" s="0">
        <v>81</v>
      </c>
      <c r="I552" t="s" s="0">
        <v>82</v>
      </c>
      <c r="J552" t="s" s="0">
        <v>12320</v>
      </c>
      <c r="K552" t="s" s="0">
        <v>4785</v>
      </c>
      <c r="L552" t="s" s="0">
        <v>12321</v>
      </c>
      <c r="M552" t="s" s="0">
        <v>12321</v>
      </c>
      <c r="N552" t="s" s="0">
        <v>12322</v>
      </c>
      <c r="O552" t="s" s="0">
        <v>12323</v>
      </c>
      <c r="P552" t="s" s="0">
        <v>12324</v>
      </c>
      <c r="Q552" t="s" s="0">
        <v>87</v>
      </c>
      <c r="R552" t="s" s="0">
        <v>81</v>
      </c>
      <c r="S552" t="s" s="0">
        <v>81</v>
      </c>
      <c r="T552" t="s" s="0">
        <v>81</v>
      </c>
      <c r="U552" t="s" s="0">
        <v>81</v>
      </c>
      <c r="V552" t="s" s="0">
        <v>12325</v>
      </c>
      <c r="W552" t="s" s="0">
        <v>10811</v>
      </c>
      <c r="X552" t="s" s="0">
        <v>81</v>
      </c>
      <c r="Y552" t="s" s="0">
        <v>81</v>
      </c>
      <c r="Z552" t="s" s="0">
        <v>90</v>
      </c>
      <c r="AA552" t="s" s="0">
        <v>91</v>
      </c>
      <c r="AB552" t="s" s="0">
        <v>81</v>
      </c>
      <c r="AC552" t="s" s="0">
        <v>81</v>
      </c>
      <c r="AD552" t="s" s="0">
        <v>81</v>
      </c>
      <c r="AE552" t="s" s="0">
        <v>81</v>
      </c>
      <c r="AF552" t="s" s="0">
        <v>81</v>
      </c>
      <c r="AG552" t="s" s="0">
        <v>12326</v>
      </c>
      <c r="AH552" t="s" s="0">
        <v>12327</v>
      </c>
      <c r="AI552" t="s" s="0">
        <v>12328</v>
      </c>
      <c r="AJ552" t="s" s="0">
        <v>12329</v>
      </c>
      <c r="AK552" t="s" s="0">
        <v>81</v>
      </c>
      <c r="AL552" t="s" s="0">
        <v>486</v>
      </c>
      <c r="AM552" t="s" s="0">
        <v>133</v>
      </c>
      <c r="AN552" t="s" s="0">
        <v>133</v>
      </c>
      <c r="AO552" t="s" s="0">
        <v>97</v>
      </c>
      <c r="AP552" t="s" s="0">
        <v>97</v>
      </c>
      <c r="AQ552" t="s" s="0">
        <v>212</v>
      </c>
      <c r="AR552" t="s" s="0">
        <v>429</v>
      </c>
      <c r="AS552" t="s" s="0">
        <v>784</v>
      </c>
      <c r="AT552" t="s" s="0">
        <v>10815</v>
      </c>
      <c r="AU552" t="s" s="0">
        <v>10816</v>
      </c>
      <c r="AV552" t="s" s="0">
        <v>81</v>
      </c>
      <c r="AW552" t="s" s="0">
        <v>10817</v>
      </c>
      <c r="AX552" t="s" s="0">
        <v>10818</v>
      </c>
      <c r="AY552" t="s" s="0">
        <v>12330</v>
      </c>
      <c r="AZ552" t="s" s="0">
        <v>290</v>
      </c>
      <c r="BA552" t="s" s="0">
        <v>3518</v>
      </c>
      <c r="BB552" t="s" s="0">
        <v>97</v>
      </c>
      <c r="BC552" t="s" s="0">
        <v>81</v>
      </c>
      <c r="BD552" t="s" s="0">
        <v>81</v>
      </c>
      <c r="BE552" t="s" s="0">
        <v>81</v>
      </c>
      <c r="BF552" t="s" s="0">
        <v>81</v>
      </c>
      <c r="BG552" t="s" s="0">
        <v>81</v>
      </c>
      <c r="BH552" t="s" s="0">
        <v>81</v>
      </c>
      <c r="BI552" t="s" s="0">
        <v>12331</v>
      </c>
      <c r="BJ552" t="s" s="0">
        <v>12332</v>
      </c>
      <c r="BK552" t="s" s="1095">
        <f>HYPERLINK("http://dx.doi.org/10.1007/s00345-025-05904-x","http://dx.doi.org/10.1007/s00345-025-05904-x")</f>
        <v>12333</v>
      </c>
      <c r="BL552" t="s" s="0">
        <v>81</v>
      </c>
      <c r="BM552" t="s" s="0">
        <v>81</v>
      </c>
      <c r="BN552" t="s" s="0">
        <v>211</v>
      </c>
      <c r="BO552" t="s" s="0">
        <v>2334</v>
      </c>
      <c r="BP552" t="s" s="0">
        <v>2334</v>
      </c>
      <c r="BQ552" t="s" s="0">
        <v>12334</v>
      </c>
      <c r="BR552" t="s" s="0">
        <v>12335</v>
      </c>
      <c r="BS552" t="s" s="0">
        <v>12336</v>
      </c>
      <c r="BT552" t="s" s="1096">
        <f>HYPERLINK("https://www.webofscience.com/wos/woscc/full-record/WOS:001562284000004","View Record in Web of Science")</f>
        <v>114</v>
      </c>
      <c r="BU552" t="s" s="0">
        <v>155</v>
      </c>
      <c r="BV552" t="s" s="0">
        <v>81</v>
      </c>
      <c r="BW552" t="s" s="0">
        <v>81</v>
      </c>
      <c r="BX552" t="s" s="0">
        <v>116</v>
      </c>
    </row>
    <row r="553">
      <c r="A553" t="s" s="0">
        <v>77</v>
      </c>
      <c r="B553" t="s" s="0">
        <v>77</v>
      </c>
      <c r="C553" t="s" s="0">
        <v>97</v>
      </c>
      <c r="D553" t="s" s="0">
        <v>77</v>
      </c>
      <c r="E553" t="s" s="0">
        <v>12337</v>
      </c>
      <c r="F553" t="s" s="0">
        <v>12338</v>
      </c>
      <c r="G553" t="s" s="0">
        <v>12339</v>
      </c>
      <c r="H553" t="s" s="0">
        <v>81</v>
      </c>
      <c r="I553" t="s" s="0">
        <v>82</v>
      </c>
      <c r="J553" t="s" s="0">
        <v>12340</v>
      </c>
      <c r="K553" t="s" s="0">
        <v>12341</v>
      </c>
      <c r="L553" t="s" s="0">
        <v>12342</v>
      </c>
      <c r="M553" t="s" s="0">
        <v>12343</v>
      </c>
      <c r="N553" t="s" s="0">
        <v>12344</v>
      </c>
      <c r="O553" t="s" s="0">
        <v>12345</v>
      </c>
      <c r="P553" t="s" s="0">
        <v>12346</v>
      </c>
      <c r="Q553" t="s" s="0">
        <v>87</v>
      </c>
      <c r="R553" t="s" s="0">
        <v>81</v>
      </c>
      <c r="S553" t="s" s="0">
        <v>81</v>
      </c>
      <c r="T553" t="s" s="0">
        <v>81</v>
      </c>
      <c r="U553" t="s" s="0">
        <v>81</v>
      </c>
      <c r="V553" t="s" s="0">
        <v>12347</v>
      </c>
      <c r="W553" t="s" s="0">
        <v>1954</v>
      </c>
      <c r="X553" t="s" s="0">
        <v>81</v>
      </c>
      <c r="Y553" t="s" s="0">
        <v>81</v>
      </c>
      <c r="Z553" t="s" s="0">
        <v>90</v>
      </c>
      <c r="AA553" t="s" s="0">
        <v>91</v>
      </c>
      <c r="AB553" t="s" s="0">
        <v>81</v>
      </c>
      <c r="AC553" t="s" s="0">
        <v>81</v>
      </c>
      <c r="AD553" t="s" s="0">
        <v>81</v>
      </c>
      <c r="AE553" t="s" s="0">
        <v>81</v>
      </c>
      <c r="AF553" t="s" s="0">
        <v>81</v>
      </c>
      <c r="AG553" t="s" s="0">
        <v>12348</v>
      </c>
      <c r="AH553" t="s" s="0">
        <v>12349</v>
      </c>
      <c r="AI553" t="s" s="0">
        <v>12350</v>
      </c>
      <c r="AJ553" t="s" s="0">
        <v>12351</v>
      </c>
      <c r="AK553" t="s" s="0">
        <v>81</v>
      </c>
      <c r="AL553" t="s" s="0">
        <v>1635</v>
      </c>
      <c r="AM553" t="s" s="0">
        <v>196</v>
      </c>
      <c r="AN553" t="s" s="0">
        <v>196</v>
      </c>
      <c r="AO553" t="s" s="0">
        <v>97</v>
      </c>
      <c r="AP553" t="s" s="0">
        <v>133</v>
      </c>
      <c r="AQ553" t="s" s="0">
        <v>665</v>
      </c>
      <c r="AR553" t="s" s="0">
        <v>546</v>
      </c>
      <c r="AS553" t="s" s="0">
        <v>666</v>
      </c>
      <c r="AT553" t="s" s="0">
        <v>81</v>
      </c>
      <c r="AU553" t="s" s="0">
        <v>1957</v>
      </c>
      <c r="AV553" t="s" s="0">
        <v>81</v>
      </c>
      <c r="AW553" t="s" s="0">
        <v>1958</v>
      </c>
      <c r="AX553" t="s" s="0">
        <v>1959</v>
      </c>
      <c r="AY553" t="s" s="0">
        <v>12352</v>
      </c>
      <c r="AZ553" t="s" s="0">
        <v>185</v>
      </c>
      <c r="BA553" t="s" s="0">
        <v>434</v>
      </c>
      <c r="BB553" t="s" s="0">
        <v>97</v>
      </c>
      <c r="BC553" t="s" s="0">
        <v>81</v>
      </c>
      <c r="BD553" t="s" s="0">
        <v>81</v>
      </c>
      <c r="BE553" t="s" s="0">
        <v>81</v>
      </c>
      <c r="BF553" t="s" s="0">
        <v>81</v>
      </c>
      <c r="BG553" t="s" s="0">
        <v>81</v>
      </c>
      <c r="BH553" t="s" s="0">
        <v>81</v>
      </c>
      <c r="BI553" t="s" s="0">
        <v>12184</v>
      </c>
      <c r="BJ553" t="s" s="0">
        <v>12353</v>
      </c>
      <c r="BK553" t="s" s="1097">
        <f>HYPERLINK("http://dx.doi.org/10.1186/s12911-024-02767-x","http://dx.doi.org/10.1186/s12911-024-02767-x")</f>
        <v>12354</v>
      </c>
      <c r="BL553" t="s" s="0">
        <v>81</v>
      </c>
      <c r="BM553" t="s" s="0">
        <v>81</v>
      </c>
      <c r="BN553" t="s" s="0">
        <v>191</v>
      </c>
      <c r="BO553" t="s" s="0">
        <v>1963</v>
      </c>
      <c r="BP553" t="s" s="0">
        <v>1963</v>
      </c>
      <c r="BQ553" t="s" s="0">
        <v>12355</v>
      </c>
      <c r="BR553" t="s" s="0">
        <v>12356</v>
      </c>
      <c r="BS553" t="s" s="0">
        <v>12357</v>
      </c>
      <c r="BT553" t="s" s="1098">
        <f>HYPERLINK("https://www.webofscience.com/wos/woscc/full-record/WOS:001381008600001","View Record in Web of Science")</f>
        <v>114</v>
      </c>
      <c r="BU553" t="s" s="0">
        <v>301</v>
      </c>
      <c r="BV553" t="s" s="0">
        <v>81</v>
      </c>
      <c r="BW553" t="s" s="0">
        <v>81</v>
      </c>
      <c r="BX553" t="s" s="0">
        <v>116</v>
      </c>
    </row>
    <row r="554">
      <c r="A554" t="s" s="0">
        <v>77</v>
      </c>
      <c r="B554" t="s" s="0">
        <v>77</v>
      </c>
      <c r="C554" t="s" s="0">
        <v>156</v>
      </c>
      <c r="D554" t="s" s="0">
        <v>77</v>
      </c>
      <c r="E554" t="s" s="0">
        <v>12358</v>
      </c>
      <c r="F554" t="s" s="0">
        <v>12359</v>
      </c>
      <c r="G554" t="s" s="0">
        <v>12360</v>
      </c>
      <c r="H554" t="s" s="0">
        <v>81</v>
      </c>
      <c r="I554" t="s" s="0">
        <v>82</v>
      </c>
      <c r="J554" t="s" s="0">
        <v>12361</v>
      </c>
      <c r="K554" t="s" s="0">
        <v>12362</v>
      </c>
      <c r="L554" t="s" s="0">
        <v>12363</v>
      </c>
      <c r="M554" t="s" s="0">
        <v>12364</v>
      </c>
      <c r="N554" t="s" s="0">
        <v>12365</v>
      </c>
      <c r="O554" t="s" s="0">
        <v>12366</v>
      </c>
      <c r="P554" t="s" s="0">
        <v>12367</v>
      </c>
      <c r="Q554" t="s" s="0">
        <v>87</v>
      </c>
      <c r="R554" t="s" s="0">
        <v>81</v>
      </c>
      <c r="S554" t="s" s="0">
        <v>81</v>
      </c>
      <c r="T554" t="s" s="0">
        <v>81</v>
      </c>
      <c r="U554" t="s" s="0">
        <v>81</v>
      </c>
      <c r="V554" t="s" s="0">
        <v>12368</v>
      </c>
      <c r="W554" t="s" s="0">
        <v>910</v>
      </c>
      <c r="X554" t="s" s="0">
        <v>81</v>
      </c>
      <c r="Y554" t="s" s="0">
        <v>81</v>
      </c>
      <c r="Z554" t="s" s="0">
        <v>90</v>
      </c>
      <c r="AA554" t="s" s="0">
        <v>91</v>
      </c>
      <c r="AB554" t="s" s="0">
        <v>81</v>
      </c>
      <c r="AC554" t="s" s="0">
        <v>81</v>
      </c>
      <c r="AD554" t="s" s="0">
        <v>81</v>
      </c>
      <c r="AE554" t="s" s="0">
        <v>81</v>
      </c>
      <c r="AF554" t="s" s="0">
        <v>81</v>
      </c>
      <c r="AG554" t="s" s="0">
        <v>12369</v>
      </c>
      <c r="AH554" t="s" s="0">
        <v>81</v>
      </c>
      <c r="AI554" t="s" s="0">
        <v>12370</v>
      </c>
      <c r="AJ554" t="s" s="0">
        <v>12371</v>
      </c>
      <c r="AK554" t="s" s="0">
        <v>81</v>
      </c>
      <c r="AL554" t="s" s="0">
        <v>756</v>
      </c>
      <c r="AM554" t="s" s="0">
        <v>367</v>
      </c>
      <c r="AN554" t="s" s="0">
        <v>874</v>
      </c>
      <c r="AO554" t="s" s="0">
        <v>77</v>
      </c>
      <c r="AP554" t="s" s="0">
        <v>156</v>
      </c>
      <c r="AQ554" t="s" s="0">
        <v>915</v>
      </c>
      <c r="AR554" t="s" s="0">
        <v>916</v>
      </c>
      <c r="AS554" t="s" s="0">
        <v>917</v>
      </c>
      <c r="AT554" t="s" s="0">
        <v>918</v>
      </c>
      <c r="AU554" t="s" s="0">
        <v>81</v>
      </c>
      <c r="AV554" t="s" s="0">
        <v>81</v>
      </c>
      <c r="AW554" t="s" s="0">
        <v>919</v>
      </c>
      <c r="AX554" t="s" s="0">
        <v>920</v>
      </c>
      <c r="AY554" t="s" s="0">
        <v>12372</v>
      </c>
      <c r="AZ554" t="s" s="0">
        <v>290</v>
      </c>
      <c r="BA554" t="s" s="0">
        <v>291</v>
      </c>
      <c r="BB554" t="s" s="0">
        <v>97</v>
      </c>
      <c r="BC554" t="s" s="0">
        <v>81</v>
      </c>
      <c r="BD554" t="s" s="0">
        <v>81</v>
      </c>
      <c r="BE554" t="s" s="0">
        <v>81</v>
      </c>
      <c r="BF554" t="s" s="0">
        <v>81</v>
      </c>
      <c r="BG554" t="s" s="0">
        <v>81</v>
      </c>
      <c r="BH554" t="s" s="0">
        <v>81</v>
      </c>
      <c r="BI554" t="s" s="0">
        <v>12373</v>
      </c>
      <c r="BJ554" t="s" s="0">
        <v>12374</v>
      </c>
      <c r="BK554" t="s" s="1099">
        <f>HYPERLINK("http://dx.doi.org/10.1038/s41598-025-97297-5","http://dx.doi.org/10.1038/s41598-025-97297-5")</f>
        <v>12375</v>
      </c>
      <c r="BL554" t="s" s="0">
        <v>81</v>
      </c>
      <c r="BM554" t="s" s="0">
        <v>81</v>
      </c>
      <c r="BN554" t="s" s="0">
        <v>295</v>
      </c>
      <c r="BO554" t="s" s="0">
        <v>926</v>
      </c>
      <c r="BP554" t="s" s="0">
        <v>927</v>
      </c>
      <c r="BQ554" t="s" s="0">
        <v>12376</v>
      </c>
      <c r="BR554" t="s" s="0">
        <v>12377</v>
      </c>
      <c r="BS554" t="s" s="0">
        <v>12378</v>
      </c>
      <c r="BT554" t="s" s="1100">
        <f>HYPERLINK("https://www.webofscience.com/wos/woscc/full-record/WOS:001466904300006","View Record in Web of Science")</f>
        <v>114</v>
      </c>
      <c r="BU554" t="s" s="0">
        <v>301</v>
      </c>
      <c r="BV554" t="s" s="0">
        <v>81</v>
      </c>
      <c r="BW554" t="s" s="0">
        <v>81</v>
      </c>
      <c r="BX554" t="s" s="0">
        <v>116</v>
      </c>
    </row>
    <row r="555">
      <c r="A555" t="s" s="0">
        <v>77</v>
      </c>
      <c r="B555" t="s" s="0">
        <v>77</v>
      </c>
      <c r="C555" t="s" s="0">
        <v>77</v>
      </c>
      <c r="D555" t="s" s="0">
        <v>77</v>
      </c>
      <c r="E555" t="s" s="0">
        <v>12379</v>
      </c>
      <c r="F555" t="s" s="0">
        <v>12380</v>
      </c>
      <c r="G555" t="s" s="0">
        <v>12381</v>
      </c>
      <c r="H555" t="s" s="0">
        <v>81</v>
      </c>
      <c r="I555" t="s" s="0">
        <v>528</v>
      </c>
      <c r="J555" t="s" s="0">
        <v>12382</v>
      </c>
      <c r="K555" t="s" s="0">
        <v>12383</v>
      </c>
      <c r="L555" t="s" s="0">
        <v>12384</v>
      </c>
      <c r="M555" t="s" s="0">
        <v>1529</v>
      </c>
      <c r="N555" t="s" s="0">
        <v>12385</v>
      </c>
      <c r="O555" t="s" s="0">
        <v>12386</v>
      </c>
      <c r="P555" t="s" s="0">
        <v>12387</v>
      </c>
      <c r="Q555" t="s" s="0">
        <v>87</v>
      </c>
      <c r="R555" t="s" s="0">
        <v>81</v>
      </c>
      <c r="S555" t="s" s="0">
        <v>81</v>
      </c>
      <c r="T555" t="s" s="0">
        <v>81</v>
      </c>
      <c r="U555" t="s" s="0">
        <v>81</v>
      </c>
      <c r="V555" t="s" s="0">
        <v>12388</v>
      </c>
      <c r="W555" t="s" s="0">
        <v>4472</v>
      </c>
      <c r="X555" t="s" s="0">
        <v>81</v>
      </c>
      <c r="Y555" t="s" s="0">
        <v>81</v>
      </c>
      <c r="Z555" t="s" s="0">
        <v>90</v>
      </c>
      <c r="AA555" t="s" s="0">
        <v>91</v>
      </c>
      <c r="AB555" t="s" s="0">
        <v>81</v>
      </c>
      <c r="AC555" t="s" s="0">
        <v>81</v>
      </c>
      <c r="AD555" t="s" s="0">
        <v>81</v>
      </c>
      <c r="AE555" t="s" s="0">
        <v>81</v>
      </c>
      <c r="AF555" t="s" s="0">
        <v>81</v>
      </c>
      <c r="AG555" t="s" s="0">
        <v>12389</v>
      </c>
      <c r="AH555" t="s" s="0">
        <v>12390</v>
      </c>
      <c r="AI555" t="s" s="0">
        <v>12391</v>
      </c>
      <c r="AJ555" t="s" s="0">
        <v>81</v>
      </c>
      <c r="AK555" t="s" s="0">
        <v>81</v>
      </c>
      <c r="AL555" t="s" s="0">
        <v>1635</v>
      </c>
      <c r="AM555" t="s" s="0">
        <v>77</v>
      </c>
      <c r="AN555" t="s" s="0">
        <v>77</v>
      </c>
      <c r="AO555" t="s" s="0">
        <v>211</v>
      </c>
      <c r="AP555" t="s" s="0">
        <v>211</v>
      </c>
      <c r="AQ555" t="s" s="0">
        <v>284</v>
      </c>
      <c r="AR555" t="s" s="0">
        <v>285</v>
      </c>
      <c r="AS555" t="s" s="0">
        <v>286</v>
      </c>
      <c r="AT555" t="s" s="0">
        <v>81</v>
      </c>
      <c r="AU555" t="s" s="0">
        <v>4476</v>
      </c>
      <c r="AV555" t="s" s="0">
        <v>81</v>
      </c>
      <c r="AW555" t="s" s="0">
        <v>4477</v>
      </c>
      <c r="AX555" t="s" s="0">
        <v>4478</v>
      </c>
      <c r="AY555" t="s" s="0">
        <v>12392</v>
      </c>
      <c r="AZ555" t="s" s="0">
        <v>103</v>
      </c>
      <c r="BA555" t="s" s="0">
        <v>104</v>
      </c>
      <c r="BB555" t="s" s="0">
        <v>134</v>
      </c>
      <c r="BC555" t="s" s="0">
        <v>81</v>
      </c>
      <c r="BD555" t="s" s="0">
        <v>81</v>
      </c>
      <c r="BE555" t="s" s="0">
        <v>81</v>
      </c>
      <c r="BF555" t="s" s="0">
        <v>81</v>
      </c>
      <c r="BG555" t="s" s="0">
        <v>81</v>
      </c>
      <c r="BH555" t="s" s="0">
        <v>81</v>
      </c>
      <c r="BI555" t="s" s="0">
        <v>12393</v>
      </c>
      <c r="BJ555" t="s" s="0">
        <v>12394</v>
      </c>
      <c r="BK555" t="s" s="1101">
        <f>HYPERLINK("http://dx.doi.org/10.3390/healthcare14121724","http://dx.doi.org/10.3390/healthcare14121724")</f>
        <v>12395</v>
      </c>
      <c r="BL555" t="s" s="0">
        <v>81</v>
      </c>
      <c r="BM555" t="s" s="0">
        <v>849</v>
      </c>
      <c r="BN555" t="s" s="0">
        <v>890</v>
      </c>
      <c r="BO555" t="s" s="0">
        <v>4481</v>
      </c>
      <c r="BP555" t="s" s="0">
        <v>4482</v>
      </c>
      <c r="BQ555" t="s" s="0">
        <v>12396</v>
      </c>
      <c r="BR555" t="s" s="0">
        <v>12397</v>
      </c>
      <c r="BS555" t="s" s="0">
        <v>12398</v>
      </c>
      <c r="BT555" t="s" s="1102">
        <f>HYPERLINK("https://www.webofscience.com/wos/woscc/full-record/WOS:001802399800001","View Record in Web of Science")</f>
        <v>114</v>
      </c>
      <c r="BU555" t="s" s="0">
        <v>301</v>
      </c>
      <c r="BV555" t="s" s="0">
        <v>81</v>
      </c>
      <c r="BW555" t="s" s="0">
        <v>81</v>
      </c>
      <c r="BX555" t="s" s="0">
        <v>116</v>
      </c>
    </row>
    <row r="556">
      <c r="A556" t="s" s="0">
        <v>77</v>
      </c>
      <c r="B556" t="s" s="0">
        <v>77</v>
      </c>
      <c r="C556" t="s" s="0">
        <v>77</v>
      </c>
      <c r="D556" t="s" s="0">
        <v>77</v>
      </c>
      <c r="E556" t="s" s="0">
        <v>12399</v>
      </c>
      <c r="F556" t="s" s="0">
        <v>12400</v>
      </c>
      <c r="G556" t="s" s="0">
        <v>12401</v>
      </c>
      <c r="H556" t="s" s="0">
        <v>81</v>
      </c>
      <c r="I556" t="s" s="0">
        <v>528</v>
      </c>
      <c r="J556" t="s" s="0">
        <v>12402</v>
      </c>
      <c r="K556" t="s" s="0">
        <v>12403</v>
      </c>
      <c r="L556" t="s" s="0">
        <v>12404</v>
      </c>
      <c r="M556" t="s" s="0">
        <v>12405</v>
      </c>
      <c r="N556" t="s" s="0">
        <v>12406</v>
      </c>
      <c r="O556" t="s" s="0">
        <v>12407</v>
      </c>
      <c r="P556" t="s" s="0">
        <v>12408</v>
      </c>
      <c r="Q556" t="s" s="0">
        <v>87</v>
      </c>
      <c r="R556" t="s" s="0">
        <v>81</v>
      </c>
      <c r="S556" t="s" s="0">
        <v>81</v>
      </c>
      <c r="T556" t="s" s="0">
        <v>81</v>
      </c>
      <c r="U556" t="s" s="0">
        <v>81</v>
      </c>
      <c r="V556" t="s" s="0">
        <v>12409</v>
      </c>
      <c r="W556" t="s" s="0">
        <v>12410</v>
      </c>
      <c r="X556" t="s" s="0">
        <v>81</v>
      </c>
      <c r="Y556" t="s" s="0">
        <v>81</v>
      </c>
      <c r="Z556" t="s" s="0">
        <v>90</v>
      </c>
      <c r="AA556" t="s" s="0">
        <v>1581</v>
      </c>
      <c r="AB556" t="s" s="0">
        <v>81</v>
      </c>
      <c r="AC556" t="s" s="0">
        <v>81</v>
      </c>
      <c r="AD556" t="s" s="0">
        <v>81</v>
      </c>
      <c r="AE556" t="s" s="0">
        <v>81</v>
      </c>
      <c r="AF556" t="s" s="0">
        <v>81</v>
      </c>
      <c r="AG556" t="s" s="0">
        <v>12411</v>
      </c>
      <c r="AH556" t="s" s="0">
        <v>12412</v>
      </c>
      <c r="AI556" t="s" s="0">
        <v>81</v>
      </c>
      <c r="AJ556" t="s" s="0">
        <v>12413</v>
      </c>
      <c r="AK556" t="s" s="0">
        <v>81</v>
      </c>
      <c r="AL556" t="s" s="0">
        <v>1684</v>
      </c>
      <c r="AM556" t="s" s="0">
        <v>77</v>
      </c>
      <c r="AN556" t="s" s="0">
        <v>77</v>
      </c>
      <c r="AO556" t="s" s="0">
        <v>211</v>
      </c>
      <c r="AP556" t="s" s="0">
        <v>211</v>
      </c>
      <c r="AQ556" t="s" s="0">
        <v>636</v>
      </c>
      <c r="AR556" t="s" s="0">
        <v>637</v>
      </c>
      <c r="AS556" t="s" s="0">
        <v>638</v>
      </c>
      <c r="AT556" t="s" s="0">
        <v>12414</v>
      </c>
      <c r="AU556" t="s" s="0">
        <v>12415</v>
      </c>
      <c r="AV556" t="s" s="0">
        <v>81</v>
      </c>
      <c r="AW556" t="s" s="0">
        <v>12416</v>
      </c>
      <c r="AX556" t="s" s="0">
        <v>12417</v>
      </c>
      <c r="AY556" t="s" s="0">
        <v>81</v>
      </c>
      <c r="AZ556" t="s" s="0">
        <v>103</v>
      </c>
      <c r="BA556" t="s" s="0">
        <v>81</v>
      </c>
      <c r="BB556" t="s" s="0">
        <v>81</v>
      </c>
      <c r="BC556" t="s" s="0">
        <v>81</v>
      </c>
      <c r="BD556" t="s" s="0">
        <v>81</v>
      </c>
      <c r="BE556" t="s" s="0">
        <v>81</v>
      </c>
      <c r="BF556" t="s" s="0">
        <v>81</v>
      </c>
      <c r="BG556" t="s" s="0">
        <v>81</v>
      </c>
      <c r="BH556" t="s" s="0">
        <v>81</v>
      </c>
      <c r="BI556" t="s" s="0">
        <v>81</v>
      </c>
      <c r="BJ556" t="s" s="0">
        <v>12418</v>
      </c>
      <c r="BK556" t="s" s="1103">
        <f>HYPERLINK("http://dx.doi.org/10.1080/0144929X.2026.2666286","http://dx.doi.org/10.1080/0144929X.2026.2666286")</f>
        <v>12419</v>
      </c>
      <c r="BL556" t="s" s="0">
        <v>81</v>
      </c>
      <c r="BM556" t="s" s="0">
        <v>675</v>
      </c>
      <c r="BN556" t="s" s="0">
        <v>367</v>
      </c>
      <c r="BO556" t="s" s="0">
        <v>12420</v>
      </c>
      <c r="BP556" t="s" s="0">
        <v>193</v>
      </c>
      <c r="BQ556" t="s" s="0">
        <v>12421</v>
      </c>
      <c r="BR556" t="s" s="0">
        <v>81</v>
      </c>
      <c r="BS556" t="s" s="0">
        <v>12422</v>
      </c>
      <c r="BT556" t="s" s="1104">
        <f>HYPERLINK("https://www.webofscience.com/wos/woscc/full-record/WOS:001764378400001","View Record in Web of Science")</f>
        <v>114</v>
      </c>
      <c r="BU556" t="s" s="0">
        <v>81</v>
      </c>
      <c r="BV556" t="s" s="0">
        <v>81</v>
      </c>
      <c r="BW556" t="s" s="0">
        <v>81</v>
      </c>
      <c r="BX556" t="s" s="0">
        <v>116</v>
      </c>
    </row>
    <row r="557">
      <c r="A557" t="s" s="0">
        <v>77</v>
      </c>
      <c r="B557" t="s" s="0">
        <v>77</v>
      </c>
      <c r="C557" t="s" s="0">
        <v>77</v>
      </c>
      <c r="D557" t="s" s="0">
        <v>77</v>
      </c>
      <c r="E557" t="s" s="0">
        <v>12423</v>
      </c>
      <c r="F557" t="s" s="0">
        <v>12424</v>
      </c>
      <c r="G557" t="s" s="0">
        <v>12425</v>
      </c>
      <c r="H557" t="s" s="0">
        <v>81</v>
      </c>
      <c r="I557" t="s" s="0">
        <v>589</v>
      </c>
      <c r="J557" t="s" s="0">
        <v>12426</v>
      </c>
      <c r="K557" t="s" s="0">
        <v>12427</v>
      </c>
      <c r="L557" t="s" s="0">
        <v>12428</v>
      </c>
      <c r="M557" t="s" s="0">
        <v>12429</v>
      </c>
      <c r="N557" t="s" s="0">
        <v>12430</v>
      </c>
      <c r="O557" t="s" s="0">
        <v>12431</v>
      </c>
      <c r="P557" t="s" s="0">
        <v>12432</v>
      </c>
      <c r="Q557" t="s" s="0">
        <v>87</v>
      </c>
      <c r="R557" t="s" s="0">
        <v>81</v>
      </c>
      <c r="S557" t="s" s="0">
        <v>81</v>
      </c>
      <c r="T557" t="s" s="0">
        <v>81</v>
      </c>
      <c r="U557" t="s" s="0">
        <v>81</v>
      </c>
      <c r="V557" t="s" s="0">
        <v>12433</v>
      </c>
      <c r="W557" t="s" s="0">
        <v>12434</v>
      </c>
      <c r="X557" t="s" s="0">
        <v>81</v>
      </c>
      <c r="Y557" t="s" s="0">
        <v>81</v>
      </c>
      <c r="Z557" t="s" s="0">
        <v>90</v>
      </c>
      <c r="AA557" t="s" s="0">
        <v>91</v>
      </c>
      <c r="AB557" t="s" s="0">
        <v>81</v>
      </c>
      <c r="AC557" t="s" s="0">
        <v>81</v>
      </c>
      <c r="AD557" t="s" s="0">
        <v>81</v>
      </c>
      <c r="AE557" t="s" s="0">
        <v>81</v>
      </c>
      <c r="AF557" t="s" s="0">
        <v>81</v>
      </c>
      <c r="AG557" t="s" s="0">
        <v>12435</v>
      </c>
      <c r="AH557" t="s" s="0">
        <v>12436</v>
      </c>
      <c r="AI557" t="s" s="0">
        <v>81</v>
      </c>
      <c r="AJ557" t="s" s="0">
        <v>12437</v>
      </c>
      <c r="AK557" t="s" s="0">
        <v>81</v>
      </c>
      <c r="AL557" t="s" s="0">
        <v>11438</v>
      </c>
      <c r="AM557" t="s" s="0">
        <v>295</v>
      </c>
      <c r="AN557" t="s" s="0">
        <v>210</v>
      </c>
      <c r="AO557" t="s" s="0">
        <v>133</v>
      </c>
      <c r="AP557" t="s" s="0">
        <v>508</v>
      </c>
      <c r="AQ557" t="s" s="0">
        <v>5272</v>
      </c>
      <c r="AR557" t="s" s="0">
        <v>637</v>
      </c>
      <c r="AS557" t="s" s="0">
        <v>5273</v>
      </c>
      <c r="AT557" t="s" s="0">
        <v>12438</v>
      </c>
      <c r="AU557" t="s" s="0">
        <v>12439</v>
      </c>
      <c r="AV557" t="s" s="0">
        <v>81</v>
      </c>
      <c r="AW557" t="s" s="0">
        <v>12440</v>
      </c>
      <c r="AX557" t="s" s="0">
        <v>12441</v>
      </c>
      <c r="AY557" t="s" s="0">
        <v>12442</v>
      </c>
      <c r="AZ557" t="s" s="0">
        <v>185</v>
      </c>
      <c r="BA557" t="s" s="0">
        <v>191</v>
      </c>
      <c r="BB557" t="s" s="0">
        <v>97</v>
      </c>
      <c r="BC557" t="s" s="0">
        <v>81</v>
      </c>
      <c r="BD557" t="s" s="0">
        <v>81</v>
      </c>
      <c r="BE557" t="s" s="0">
        <v>81</v>
      </c>
      <c r="BF557" t="s" s="0">
        <v>81</v>
      </c>
      <c r="BG557" t="s" s="0">
        <v>81</v>
      </c>
      <c r="BH557" t="s" s="0">
        <v>81</v>
      </c>
      <c r="BI557" t="s" s="0">
        <v>12443</v>
      </c>
      <c r="BJ557" t="s" s="0">
        <v>12444</v>
      </c>
      <c r="BK557" t="s" s="1105">
        <f>HYPERLINK("http://dx.doi.org/10.1080/23299460.2023.2300161","http://dx.doi.org/10.1080/23299460.2023.2300161")</f>
        <v>12445</v>
      </c>
      <c r="BL557" t="s" s="0">
        <v>81</v>
      </c>
      <c r="BM557" t="s" s="0">
        <v>81</v>
      </c>
      <c r="BN557" t="s" s="0">
        <v>295</v>
      </c>
      <c r="BO557" t="s" s="0">
        <v>12446</v>
      </c>
      <c r="BP557" t="s" s="0">
        <v>12447</v>
      </c>
      <c r="BQ557" t="s" s="0">
        <v>12448</v>
      </c>
      <c r="BR557" t="s" s="0">
        <v>81</v>
      </c>
      <c r="BS557" t="s" s="0">
        <v>12449</v>
      </c>
      <c r="BT557" t="s" s="1106">
        <f>HYPERLINK("https://www.webofscience.com/wos/woscc/full-record/WOS:001151324100001","View Record in Web of Science")</f>
        <v>114</v>
      </c>
      <c r="BU557" t="s" s="0">
        <v>12450</v>
      </c>
      <c r="BV557" t="s" s="0">
        <v>81</v>
      </c>
      <c r="BW557" t="s" s="0">
        <v>81</v>
      </c>
      <c r="BX557" t="s" s="0">
        <v>116</v>
      </c>
    </row>
    <row r="558">
      <c r="A558" t="s" s="0">
        <v>77</v>
      </c>
      <c r="B558" t="s" s="0">
        <v>77</v>
      </c>
      <c r="C558" t="s" s="0">
        <v>77</v>
      </c>
      <c r="D558" t="s" s="0">
        <v>77</v>
      </c>
      <c r="E558" t="s" s="0">
        <v>12451</v>
      </c>
      <c r="F558" t="s" s="0">
        <v>12452</v>
      </c>
      <c r="G558" t="s" s="0">
        <v>12453</v>
      </c>
      <c r="H558" t="s" s="0">
        <v>81</v>
      </c>
      <c r="I558" t="s" s="0">
        <v>238</v>
      </c>
      <c r="J558" t="s" s="0">
        <v>12454</v>
      </c>
      <c r="K558" t="s" s="0">
        <v>12455</v>
      </c>
      <c r="L558" t="s" s="0">
        <v>12456</v>
      </c>
      <c r="M558" t="s" s="0">
        <v>12457</v>
      </c>
      <c r="N558" t="s" s="0">
        <v>12458</v>
      </c>
      <c r="O558" t="s" s="0">
        <v>12459</v>
      </c>
      <c r="P558" t="s" s="0">
        <v>12460</v>
      </c>
      <c r="Q558" t="s" s="0">
        <v>87</v>
      </c>
      <c r="R558" t="s" s="0">
        <v>81</v>
      </c>
      <c r="S558" t="s" s="0">
        <v>81</v>
      </c>
      <c r="T558" t="s" s="0">
        <v>81</v>
      </c>
      <c r="U558" t="s" s="0">
        <v>81</v>
      </c>
      <c r="V558" t="s" s="0">
        <v>12461</v>
      </c>
      <c r="W558" t="s" s="0">
        <v>12462</v>
      </c>
      <c r="X558" t="s" s="0">
        <v>81</v>
      </c>
      <c r="Y558" t="s" s="0">
        <v>81</v>
      </c>
      <c r="Z558" t="s" s="0">
        <v>90</v>
      </c>
      <c r="AA558" t="s" s="0">
        <v>1581</v>
      </c>
      <c r="AB558" t="s" s="0">
        <v>81</v>
      </c>
      <c r="AC558" t="s" s="0">
        <v>81</v>
      </c>
      <c r="AD558" t="s" s="0">
        <v>81</v>
      </c>
      <c r="AE558" t="s" s="0">
        <v>81</v>
      </c>
      <c r="AF558" t="s" s="0">
        <v>81</v>
      </c>
      <c r="AG558" t="s" s="0">
        <v>12463</v>
      </c>
      <c r="AH558" t="s" s="0">
        <v>12464</v>
      </c>
      <c r="AI558" t="s" s="0">
        <v>12465</v>
      </c>
      <c r="AJ558" t="s" s="0">
        <v>81</v>
      </c>
      <c r="AK558" t="s" s="0">
        <v>81</v>
      </c>
      <c r="AL558" t="s" s="0">
        <v>5626</v>
      </c>
      <c r="AM558" t="s" s="0">
        <v>77</v>
      </c>
      <c r="AN558" t="s" s="0">
        <v>77</v>
      </c>
      <c r="AO558" t="s" s="0">
        <v>77</v>
      </c>
      <c r="AP558" t="s" s="0">
        <v>77</v>
      </c>
      <c r="AQ558" t="s" s="0">
        <v>5049</v>
      </c>
      <c r="AR558" t="s" s="0">
        <v>5050</v>
      </c>
      <c r="AS558" t="s" s="0">
        <v>5051</v>
      </c>
      <c r="AT558" t="s" s="0">
        <v>12466</v>
      </c>
      <c r="AU558" t="s" s="0">
        <v>12467</v>
      </c>
      <c r="AV558" t="s" s="0">
        <v>81</v>
      </c>
      <c r="AW558" t="s" s="0">
        <v>12468</v>
      </c>
      <c r="AX558" t="s" s="0">
        <v>12469</v>
      </c>
      <c r="AY558" t="s" s="0">
        <v>81</v>
      </c>
      <c r="AZ558" t="s" s="0">
        <v>103</v>
      </c>
      <c r="BA558" t="s" s="0">
        <v>81</v>
      </c>
      <c r="BB558" t="s" s="0">
        <v>81</v>
      </c>
      <c r="BC558" t="s" s="0">
        <v>81</v>
      </c>
      <c r="BD558" t="s" s="0">
        <v>81</v>
      </c>
      <c r="BE558" t="s" s="0">
        <v>81</v>
      </c>
      <c r="BF558" t="s" s="0">
        <v>81</v>
      </c>
      <c r="BG558" t="s" s="0">
        <v>81</v>
      </c>
      <c r="BH558" t="s" s="0">
        <v>81</v>
      </c>
      <c r="BI558" t="s" s="0">
        <v>81</v>
      </c>
      <c r="BJ558" t="s" s="0">
        <v>12470</v>
      </c>
      <c r="BK558" t="s" s="1107">
        <f>HYPERLINK("http://dx.doi.org/10.1108/VJIKMS-01-2026-0010","http://dx.doi.org/10.1108/VJIKMS-01-2026-0010")</f>
        <v>12471</v>
      </c>
      <c r="BL558" t="s" s="0">
        <v>81</v>
      </c>
      <c r="BM558" t="s" s="0">
        <v>3366</v>
      </c>
      <c r="BN558" t="s" s="0">
        <v>252</v>
      </c>
      <c r="BO558" t="s" s="0">
        <v>12472</v>
      </c>
      <c r="BP558" t="s" s="0">
        <v>12473</v>
      </c>
      <c r="BQ558" t="s" s="0">
        <v>12474</v>
      </c>
      <c r="BR558" t="s" s="0">
        <v>81</v>
      </c>
      <c r="BS558" t="s" s="0">
        <v>12475</v>
      </c>
      <c r="BT558" t="s" s="1108">
        <f>HYPERLINK("https://www.webofscience.com/wos/woscc/full-record/WOS:001829174000001","View Record in Web of Science")</f>
        <v>114</v>
      </c>
      <c r="BU558" t="s" s="0">
        <v>1055</v>
      </c>
      <c r="BV558" t="s" s="0">
        <v>81</v>
      </c>
      <c r="BW558" t="s" s="0">
        <v>81</v>
      </c>
      <c r="BX558" t="s" s="0">
        <v>116</v>
      </c>
    </row>
    <row r="559">
      <c r="A559" t="s" s="0">
        <v>77</v>
      </c>
      <c r="B559" t="s" s="0">
        <v>77</v>
      </c>
      <c r="C559" t="s" s="0">
        <v>77</v>
      </c>
      <c r="D559" t="s" s="0">
        <v>77</v>
      </c>
      <c r="E559" t="s" s="0">
        <v>12476</v>
      </c>
      <c r="F559" t="s" s="0">
        <v>12477</v>
      </c>
      <c r="G559" t="s" s="0">
        <v>12478</v>
      </c>
      <c r="H559" t="s" s="0">
        <v>81</v>
      </c>
      <c r="I559" t="s" s="0">
        <v>82</v>
      </c>
      <c r="J559" t="s" s="0">
        <v>12479</v>
      </c>
      <c r="K559" t="s" s="0">
        <v>12480</v>
      </c>
      <c r="L559" t="s" s="0">
        <v>12481</v>
      </c>
      <c r="M559" t="s" s="0">
        <v>12482</v>
      </c>
      <c r="N559" t="s" s="0">
        <v>12483</v>
      </c>
      <c r="O559" t="s" s="0">
        <v>12484</v>
      </c>
      <c r="P559" t="s" s="0">
        <v>569</v>
      </c>
      <c r="Q559" t="s" s="0">
        <v>87</v>
      </c>
      <c r="R559" t="s" s="0">
        <v>81</v>
      </c>
      <c r="S559" t="s" s="0">
        <v>81</v>
      </c>
      <c r="T559" t="s" s="0">
        <v>81</v>
      </c>
      <c r="U559" t="s" s="0">
        <v>81</v>
      </c>
      <c r="V559" t="s" s="0">
        <v>12485</v>
      </c>
      <c r="W559" t="s" s="0">
        <v>9259</v>
      </c>
      <c r="X559" t="s" s="0">
        <v>81</v>
      </c>
      <c r="Y559" t="s" s="0">
        <v>81</v>
      </c>
      <c r="Z559" t="s" s="0">
        <v>90</v>
      </c>
      <c r="AA559" t="s" s="0">
        <v>91</v>
      </c>
      <c r="AB559" t="s" s="0">
        <v>81</v>
      </c>
      <c r="AC559" t="s" s="0">
        <v>81</v>
      </c>
      <c r="AD559" t="s" s="0">
        <v>81</v>
      </c>
      <c r="AE559" t="s" s="0">
        <v>81</v>
      </c>
      <c r="AF559" t="s" s="0">
        <v>81</v>
      </c>
      <c r="AG559" t="s" s="0">
        <v>12486</v>
      </c>
      <c r="AH559" t="s" s="0">
        <v>81</v>
      </c>
      <c r="AI559" t="s" s="0">
        <v>81</v>
      </c>
      <c r="AJ559" t="s" s="0">
        <v>81</v>
      </c>
      <c r="AK559" t="s" s="0">
        <v>81</v>
      </c>
      <c r="AL559" t="s" s="0">
        <v>664</v>
      </c>
      <c r="AM559" t="s" s="0">
        <v>77</v>
      </c>
      <c r="AN559" t="s" s="0">
        <v>77</v>
      </c>
      <c r="AO559" t="s" s="0">
        <v>381</v>
      </c>
      <c r="AP559" t="s" s="0">
        <v>381</v>
      </c>
      <c r="AQ559" t="s" s="0">
        <v>284</v>
      </c>
      <c r="AR559" t="s" s="0">
        <v>285</v>
      </c>
      <c r="AS559" t="s" s="0">
        <v>286</v>
      </c>
      <c r="AT559" t="s" s="0">
        <v>81</v>
      </c>
      <c r="AU559" t="s" s="0">
        <v>9263</v>
      </c>
      <c r="AV559" t="s" s="0">
        <v>81</v>
      </c>
      <c r="AW559" t="s" s="0">
        <v>9264</v>
      </c>
      <c r="AX559" t="s" s="0">
        <v>3693</v>
      </c>
      <c r="AY559" t="s" s="0">
        <v>12487</v>
      </c>
      <c r="AZ559" t="s" s="0">
        <v>103</v>
      </c>
      <c r="BA559" t="s" s="0">
        <v>104</v>
      </c>
      <c r="BB559" t="s" s="0">
        <v>196</v>
      </c>
      <c r="BC559" t="s" s="0">
        <v>81</v>
      </c>
      <c r="BD559" t="s" s="0">
        <v>81</v>
      </c>
      <c r="BE559" t="s" s="0">
        <v>81</v>
      </c>
      <c r="BF559" t="s" s="0">
        <v>81</v>
      </c>
      <c r="BG559" t="s" s="0">
        <v>81</v>
      </c>
      <c r="BH559" t="s" s="0">
        <v>81</v>
      </c>
      <c r="BI559" t="s" s="0">
        <v>8256</v>
      </c>
      <c r="BJ559" t="s" s="0">
        <v>12488</v>
      </c>
      <c r="BK559" t="s" s="1109">
        <f>HYPERLINK("http://dx.doi.org/10.3390/math14030503","http://dx.doi.org/10.3390/math14030503")</f>
        <v>12489</v>
      </c>
      <c r="BL559" t="s" s="0">
        <v>81</v>
      </c>
      <c r="BM559" t="s" s="0">
        <v>81</v>
      </c>
      <c r="BN559" t="s" s="0">
        <v>485</v>
      </c>
      <c r="BO559" t="s" s="0">
        <v>3693</v>
      </c>
      <c r="BP559" t="s" s="0">
        <v>3693</v>
      </c>
      <c r="BQ559" t="s" s="0">
        <v>12490</v>
      </c>
      <c r="BR559" t="s" s="0">
        <v>81</v>
      </c>
      <c r="BS559" t="s" s="0">
        <v>12491</v>
      </c>
      <c r="BT559" t="s" s="1110">
        <f>HYPERLINK("https://www.webofscience.com/wos/woscc/full-record/WOS:001687910300001","View Record in Web of Science")</f>
        <v>114</v>
      </c>
      <c r="BU559" t="s" s="0">
        <v>301</v>
      </c>
      <c r="BV559" t="s" s="0">
        <v>81</v>
      </c>
      <c r="BW559" t="s" s="0">
        <v>81</v>
      </c>
      <c r="BX559" t="s" s="0">
        <v>116</v>
      </c>
    </row>
    <row r="560">
      <c r="A560" t="s" s="0">
        <v>77</v>
      </c>
      <c r="B560" t="s" s="0">
        <v>77</v>
      </c>
      <c r="C560" t="s" s="0">
        <v>97</v>
      </c>
      <c r="D560" t="s" s="0">
        <v>77</v>
      </c>
      <c r="E560" t="s" s="0">
        <v>12492</v>
      </c>
      <c r="F560" t="s" s="0">
        <v>12493</v>
      </c>
      <c r="G560" t="s" s="0">
        <v>12494</v>
      </c>
      <c r="H560" t="s" s="0">
        <v>81</v>
      </c>
      <c r="I560" t="s" s="0">
        <v>82</v>
      </c>
      <c r="J560" t="s" s="0">
        <v>12495</v>
      </c>
      <c r="K560" t="s" s="0">
        <v>12496</v>
      </c>
      <c r="L560" t="s" s="0">
        <v>81</v>
      </c>
      <c r="M560" t="s" s="0">
        <v>81</v>
      </c>
      <c r="N560" t="s" s="0">
        <v>81</v>
      </c>
      <c r="O560" t="s" s="0">
        <v>12497</v>
      </c>
      <c r="P560" t="s" s="0">
        <v>12498</v>
      </c>
      <c r="Q560" t="s" s="0">
        <v>87</v>
      </c>
      <c r="R560" t="s" s="0">
        <v>81</v>
      </c>
      <c r="S560" t="s" s="0">
        <v>81</v>
      </c>
      <c r="T560" t="s" s="0">
        <v>81</v>
      </c>
      <c r="U560" t="s" s="0">
        <v>81</v>
      </c>
      <c r="V560" t="s" s="0">
        <v>12499</v>
      </c>
      <c r="W560" t="s" s="0">
        <v>89</v>
      </c>
      <c r="X560" t="s" s="0">
        <v>81</v>
      </c>
      <c r="Y560" t="s" s="0">
        <v>81</v>
      </c>
      <c r="Z560" t="s" s="0">
        <v>90</v>
      </c>
      <c r="AA560" t="s" s="0">
        <v>91</v>
      </c>
      <c r="AB560" t="s" s="0">
        <v>81</v>
      </c>
      <c r="AC560" t="s" s="0">
        <v>81</v>
      </c>
      <c r="AD560" t="s" s="0">
        <v>81</v>
      </c>
      <c r="AE560" t="s" s="0">
        <v>81</v>
      </c>
      <c r="AF560" t="s" s="0">
        <v>81</v>
      </c>
      <c r="AG560" t="s" s="0">
        <v>12500</v>
      </c>
      <c r="AH560" t="s" s="0">
        <v>12501</v>
      </c>
      <c r="AI560" t="s" s="0">
        <v>12502</v>
      </c>
      <c r="AJ560" t="s" s="0">
        <v>12503</v>
      </c>
      <c r="AK560" t="s" s="0">
        <v>81</v>
      </c>
      <c r="AL560" t="s" s="0">
        <v>1207</v>
      </c>
      <c r="AM560" t="s" s="0">
        <v>925</v>
      </c>
      <c r="AN560" t="s" s="0">
        <v>222</v>
      </c>
      <c r="AO560" t="s" s="0">
        <v>97</v>
      </c>
      <c r="AP560" t="s" s="0">
        <v>1912</v>
      </c>
      <c r="AQ560" t="s" s="0">
        <v>98</v>
      </c>
      <c r="AR560" t="s" s="0">
        <v>99</v>
      </c>
      <c r="AS560" t="s" s="0">
        <v>100</v>
      </c>
      <c r="AT560" t="s" s="0">
        <v>101</v>
      </c>
      <c r="AU560" t="s" s="0">
        <v>81</v>
      </c>
      <c r="AV560" t="s" s="0">
        <v>81</v>
      </c>
      <c r="AW560" t="s" s="0">
        <v>89</v>
      </c>
      <c r="AX560" t="s" s="0">
        <v>102</v>
      </c>
      <c r="AY560" t="s" s="0">
        <v>220</v>
      </c>
      <c r="AZ560" t="s" s="0">
        <v>220</v>
      </c>
      <c r="BA560" t="s" s="0">
        <v>211</v>
      </c>
      <c r="BB560" t="s" s="0">
        <v>81</v>
      </c>
      <c r="BC560" t="s" s="0">
        <v>81</v>
      </c>
      <c r="BD560" t="s" s="0">
        <v>81</v>
      </c>
      <c r="BE560" t="s" s="0">
        <v>81</v>
      </c>
      <c r="BF560" t="s" s="0">
        <v>81</v>
      </c>
      <c r="BG560" t="s" s="0">
        <v>12504</v>
      </c>
      <c r="BH560" t="s" s="0">
        <v>12505</v>
      </c>
      <c r="BI560" t="s" s="0">
        <v>81</v>
      </c>
      <c r="BJ560" t="s" s="0">
        <v>12506</v>
      </c>
      <c r="BK560" t="s" s="1111">
        <f>HYPERLINK("http://dx.doi.org/10.1109/ACCESS.2022.3175816","http://dx.doi.org/10.1109/ACCESS.2022.3175816")</f>
        <v>12507</v>
      </c>
      <c r="BL560" t="s" s="0">
        <v>81</v>
      </c>
      <c r="BM560" t="s" s="0">
        <v>81</v>
      </c>
      <c r="BN560" t="s" s="0">
        <v>434</v>
      </c>
      <c r="BO560" t="s" s="0">
        <v>110</v>
      </c>
      <c r="BP560" t="s" s="0">
        <v>111</v>
      </c>
      <c r="BQ560" t="s" s="0">
        <v>12508</v>
      </c>
      <c r="BR560" t="s" s="0">
        <v>81</v>
      </c>
      <c r="BS560" t="s" s="0">
        <v>12509</v>
      </c>
      <c r="BT560" t="s" s="1112">
        <f>HYPERLINK("https://www.webofscience.com/wos/woscc/full-record/WOS:000800768900001","View Record in Web of Science")</f>
        <v>114</v>
      </c>
      <c r="BU560" t="s" s="0">
        <v>301</v>
      </c>
      <c r="BV560" t="s" s="0">
        <v>81</v>
      </c>
      <c r="BW560" t="s" s="0">
        <v>81</v>
      </c>
      <c r="BX560" t="s" s="0">
        <v>116</v>
      </c>
    </row>
    <row r="561">
      <c r="A561" t="s" s="0">
        <v>77</v>
      </c>
      <c r="B561" t="s" s="0">
        <v>77</v>
      </c>
      <c r="C561" t="s" s="0">
        <v>77</v>
      </c>
      <c r="D561" t="s" s="0">
        <v>77</v>
      </c>
      <c r="E561" t="s" s="0">
        <v>12510</v>
      </c>
      <c r="F561" t="s" s="0">
        <v>12511</v>
      </c>
      <c r="G561" t="s" s="0">
        <v>12512</v>
      </c>
      <c r="H561" t="s" s="0">
        <v>81</v>
      </c>
      <c r="I561" t="s" s="0">
        <v>82</v>
      </c>
      <c r="J561" t="s" s="0">
        <v>12513</v>
      </c>
      <c r="K561" t="s" s="0">
        <v>12514</v>
      </c>
      <c r="L561" t="s" s="0">
        <v>12515</v>
      </c>
      <c r="M561" t="s" s="0">
        <v>12516</v>
      </c>
      <c r="N561" t="s" s="0">
        <v>12517</v>
      </c>
      <c r="O561" t="s" s="0">
        <v>12518</v>
      </c>
      <c r="P561" t="s" s="0">
        <v>12519</v>
      </c>
      <c r="Q561" t="s" s="0">
        <v>87</v>
      </c>
      <c r="R561" t="s" s="0">
        <v>81</v>
      </c>
      <c r="S561" t="s" s="0">
        <v>81</v>
      </c>
      <c r="T561" t="s" s="0">
        <v>81</v>
      </c>
      <c r="U561" t="s" s="0">
        <v>81</v>
      </c>
      <c r="V561" t="s" s="0">
        <v>12520</v>
      </c>
      <c r="W561" t="s" s="0">
        <v>910</v>
      </c>
      <c r="X561" t="s" s="0">
        <v>81</v>
      </c>
      <c r="Y561" t="s" s="0">
        <v>81</v>
      </c>
      <c r="Z561" t="s" s="0">
        <v>90</v>
      </c>
      <c r="AA561" t="s" s="0">
        <v>91</v>
      </c>
      <c r="AB561" t="s" s="0">
        <v>81</v>
      </c>
      <c r="AC561" t="s" s="0">
        <v>81</v>
      </c>
      <c r="AD561" t="s" s="0">
        <v>81</v>
      </c>
      <c r="AE561" t="s" s="0">
        <v>81</v>
      </c>
      <c r="AF561" t="s" s="0">
        <v>81</v>
      </c>
      <c r="AG561" t="s" s="0">
        <v>12521</v>
      </c>
      <c r="AH561" t="s" s="0">
        <v>12522</v>
      </c>
      <c r="AI561" t="s" s="0">
        <v>81</v>
      </c>
      <c r="AJ561" t="s" s="0">
        <v>81</v>
      </c>
      <c r="AK561" t="s" s="0">
        <v>81</v>
      </c>
      <c r="AL561" t="s" s="0">
        <v>1837</v>
      </c>
      <c r="AM561" t="s" s="0">
        <v>97</v>
      </c>
      <c r="AN561" t="s" s="0">
        <v>97</v>
      </c>
      <c r="AO561" t="s" s="0">
        <v>77</v>
      </c>
      <c r="AP561" t="s" s="0">
        <v>77</v>
      </c>
      <c r="AQ561" t="s" s="0">
        <v>915</v>
      </c>
      <c r="AR561" t="s" s="0">
        <v>916</v>
      </c>
      <c r="AS561" t="s" s="0">
        <v>917</v>
      </c>
      <c r="AT561" t="s" s="0">
        <v>918</v>
      </c>
      <c r="AU561" t="s" s="0">
        <v>81</v>
      </c>
      <c r="AV561" t="s" s="0">
        <v>81</v>
      </c>
      <c r="AW561" t="s" s="0">
        <v>919</v>
      </c>
      <c r="AX561" t="s" s="0">
        <v>920</v>
      </c>
      <c r="AY561" t="s" s="0">
        <v>7465</v>
      </c>
      <c r="AZ561" t="s" s="0">
        <v>290</v>
      </c>
      <c r="BA561" t="s" s="0">
        <v>291</v>
      </c>
      <c r="BB561" t="s" s="0">
        <v>97</v>
      </c>
      <c r="BC561" t="s" s="0">
        <v>81</v>
      </c>
      <c r="BD561" t="s" s="0">
        <v>81</v>
      </c>
      <c r="BE561" t="s" s="0">
        <v>81</v>
      </c>
      <c r="BF561" t="s" s="0">
        <v>81</v>
      </c>
      <c r="BG561" t="s" s="0">
        <v>81</v>
      </c>
      <c r="BH561" t="s" s="0">
        <v>81</v>
      </c>
      <c r="BI561" t="s" s="0">
        <v>12523</v>
      </c>
      <c r="BJ561" t="s" s="0">
        <v>12524</v>
      </c>
      <c r="BK561" t="s" s="1113">
        <f>HYPERLINK("http://dx.doi.org/10.1038/s41598-025-20462-3","http://dx.doi.org/10.1038/s41598-025-20462-3")</f>
        <v>12525</v>
      </c>
      <c r="BL561" t="s" s="0">
        <v>81</v>
      </c>
      <c r="BM561" t="s" s="0">
        <v>81</v>
      </c>
      <c r="BN561" t="s" s="0">
        <v>228</v>
      </c>
      <c r="BO561" t="s" s="0">
        <v>926</v>
      </c>
      <c r="BP561" t="s" s="0">
        <v>927</v>
      </c>
      <c r="BQ561" t="s" s="0">
        <v>12526</v>
      </c>
      <c r="BR561" t="s" s="0">
        <v>12527</v>
      </c>
      <c r="BS561" t="s" s="0">
        <v>12528</v>
      </c>
      <c r="BT561" t="s" s="1114">
        <f>HYPERLINK("https://www.webofscience.com/wos/woscc/full-record/WOS:001707928600001","View Record in Web of Science")</f>
        <v>114</v>
      </c>
      <c r="BU561" t="s" s="0">
        <v>301</v>
      </c>
      <c r="BV561" t="s" s="0">
        <v>81</v>
      </c>
      <c r="BW561" t="s" s="0">
        <v>81</v>
      </c>
      <c r="BX561" t="s" s="0">
        <v>116</v>
      </c>
    </row>
    <row r="562">
      <c r="A562" t="s" s="0">
        <v>77</v>
      </c>
      <c r="B562" t="s" s="0">
        <v>77</v>
      </c>
      <c r="C562" t="s" s="0">
        <v>77</v>
      </c>
      <c r="D562" t="s" s="0">
        <v>77</v>
      </c>
      <c r="E562" t="s" s="0">
        <v>12529</v>
      </c>
      <c r="F562" t="s" s="0">
        <v>12530</v>
      </c>
      <c r="G562" t="s" s="0">
        <v>12531</v>
      </c>
      <c r="H562" t="s" s="0">
        <v>81</v>
      </c>
      <c r="I562" t="s" s="0">
        <v>82</v>
      </c>
      <c r="J562" t="s" s="0">
        <v>12532</v>
      </c>
      <c r="K562" t="s" s="0">
        <v>12533</v>
      </c>
      <c r="L562" t="s" s="0">
        <v>81</v>
      </c>
      <c r="M562" t="s" s="0">
        <v>81</v>
      </c>
      <c r="N562" t="s" s="0">
        <v>81</v>
      </c>
      <c r="O562" t="s" s="0">
        <v>12534</v>
      </c>
      <c r="P562" t="s" s="0">
        <v>12535</v>
      </c>
      <c r="Q562" t="s" s="0">
        <v>87</v>
      </c>
      <c r="R562" t="s" s="0">
        <v>81</v>
      </c>
      <c r="S562" t="s" s="0">
        <v>81</v>
      </c>
      <c r="T562" t="s" s="0">
        <v>81</v>
      </c>
      <c r="U562" t="s" s="0">
        <v>81</v>
      </c>
      <c r="V562" t="s" s="0">
        <v>12536</v>
      </c>
      <c r="W562" t="s" s="0">
        <v>2797</v>
      </c>
      <c r="X562" t="s" s="0">
        <v>81</v>
      </c>
      <c r="Y562" t="s" s="0">
        <v>81</v>
      </c>
      <c r="Z562" t="s" s="0">
        <v>90</v>
      </c>
      <c r="AA562" t="s" s="0">
        <v>91</v>
      </c>
      <c r="AB562" t="s" s="0">
        <v>81</v>
      </c>
      <c r="AC562" t="s" s="0">
        <v>81</v>
      </c>
      <c r="AD562" t="s" s="0">
        <v>81</v>
      </c>
      <c r="AE562" t="s" s="0">
        <v>81</v>
      </c>
      <c r="AF562" t="s" s="0">
        <v>81</v>
      </c>
      <c r="AG562" t="s" s="0">
        <v>12537</v>
      </c>
      <c r="AH562" t="s" s="0">
        <v>12538</v>
      </c>
      <c r="AI562" t="s" s="0">
        <v>12539</v>
      </c>
      <c r="AJ562" t="s" s="0">
        <v>12540</v>
      </c>
      <c r="AK562" t="s" s="0">
        <v>81</v>
      </c>
      <c r="AL562" t="s" s="0">
        <v>2955</v>
      </c>
      <c r="AM562" t="s" s="0">
        <v>156</v>
      </c>
      <c r="AN562" t="s" s="0">
        <v>156</v>
      </c>
      <c r="AO562" t="s" s="0">
        <v>196</v>
      </c>
      <c r="AP562" t="s" s="0">
        <v>316</v>
      </c>
      <c r="AQ562" t="s" s="0">
        <v>284</v>
      </c>
      <c r="AR562" t="s" s="0">
        <v>285</v>
      </c>
      <c r="AS562" t="s" s="0">
        <v>286</v>
      </c>
      <c r="AT562" t="s" s="0">
        <v>81</v>
      </c>
      <c r="AU562" t="s" s="0">
        <v>2801</v>
      </c>
      <c r="AV562" t="s" s="0">
        <v>81</v>
      </c>
      <c r="AW562" t="s" s="0">
        <v>2802</v>
      </c>
      <c r="AX562" t="s" s="0">
        <v>2803</v>
      </c>
      <c r="AY562" t="s" s="0">
        <v>12541</v>
      </c>
      <c r="AZ562" t="s" s="0">
        <v>290</v>
      </c>
      <c r="BA562" t="s" s="0">
        <v>291</v>
      </c>
      <c r="BB562" t="s" s="0">
        <v>291</v>
      </c>
      <c r="BC562" t="s" s="0">
        <v>81</v>
      </c>
      <c r="BD562" t="s" s="0">
        <v>81</v>
      </c>
      <c r="BE562" t="s" s="0">
        <v>81</v>
      </c>
      <c r="BF562" t="s" s="0">
        <v>81</v>
      </c>
      <c r="BG562" t="s" s="0">
        <v>81</v>
      </c>
      <c r="BH562" t="s" s="0">
        <v>81</v>
      </c>
      <c r="BI562" t="s" s="0">
        <v>12542</v>
      </c>
      <c r="BJ562" t="s" s="0">
        <v>12543</v>
      </c>
      <c r="BK562" t="s" s="1115">
        <f>HYPERLINK("http://dx.doi.org/10.3390/app15158449","http://dx.doi.org/10.3390/app15158449")</f>
        <v>12544</v>
      </c>
      <c r="BL562" t="s" s="0">
        <v>81</v>
      </c>
      <c r="BM562" t="s" s="0">
        <v>81</v>
      </c>
      <c r="BN562" t="s" s="0">
        <v>210</v>
      </c>
      <c r="BO562" t="s" s="0">
        <v>2807</v>
      </c>
      <c r="BP562" t="s" s="0">
        <v>2808</v>
      </c>
      <c r="BQ562" t="s" s="0">
        <v>12545</v>
      </c>
      <c r="BR562" t="s" s="0">
        <v>81</v>
      </c>
      <c r="BS562" t="s" s="0">
        <v>12546</v>
      </c>
      <c r="BT562" t="s" s="1116">
        <f>HYPERLINK("https://www.webofscience.com/wos/woscc/full-record/WOS:001549005200001","View Record in Web of Science")</f>
        <v>114</v>
      </c>
      <c r="BU562" t="s" s="0">
        <v>301</v>
      </c>
      <c r="BV562" t="s" s="0">
        <v>81</v>
      </c>
      <c r="BW562" t="s" s="0">
        <v>81</v>
      </c>
      <c r="BX562" t="s" s="0">
        <v>116</v>
      </c>
    </row>
    <row r="563">
      <c r="A563" t="s" s="0">
        <v>77</v>
      </c>
      <c r="B563" t="s" s="0">
        <v>77</v>
      </c>
      <c r="C563" t="s" s="0">
        <v>77</v>
      </c>
      <c r="D563" t="s" s="0">
        <v>77</v>
      </c>
      <c r="E563" t="s" s="0">
        <v>12547</v>
      </c>
      <c r="F563" t="s" s="0">
        <v>12548</v>
      </c>
      <c r="G563" t="s" s="0">
        <v>12549</v>
      </c>
      <c r="H563" t="s" s="0">
        <v>81</v>
      </c>
      <c r="I563" t="s" s="0">
        <v>82</v>
      </c>
      <c r="J563" t="s" s="0">
        <v>12550</v>
      </c>
      <c r="K563" t="s" s="0">
        <v>12551</v>
      </c>
      <c r="L563" t="s" s="0">
        <v>12552</v>
      </c>
      <c r="M563" t="s" s="0">
        <v>12553</v>
      </c>
      <c r="N563" t="s" s="0">
        <v>12554</v>
      </c>
      <c r="O563" t="s" s="0">
        <v>12555</v>
      </c>
      <c r="P563" t="s" s="0">
        <v>12556</v>
      </c>
      <c r="Q563" t="s" s="0">
        <v>87</v>
      </c>
      <c r="R563" t="s" s="0">
        <v>81</v>
      </c>
      <c r="S563" t="s" s="0">
        <v>81</v>
      </c>
      <c r="T563" t="s" s="0">
        <v>81</v>
      </c>
      <c r="U563" t="s" s="0">
        <v>81</v>
      </c>
      <c r="V563" t="s" s="0">
        <v>12557</v>
      </c>
      <c r="W563" t="s" s="0">
        <v>12558</v>
      </c>
      <c r="X563" t="s" s="0">
        <v>81</v>
      </c>
      <c r="Y563" t="s" s="0">
        <v>81</v>
      </c>
      <c r="Z563" t="s" s="0">
        <v>90</v>
      </c>
      <c r="AA563" t="s" s="0">
        <v>91</v>
      </c>
      <c r="AB563" t="s" s="0">
        <v>81</v>
      </c>
      <c r="AC563" t="s" s="0">
        <v>81</v>
      </c>
      <c r="AD563" t="s" s="0">
        <v>81</v>
      </c>
      <c r="AE563" t="s" s="0">
        <v>81</v>
      </c>
      <c r="AF563" t="s" s="0">
        <v>81</v>
      </c>
      <c r="AG563" t="s" s="0">
        <v>12559</v>
      </c>
      <c r="AH563" t="s" s="0">
        <v>81</v>
      </c>
      <c r="AI563" t="s" s="0">
        <v>81</v>
      </c>
      <c r="AJ563" t="s" s="0">
        <v>81</v>
      </c>
      <c r="AK563" t="s" s="0">
        <v>81</v>
      </c>
      <c r="AL563" t="s" s="0">
        <v>1912</v>
      </c>
      <c r="AM563" t="s" s="0">
        <v>77</v>
      </c>
      <c r="AN563" t="s" s="0">
        <v>77</v>
      </c>
      <c r="AO563" t="s" s="0">
        <v>77</v>
      </c>
      <c r="AP563" t="s" s="0">
        <v>77</v>
      </c>
      <c r="AQ563" t="s" s="0">
        <v>368</v>
      </c>
      <c r="AR563" t="s" s="0">
        <v>369</v>
      </c>
      <c r="AS563" t="s" s="0">
        <v>370</v>
      </c>
      <c r="AT563" t="s" s="0">
        <v>12560</v>
      </c>
      <c r="AU563" t="s" s="0">
        <v>81</v>
      </c>
      <c r="AV563" t="s" s="0">
        <v>81</v>
      </c>
      <c r="AW563" t="s" s="0">
        <v>12561</v>
      </c>
      <c r="AX563" t="s" s="0">
        <v>12562</v>
      </c>
      <c r="AY563" t="s" s="0">
        <v>12563</v>
      </c>
      <c r="AZ563" t="s" s="0">
        <v>103</v>
      </c>
      <c r="BA563" t="s" s="0">
        <v>104</v>
      </c>
      <c r="BB563" t="s" s="0">
        <v>81</v>
      </c>
      <c r="BC563" t="s" s="0">
        <v>81</v>
      </c>
      <c r="BD563" t="s" s="0">
        <v>81</v>
      </c>
      <c r="BE563" t="s" s="0">
        <v>81</v>
      </c>
      <c r="BF563" t="s" s="0">
        <v>81</v>
      </c>
      <c r="BG563" t="s" s="0">
        <v>81</v>
      </c>
      <c r="BH563" t="s" s="0">
        <v>81</v>
      </c>
      <c r="BI563" t="s" s="0">
        <v>12564</v>
      </c>
      <c r="BJ563" t="s" s="0">
        <v>12565</v>
      </c>
      <c r="BK563" t="s" s="1117">
        <f>HYPERLINK("http://dx.doi.org/10.3389/fbioe.2026.1859844","http://dx.doi.org/10.3389/fbioe.2026.1859844")</f>
        <v>12566</v>
      </c>
      <c r="BL563" t="s" s="0">
        <v>81</v>
      </c>
      <c r="BM563" t="s" s="0">
        <v>849</v>
      </c>
      <c r="BN563" t="s" s="0">
        <v>222</v>
      </c>
      <c r="BO563" t="s" s="0">
        <v>1236</v>
      </c>
      <c r="BP563" t="s" s="0">
        <v>1237</v>
      </c>
      <c r="BQ563" t="s" s="0">
        <v>12567</v>
      </c>
      <c r="BR563" t="s" s="0">
        <v>12568</v>
      </c>
      <c r="BS563" t="s" s="0">
        <v>12569</v>
      </c>
      <c r="BT563" t="s" s="1118">
        <f>HYPERLINK("https://www.webofscience.com/wos/woscc/full-record/WOS:001817249100001","View Record in Web of Science")</f>
        <v>114</v>
      </c>
      <c r="BU563" t="s" s="0">
        <v>301</v>
      </c>
      <c r="BV563" t="s" s="0">
        <v>81</v>
      </c>
      <c r="BW563" t="s" s="0">
        <v>81</v>
      </c>
      <c r="BX563" t="s" s="0">
        <v>116</v>
      </c>
    </row>
    <row r="564">
      <c r="A564" t="s" s="0">
        <v>77</v>
      </c>
      <c r="B564" t="s" s="0">
        <v>77</v>
      </c>
      <c r="C564" t="s" s="0">
        <v>77</v>
      </c>
      <c r="D564" t="s" s="0">
        <v>77</v>
      </c>
      <c r="E564" t="s" s="0">
        <v>12570</v>
      </c>
      <c r="F564" t="s" s="0">
        <v>12571</v>
      </c>
      <c r="G564" t="s" s="0">
        <v>12572</v>
      </c>
      <c r="H564" t="s" s="0">
        <v>81</v>
      </c>
      <c r="I564" t="s" s="0">
        <v>82</v>
      </c>
      <c r="J564" t="s" s="0">
        <v>12573</v>
      </c>
      <c r="K564" t="s" s="0">
        <v>12574</v>
      </c>
      <c r="L564" t="s" s="0">
        <v>12575</v>
      </c>
      <c r="M564" t="s" s="0">
        <v>12576</v>
      </c>
      <c r="N564" t="s" s="0">
        <v>12577</v>
      </c>
      <c r="O564" t="s" s="0">
        <v>12578</v>
      </c>
      <c r="P564" t="s" s="0">
        <v>12579</v>
      </c>
      <c r="Q564" t="s" s="0">
        <v>87</v>
      </c>
      <c r="R564" t="s" s="0">
        <v>81</v>
      </c>
      <c r="S564" t="s" s="0">
        <v>81</v>
      </c>
      <c r="T564" t="s" s="0">
        <v>81</v>
      </c>
      <c r="U564" t="s" s="0">
        <v>81</v>
      </c>
      <c r="V564" t="s" s="0">
        <v>12580</v>
      </c>
      <c r="W564" t="s" s="0">
        <v>279</v>
      </c>
      <c r="X564" t="s" s="0">
        <v>81</v>
      </c>
      <c r="Y564" t="s" s="0">
        <v>81</v>
      </c>
      <c r="Z564" t="s" s="0">
        <v>90</v>
      </c>
      <c r="AA564" t="s" s="0">
        <v>91</v>
      </c>
      <c r="AB564" t="s" s="0">
        <v>81</v>
      </c>
      <c r="AC564" t="s" s="0">
        <v>81</v>
      </c>
      <c r="AD564" t="s" s="0">
        <v>81</v>
      </c>
      <c r="AE564" t="s" s="0">
        <v>81</v>
      </c>
      <c r="AF564" t="s" s="0">
        <v>81</v>
      </c>
      <c r="AG564" t="s" s="0">
        <v>12581</v>
      </c>
      <c r="AH564" t="s" s="0">
        <v>12582</v>
      </c>
      <c r="AI564" t="s" s="0">
        <v>12583</v>
      </c>
      <c r="AJ564" t="s" s="0">
        <v>12584</v>
      </c>
      <c r="AK564" t="s" s="0">
        <v>81</v>
      </c>
      <c r="AL564" t="s" s="0">
        <v>2422</v>
      </c>
      <c r="AM564" t="s" s="0">
        <v>77</v>
      </c>
      <c r="AN564" t="s" s="0">
        <v>77</v>
      </c>
      <c r="AO564" t="s" s="0">
        <v>196</v>
      </c>
      <c r="AP564" t="s" s="0">
        <v>196</v>
      </c>
      <c r="AQ564" t="s" s="0">
        <v>284</v>
      </c>
      <c r="AR564" t="s" s="0">
        <v>285</v>
      </c>
      <c r="AS564" t="s" s="0">
        <v>286</v>
      </c>
      <c r="AT564" t="s" s="0">
        <v>81</v>
      </c>
      <c r="AU564" t="s" s="0">
        <v>287</v>
      </c>
      <c r="AV564" t="s" s="0">
        <v>81</v>
      </c>
      <c r="AW564" t="s" s="0">
        <v>279</v>
      </c>
      <c r="AX564" t="s" s="0">
        <v>288</v>
      </c>
      <c r="AY564" t="s" s="0">
        <v>12585</v>
      </c>
      <c r="AZ564" t="s" s="0">
        <v>103</v>
      </c>
      <c r="BA564" t="s" s="0">
        <v>925</v>
      </c>
      <c r="BB564" t="s" s="0">
        <v>261</v>
      </c>
      <c r="BC564" t="s" s="0">
        <v>81</v>
      </c>
      <c r="BD564" t="s" s="0">
        <v>81</v>
      </c>
      <c r="BE564" t="s" s="0">
        <v>81</v>
      </c>
      <c r="BF564" t="s" s="0">
        <v>81</v>
      </c>
      <c r="BG564" t="s" s="0">
        <v>81</v>
      </c>
      <c r="BH564" t="s" s="0">
        <v>81</v>
      </c>
      <c r="BI564" t="s" s="0">
        <v>12586</v>
      </c>
      <c r="BJ564" t="s" s="0">
        <v>12587</v>
      </c>
      <c r="BK564" t="s" s="1119">
        <f>HYPERLINK("http://dx.doi.org/10.3390/diagnostics16091254","http://dx.doi.org/10.3390/diagnostics16091254")</f>
        <v>12588</v>
      </c>
      <c r="BL564" t="s" s="0">
        <v>81</v>
      </c>
      <c r="BM564" t="s" s="0">
        <v>948</v>
      </c>
      <c r="BN564" t="s" s="0">
        <v>399</v>
      </c>
      <c r="BO564" t="s" s="0">
        <v>296</v>
      </c>
      <c r="BP564" t="s" s="0">
        <v>297</v>
      </c>
      <c r="BQ564" t="s" s="0">
        <v>12589</v>
      </c>
      <c r="BR564" t="s" s="0">
        <v>12590</v>
      </c>
      <c r="BS564" t="s" s="0">
        <v>12591</v>
      </c>
      <c r="BT564" t="s" s="1120">
        <f>HYPERLINK("https://www.webofscience.com/wos/woscc/full-record/WOS:001764072400001","View Record in Web of Science")</f>
        <v>114</v>
      </c>
      <c r="BU564" t="s" s="0">
        <v>301</v>
      </c>
      <c r="BV564" t="s" s="0">
        <v>81</v>
      </c>
      <c r="BW564" t="s" s="0">
        <v>81</v>
      </c>
      <c r="BX564" t="s" s="0">
        <v>116</v>
      </c>
    </row>
    <row r="565">
      <c r="A565" t="s" s="0">
        <v>77</v>
      </c>
      <c r="B565" t="s" s="0">
        <v>77</v>
      </c>
      <c r="C565" t="s" s="0">
        <v>77</v>
      </c>
      <c r="D565" t="s" s="0">
        <v>77</v>
      </c>
      <c r="E565" t="s" s="0">
        <v>12592</v>
      </c>
      <c r="F565" t="s" s="0">
        <v>12593</v>
      </c>
      <c r="G565" t="s" s="0">
        <v>12594</v>
      </c>
      <c r="H565" t="s" s="0">
        <v>81</v>
      </c>
      <c r="I565" t="s" s="0">
        <v>238</v>
      </c>
      <c r="J565" t="s" s="0">
        <v>12595</v>
      </c>
      <c r="K565" t="s" s="0">
        <v>12596</v>
      </c>
      <c r="L565" t="s" s="0">
        <v>12597</v>
      </c>
      <c r="M565" t="s" s="0">
        <v>12598</v>
      </c>
      <c r="N565" t="s" s="0">
        <v>12599</v>
      </c>
      <c r="O565" t="s" s="0">
        <v>12600</v>
      </c>
      <c r="P565" t="s" s="0">
        <v>12601</v>
      </c>
      <c r="Q565" t="s" s="0">
        <v>87</v>
      </c>
      <c r="R565" t="s" s="0">
        <v>81</v>
      </c>
      <c r="S565" t="s" s="0">
        <v>81</v>
      </c>
      <c r="T565" t="s" s="0">
        <v>81</v>
      </c>
      <c r="U565" t="s" s="0">
        <v>81</v>
      </c>
      <c r="V565" t="s" s="0">
        <v>12602</v>
      </c>
      <c r="W565" t="s" s="0">
        <v>600</v>
      </c>
      <c r="X565" t="s" s="0">
        <v>81</v>
      </c>
      <c r="Y565" t="s" s="0">
        <v>81</v>
      </c>
      <c r="Z565" t="s" s="0">
        <v>90</v>
      </c>
      <c r="AA565" t="s" s="0">
        <v>91</v>
      </c>
      <c r="AB565" t="s" s="0">
        <v>81</v>
      </c>
      <c r="AC565" t="s" s="0">
        <v>81</v>
      </c>
      <c r="AD565" t="s" s="0">
        <v>81</v>
      </c>
      <c r="AE565" t="s" s="0">
        <v>81</v>
      </c>
      <c r="AF565" t="s" s="0">
        <v>81</v>
      </c>
      <c r="AG565" t="s" s="0">
        <v>12603</v>
      </c>
      <c r="AH565" t="s" s="0">
        <v>81</v>
      </c>
      <c r="AI565" t="s" s="0">
        <v>12604</v>
      </c>
      <c r="AJ565" t="s" s="0">
        <v>81</v>
      </c>
      <c r="AK565" t="s" s="0">
        <v>81</v>
      </c>
      <c r="AL565" t="s" s="0">
        <v>664</v>
      </c>
      <c r="AM565" t="s" s="0">
        <v>77</v>
      </c>
      <c r="AN565" t="s" s="0">
        <v>77</v>
      </c>
      <c r="AO565" t="s" s="0">
        <v>77</v>
      </c>
      <c r="AP565" t="s" s="0">
        <v>77</v>
      </c>
      <c r="AQ565" t="s" s="0">
        <v>284</v>
      </c>
      <c r="AR565" t="s" s="0">
        <v>285</v>
      </c>
      <c r="AS565" t="s" s="0">
        <v>286</v>
      </c>
      <c r="AT565" t="s" s="0">
        <v>81</v>
      </c>
      <c r="AU565" t="s" s="0">
        <v>4064</v>
      </c>
      <c r="AV565" t="s" s="0">
        <v>81</v>
      </c>
      <c r="AW565" t="s" s="0">
        <v>4065</v>
      </c>
      <c r="AX565" t="s" s="0">
        <v>600</v>
      </c>
      <c r="AY565" t="s" s="0">
        <v>670</v>
      </c>
      <c r="AZ565" t="s" s="0">
        <v>103</v>
      </c>
      <c r="BA565" t="s" s="0">
        <v>234</v>
      </c>
      <c r="BB565" t="s" s="0">
        <v>316</v>
      </c>
      <c r="BC565" t="s" s="0">
        <v>81</v>
      </c>
      <c r="BD565" t="s" s="0">
        <v>81</v>
      </c>
      <c r="BE565" t="s" s="0">
        <v>81</v>
      </c>
      <c r="BF565" t="s" s="0">
        <v>81</v>
      </c>
      <c r="BG565" t="s" s="0">
        <v>81</v>
      </c>
      <c r="BH565" t="s" s="0">
        <v>81</v>
      </c>
      <c r="BI565" t="s" s="0">
        <v>12605</v>
      </c>
      <c r="BJ565" t="s" s="0">
        <v>12606</v>
      </c>
      <c r="BK565" t="s" s="1121">
        <f>HYPERLINK("http://dx.doi.org/10.3390/ai7060183","http://dx.doi.org/10.3390/ai7060183")</f>
        <v>12607</v>
      </c>
      <c r="BL565" t="s" s="0">
        <v>81</v>
      </c>
      <c r="BM565" t="s" s="0">
        <v>675</v>
      </c>
      <c r="BN565" t="s" s="0">
        <v>295</v>
      </c>
      <c r="BO565" t="s" s="0">
        <v>2009</v>
      </c>
      <c r="BP565" t="s" s="0">
        <v>152</v>
      </c>
      <c r="BQ565" t="s" s="0">
        <v>12608</v>
      </c>
      <c r="BR565" t="s" s="0">
        <v>81</v>
      </c>
      <c r="BS565" t="s" s="0">
        <v>12609</v>
      </c>
      <c r="BT565" t="s" s="1122">
        <f>HYPERLINK("https://www.webofscience.com/wos/woscc/full-record/WOS:001801697400001","View Record in Web of Science")</f>
        <v>114</v>
      </c>
      <c r="BU565" t="s" s="0">
        <v>115</v>
      </c>
      <c r="BV565" t="s" s="0">
        <v>81</v>
      </c>
      <c r="BW565" t="s" s="0">
        <v>81</v>
      </c>
      <c r="BX565" t="s" s="0">
        <v>116</v>
      </c>
    </row>
    <row r="566">
      <c r="A566" t="s" s="0">
        <v>175</v>
      </c>
      <c r="B566" t="s" s="0">
        <v>77</v>
      </c>
      <c r="C566" t="s" s="0">
        <v>1254</v>
      </c>
      <c r="D566" t="s" s="0">
        <v>77</v>
      </c>
      <c r="E566" t="s" s="0">
        <v>12610</v>
      </c>
      <c r="F566" t="s" s="0">
        <v>12611</v>
      </c>
      <c r="G566" t="s" s="0">
        <v>12612</v>
      </c>
      <c r="H566" t="s" s="0">
        <v>81</v>
      </c>
      <c r="I566" t="s" s="0">
        <v>82</v>
      </c>
      <c r="J566" t="s" s="0">
        <v>12613</v>
      </c>
      <c r="K566" t="s" s="0">
        <v>12614</v>
      </c>
      <c r="L566" t="s" s="0">
        <v>81</v>
      </c>
      <c r="M566" t="s" s="0">
        <v>81</v>
      </c>
      <c r="N566" t="s" s="0">
        <v>81</v>
      </c>
      <c r="O566" t="s" s="0">
        <v>12615</v>
      </c>
      <c r="P566" t="s" s="0">
        <v>12616</v>
      </c>
      <c r="Q566" t="s" s="0">
        <v>87</v>
      </c>
      <c r="R566" t="s" s="0">
        <v>81</v>
      </c>
      <c r="S566" t="s" s="0">
        <v>81</v>
      </c>
      <c r="T566" t="s" s="0">
        <v>81</v>
      </c>
      <c r="U566" t="s" s="0">
        <v>81</v>
      </c>
      <c r="V566" t="s" s="0">
        <v>12617</v>
      </c>
      <c r="W566" t="s" s="0">
        <v>12618</v>
      </c>
      <c r="X566" t="s" s="0">
        <v>81</v>
      </c>
      <c r="Y566" t="s" s="0">
        <v>81</v>
      </c>
      <c r="Z566" t="s" s="0">
        <v>90</v>
      </c>
      <c r="AA566" t="s" s="0">
        <v>91</v>
      </c>
      <c r="AB566" t="s" s="0">
        <v>81</v>
      </c>
      <c r="AC566" t="s" s="0">
        <v>81</v>
      </c>
      <c r="AD566" t="s" s="0">
        <v>81</v>
      </c>
      <c r="AE566" t="s" s="0">
        <v>81</v>
      </c>
      <c r="AF566" t="s" s="0">
        <v>81</v>
      </c>
      <c r="AG566" t="s" s="0">
        <v>81</v>
      </c>
      <c r="AH566" t="s" s="0">
        <v>12619</v>
      </c>
      <c r="AI566" t="s" s="0">
        <v>81</v>
      </c>
      <c r="AJ566" t="s" s="0">
        <v>81</v>
      </c>
      <c r="AK566" t="s" s="0">
        <v>81</v>
      </c>
      <c r="AL566" t="s" s="0">
        <v>697</v>
      </c>
      <c r="AM566" t="s" s="0">
        <v>12620</v>
      </c>
      <c r="AN566" t="s" s="0">
        <v>12621</v>
      </c>
      <c r="AO566" t="s" s="0">
        <v>874</v>
      </c>
      <c r="AP566" t="s" s="0">
        <v>1398</v>
      </c>
      <c r="AQ566" t="s" s="0">
        <v>12622</v>
      </c>
      <c r="AR566" t="s" s="0">
        <v>12623</v>
      </c>
      <c r="AS566" t="s" s="0">
        <v>12624</v>
      </c>
      <c r="AT566" t="s" s="0">
        <v>12625</v>
      </c>
      <c r="AU566" t="s" s="0">
        <v>12626</v>
      </c>
      <c r="AV566" t="s" s="0">
        <v>81</v>
      </c>
      <c r="AW566" t="s" s="0">
        <v>12627</v>
      </c>
      <c r="AX566" t="s" s="0">
        <v>12628</v>
      </c>
      <c r="AY566" t="s" s="0">
        <v>12629</v>
      </c>
      <c r="AZ566" t="s" s="0">
        <v>290</v>
      </c>
      <c r="BA566" t="s" s="0">
        <v>12630</v>
      </c>
      <c r="BB566" t="s" s="0">
        <v>196</v>
      </c>
      <c r="BC566" t="s" s="0">
        <v>81</v>
      </c>
      <c r="BD566" t="s" s="0">
        <v>81</v>
      </c>
      <c r="BE566" t="s" s="0">
        <v>81</v>
      </c>
      <c r="BF566" t="s" s="0">
        <v>81</v>
      </c>
      <c r="BG566" t="s" s="0">
        <v>12631</v>
      </c>
      <c r="BH566" t="s" s="0">
        <v>12632</v>
      </c>
      <c r="BI566" t="s" s="0">
        <v>81</v>
      </c>
      <c r="BJ566" t="s" s="0">
        <v>12633</v>
      </c>
      <c r="BK566" t="s" s="1123">
        <f>HYPERLINK("http://dx.doi.org/10.1001/jama.2024.21451","http://dx.doi.org/10.1001/jama.2024.21451")</f>
        <v>12634</v>
      </c>
      <c r="BL566" t="s" s="0">
        <v>81</v>
      </c>
      <c r="BM566" t="s" s="0">
        <v>1816</v>
      </c>
      <c r="BN566" t="s" s="0">
        <v>234</v>
      </c>
      <c r="BO566" t="s" s="0">
        <v>296</v>
      </c>
      <c r="BP566" t="s" s="0">
        <v>297</v>
      </c>
      <c r="BQ566" t="s" s="0">
        <v>12635</v>
      </c>
      <c r="BR566" t="s" s="0">
        <v>12636</v>
      </c>
      <c r="BS566" t="s" s="0">
        <v>12637</v>
      </c>
      <c r="BT566" t="s" s="1124">
        <f>HYPERLINK("https://www.webofscience.com/wos/woscc/full-record/WOS:001338321500001","View Record in Web of Science")</f>
        <v>114</v>
      </c>
      <c r="BU566" t="s" s="0">
        <v>81</v>
      </c>
      <c r="BV566" t="s" s="0">
        <v>2886</v>
      </c>
      <c r="BW566" t="s" s="0">
        <v>2887</v>
      </c>
      <c r="BX566" t="s" s="0">
        <v>116</v>
      </c>
    </row>
    <row r="567">
      <c r="A567" t="s" s="0">
        <v>211</v>
      </c>
      <c r="B567" t="s" s="0">
        <v>77</v>
      </c>
      <c r="C567" t="s" s="0">
        <v>234</v>
      </c>
      <c r="D567" t="s" s="0">
        <v>77</v>
      </c>
      <c r="E567" t="s" s="0">
        <v>12638</v>
      </c>
      <c r="F567" t="s" s="0">
        <v>12639</v>
      </c>
      <c r="G567" t="s" s="0">
        <v>12640</v>
      </c>
      <c r="H567" t="s" s="0">
        <v>81</v>
      </c>
      <c r="I567" t="s" s="0">
        <v>82</v>
      </c>
      <c r="J567" t="s" s="0">
        <v>12641</v>
      </c>
      <c r="K567" t="s" s="0">
        <v>12642</v>
      </c>
      <c r="L567" t="s" s="0">
        <v>81</v>
      </c>
      <c r="M567" t="s" s="0">
        <v>81</v>
      </c>
      <c r="N567" t="s" s="0">
        <v>81</v>
      </c>
      <c r="O567" t="s" s="0">
        <v>12643</v>
      </c>
      <c r="P567" t="s" s="0">
        <v>12644</v>
      </c>
      <c r="Q567" t="s" s="0">
        <v>87</v>
      </c>
      <c r="R567" t="s" s="0">
        <v>81</v>
      </c>
      <c r="S567" t="s" s="0">
        <v>81</v>
      </c>
      <c r="T567" t="s" s="0">
        <v>81</v>
      </c>
      <c r="U567" t="s" s="0">
        <v>81</v>
      </c>
      <c r="V567" t="s" s="0">
        <v>12645</v>
      </c>
      <c r="W567" t="s" s="0">
        <v>12646</v>
      </c>
      <c r="X567" t="s" s="0">
        <v>81</v>
      </c>
      <c r="Y567" t="s" s="0">
        <v>81</v>
      </c>
      <c r="Z567" t="s" s="0">
        <v>90</v>
      </c>
      <c r="AA567" t="s" s="0">
        <v>91</v>
      </c>
      <c r="AB567" t="s" s="0">
        <v>81</v>
      </c>
      <c r="AC567" t="s" s="0">
        <v>81</v>
      </c>
      <c r="AD567" t="s" s="0">
        <v>81</v>
      </c>
      <c r="AE567" t="s" s="0">
        <v>81</v>
      </c>
      <c r="AF567" t="s" s="0">
        <v>81</v>
      </c>
      <c r="AG567" t="s" s="0">
        <v>12647</v>
      </c>
      <c r="AH567" t="s" s="0">
        <v>12648</v>
      </c>
      <c r="AI567" t="s" s="0">
        <v>12649</v>
      </c>
      <c r="AJ567" t="s" s="0">
        <v>12650</v>
      </c>
      <c r="AK567" t="s" s="0">
        <v>81</v>
      </c>
      <c r="AL567" t="s" s="0">
        <v>12651</v>
      </c>
      <c r="AM567" t="s" s="0">
        <v>5938</v>
      </c>
      <c r="AN567" t="s" s="0">
        <v>1185</v>
      </c>
      <c r="AO567" t="s" s="0">
        <v>398</v>
      </c>
      <c r="AP567" t="s" s="0">
        <v>12652</v>
      </c>
      <c r="AQ567" t="s" s="0">
        <v>98</v>
      </c>
      <c r="AR567" t="s" s="0">
        <v>99</v>
      </c>
      <c r="AS567" t="s" s="0">
        <v>100</v>
      </c>
      <c r="AT567" t="s" s="0">
        <v>12653</v>
      </c>
      <c r="AU567" t="s" s="0">
        <v>12654</v>
      </c>
      <c r="AV567" t="s" s="0">
        <v>81</v>
      </c>
      <c r="AW567" t="s" s="0">
        <v>12655</v>
      </c>
      <c r="AX567" t="s" s="0">
        <v>12656</v>
      </c>
      <c r="AY567" t="s" s="0">
        <v>615</v>
      </c>
      <c r="AZ567" t="s" s="0">
        <v>290</v>
      </c>
      <c r="BA567" t="s" s="0">
        <v>134</v>
      </c>
      <c r="BB567" t="s" s="0">
        <v>133</v>
      </c>
      <c r="BC567" t="s" s="0">
        <v>81</v>
      </c>
      <c r="BD567" t="s" s="0">
        <v>81</v>
      </c>
      <c r="BE567" t="s" s="0">
        <v>81</v>
      </c>
      <c r="BF567" t="s" s="0">
        <v>81</v>
      </c>
      <c r="BG567" t="s" s="0">
        <v>12657</v>
      </c>
      <c r="BH567" t="s" s="0">
        <v>12658</v>
      </c>
      <c r="BI567" t="s" s="0">
        <v>81</v>
      </c>
      <c r="BJ567" t="s" s="0">
        <v>12659</v>
      </c>
      <c r="BK567" t="s" s="1125">
        <f>HYPERLINK("http://dx.doi.org/10.1109/JAS.2025.125498","http://dx.doi.org/10.1109/JAS.2025.125498")</f>
        <v>12660</v>
      </c>
      <c r="BL567" t="s" s="0">
        <v>81</v>
      </c>
      <c r="BM567" t="s" s="0">
        <v>81</v>
      </c>
      <c r="BN567" t="s" s="0">
        <v>210</v>
      </c>
      <c r="BO567" t="s" s="0">
        <v>12661</v>
      </c>
      <c r="BP567" t="s" s="0">
        <v>12661</v>
      </c>
      <c r="BQ567" t="s" s="0">
        <v>12662</v>
      </c>
      <c r="BR567" t="s" s="0">
        <v>81</v>
      </c>
      <c r="BS567" t="s" s="0">
        <v>12663</v>
      </c>
      <c r="BT567" t="s" s="1126">
        <f>HYPERLINK("https://www.webofscience.com/wos/woscc/full-record/WOS:001490407500018","View Record in Web of Science")</f>
        <v>114</v>
      </c>
      <c r="BU567" t="s" s="0">
        <v>81</v>
      </c>
      <c r="BV567" t="s" s="0">
        <v>2887</v>
      </c>
      <c r="BW567" t="s" s="0">
        <v>2887</v>
      </c>
      <c r="BX567" t="s" s="0">
        <v>116</v>
      </c>
    </row>
    <row r="568">
      <c r="A568" t="s" s="0">
        <v>77</v>
      </c>
      <c r="B568" t="s" s="0">
        <v>77</v>
      </c>
      <c r="C568" t="s" s="0">
        <v>77</v>
      </c>
      <c r="D568" t="s" s="0">
        <v>77</v>
      </c>
      <c r="E568" t="s" s="0">
        <v>12664</v>
      </c>
      <c r="F568" t="s" s="0">
        <v>12665</v>
      </c>
      <c r="G568" t="s" s="0">
        <v>12666</v>
      </c>
      <c r="H568" t="s" s="0">
        <v>81</v>
      </c>
      <c r="I568" t="s" s="0">
        <v>528</v>
      </c>
      <c r="J568" t="s" s="0">
        <v>12667</v>
      </c>
      <c r="K568" t="s" s="0">
        <v>12668</v>
      </c>
      <c r="L568" t="s" s="0">
        <v>81</v>
      </c>
      <c r="M568" t="s" s="0">
        <v>81</v>
      </c>
      <c r="N568" t="s" s="0">
        <v>81</v>
      </c>
      <c r="O568" t="s" s="0">
        <v>12669</v>
      </c>
      <c r="P568" t="s" s="0">
        <v>81</v>
      </c>
      <c r="Q568" t="s" s="0">
        <v>87</v>
      </c>
      <c r="R568" t="s" s="0">
        <v>81</v>
      </c>
      <c r="S568" t="s" s="0">
        <v>81</v>
      </c>
      <c r="T568" t="s" s="0">
        <v>81</v>
      </c>
      <c r="U568" t="s" s="0">
        <v>81</v>
      </c>
      <c r="V568" t="s" s="0">
        <v>12670</v>
      </c>
      <c r="W568" t="s" s="0">
        <v>537</v>
      </c>
      <c r="X568" t="s" s="0">
        <v>81</v>
      </c>
      <c r="Y568" t="s" s="0">
        <v>81</v>
      </c>
      <c r="Z568" t="s" s="0">
        <v>90</v>
      </c>
      <c r="AA568" t="s" s="0">
        <v>1581</v>
      </c>
      <c r="AB568" t="s" s="0">
        <v>81</v>
      </c>
      <c r="AC568" t="s" s="0">
        <v>81</v>
      </c>
      <c r="AD568" t="s" s="0">
        <v>81</v>
      </c>
      <c r="AE568" t="s" s="0">
        <v>81</v>
      </c>
      <c r="AF568" t="s" s="0">
        <v>81</v>
      </c>
      <c r="AG568" t="s" s="0">
        <v>12671</v>
      </c>
      <c r="AH568" t="s" s="0">
        <v>81</v>
      </c>
      <c r="AI568" t="s" s="0">
        <v>81</v>
      </c>
      <c r="AJ568" t="s" s="0">
        <v>81</v>
      </c>
      <c r="AK568" t="s" s="0">
        <v>81</v>
      </c>
      <c r="AL568" t="s" s="0">
        <v>210</v>
      </c>
      <c r="AM568" t="s" s="0">
        <v>156</v>
      </c>
      <c r="AN568" t="s" s="0">
        <v>156</v>
      </c>
      <c r="AO568" t="s" s="0">
        <v>134</v>
      </c>
      <c r="AP568" t="s" s="0">
        <v>150</v>
      </c>
      <c r="AQ568" t="s" s="0">
        <v>545</v>
      </c>
      <c r="AR568" t="s" s="0">
        <v>546</v>
      </c>
      <c r="AS568" t="s" s="0">
        <v>547</v>
      </c>
      <c r="AT568" t="s" s="0">
        <v>548</v>
      </c>
      <c r="AU568" t="s" s="0">
        <v>549</v>
      </c>
      <c r="AV568" t="s" s="0">
        <v>81</v>
      </c>
      <c r="AW568" t="s" s="0">
        <v>550</v>
      </c>
      <c r="AX568" t="s" s="0">
        <v>551</v>
      </c>
      <c r="AY568" t="s" s="0">
        <v>81</v>
      </c>
      <c r="AZ568" t="s" s="0">
        <v>290</v>
      </c>
      <c r="BA568" t="s" s="0">
        <v>81</v>
      </c>
      <c r="BB568" t="s" s="0">
        <v>81</v>
      </c>
      <c r="BC568" t="s" s="0">
        <v>81</v>
      </c>
      <c r="BD568" t="s" s="0">
        <v>81</v>
      </c>
      <c r="BE568" t="s" s="0">
        <v>81</v>
      </c>
      <c r="BF568" t="s" s="0">
        <v>81</v>
      </c>
      <c r="BG568" t="s" s="0">
        <v>81</v>
      </c>
      <c r="BH568" t="s" s="0">
        <v>81</v>
      </c>
      <c r="BI568" t="s" s="0">
        <v>81</v>
      </c>
      <c r="BJ568" t="s" s="0">
        <v>12672</v>
      </c>
      <c r="BK568" t="s" s="1127">
        <f>HYPERLINK("http://dx.doi.org/10.1136/jme-2025-110913","http://dx.doi.org/10.1136/jme-2025-110913")</f>
        <v>12673</v>
      </c>
      <c r="BL568" t="s" s="0">
        <v>81</v>
      </c>
      <c r="BM568" t="s" s="0">
        <v>578</v>
      </c>
      <c r="BN568" t="s" s="0">
        <v>196</v>
      </c>
      <c r="BO568" t="s" s="0">
        <v>558</v>
      </c>
      <c r="BP568" t="s" s="0">
        <v>559</v>
      </c>
      <c r="BQ568" t="s" s="0">
        <v>12674</v>
      </c>
      <c r="BR568" t="s" s="0">
        <v>12675</v>
      </c>
      <c r="BS568" t="s" s="0">
        <v>12676</v>
      </c>
      <c r="BT568" t="s" s="1128">
        <f>HYPERLINK("https://www.webofscience.com/wos/woscc/full-record/WOS:001567480200001","View Record in Web of Science")</f>
        <v>114</v>
      </c>
      <c r="BU568" t="s" s="0">
        <v>81</v>
      </c>
      <c r="BV568" t="s" s="0">
        <v>81</v>
      </c>
      <c r="BW568" t="s" s="0">
        <v>81</v>
      </c>
      <c r="BX568" t="s" s="0">
        <v>116</v>
      </c>
    </row>
    <row r="569">
      <c r="A569" t="s" s="0">
        <v>77</v>
      </c>
      <c r="B569" t="s" s="0">
        <v>77</v>
      </c>
      <c r="C569" t="s" s="0">
        <v>196</v>
      </c>
      <c r="D569" t="s" s="0">
        <v>77</v>
      </c>
      <c r="E569" t="s" s="0">
        <v>12677</v>
      </c>
      <c r="F569" t="s" s="0">
        <v>12678</v>
      </c>
      <c r="G569" t="s" s="0">
        <v>12679</v>
      </c>
      <c r="H569" t="s" s="0">
        <v>81</v>
      </c>
      <c r="I569" t="s" s="0">
        <v>82</v>
      </c>
      <c r="J569" t="s" s="0">
        <v>12680</v>
      </c>
      <c r="K569" t="s" s="0">
        <v>12681</v>
      </c>
      <c r="L569" t="s" s="0">
        <v>12682</v>
      </c>
      <c r="M569" t="s" s="0">
        <v>12682</v>
      </c>
      <c r="N569" t="s" s="0">
        <v>12683</v>
      </c>
      <c r="O569" t="s" s="0">
        <v>12684</v>
      </c>
      <c r="P569" t="s" s="0">
        <v>12685</v>
      </c>
      <c r="Q569" t="s" s="0">
        <v>87</v>
      </c>
      <c r="R569" t="s" s="0">
        <v>81</v>
      </c>
      <c r="S569" t="s" s="0">
        <v>81</v>
      </c>
      <c r="T569" t="s" s="0">
        <v>81</v>
      </c>
      <c r="U569" t="s" s="0">
        <v>81</v>
      </c>
      <c r="V569" t="s" s="0">
        <v>12686</v>
      </c>
      <c r="W569" t="s" s="0">
        <v>910</v>
      </c>
      <c r="X569" t="s" s="0">
        <v>81</v>
      </c>
      <c r="Y569" t="s" s="0">
        <v>81</v>
      </c>
      <c r="Z569" t="s" s="0">
        <v>90</v>
      </c>
      <c r="AA569" t="s" s="0">
        <v>91</v>
      </c>
      <c r="AB569" t="s" s="0">
        <v>81</v>
      </c>
      <c r="AC569" t="s" s="0">
        <v>81</v>
      </c>
      <c r="AD569" t="s" s="0">
        <v>81</v>
      </c>
      <c r="AE569" t="s" s="0">
        <v>81</v>
      </c>
      <c r="AF569" t="s" s="0">
        <v>81</v>
      </c>
      <c r="AG569" t="s" s="0">
        <v>12687</v>
      </c>
      <c r="AH569" t="s" s="0">
        <v>81</v>
      </c>
      <c r="AI569" t="s" s="0">
        <v>12688</v>
      </c>
      <c r="AJ569" t="s" s="0">
        <v>12689</v>
      </c>
      <c r="AK569" t="s" s="0">
        <v>81</v>
      </c>
      <c r="AL569" t="s" s="0">
        <v>2447</v>
      </c>
      <c r="AM569" t="s" s="0">
        <v>222</v>
      </c>
      <c r="AN569" t="s" s="0">
        <v>874</v>
      </c>
      <c r="AO569" t="s" s="0">
        <v>97</v>
      </c>
      <c r="AP569" t="s" s="0">
        <v>133</v>
      </c>
      <c r="AQ569" t="s" s="0">
        <v>915</v>
      </c>
      <c r="AR569" t="s" s="0">
        <v>916</v>
      </c>
      <c r="AS569" t="s" s="0">
        <v>917</v>
      </c>
      <c r="AT569" t="s" s="0">
        <v>918</v>
      </c>
      <c r="AU569" t="s" s="0">
        <v>81</v>
      </c>
      <c r="AV569" t="s" s="0">
        <v>81</v>
      </c>
      <c r="AW569" t="s" s="0">
        <v>919</v>
      </c>
      <c r="AX569" t="s" s="0">
        <v>920</v>
      </c>
      <c r="AY569" t="s" s="0">
        <v>12690</v>
      </c>
      <c r="AZ569" t="s" s="0">
        <v>290</v>
      </c>
      <c r="BA569" t="s" s="0">
        <v>291</v>
      </c>
      <c r="BB569" t="s" s="0">
        <v>97</v>
      </c>
      <c r="BC569" t="s" s="0">
        <v>81</v>
      </c>
      <c r="BD569" t="s" s="0">
        <v>81</v>
      </c>
      <c r="BE569" t="s" s="0">
        <v>81</v>
      </c>
      <c r="BF569" t="s" s="0">
        <v>81</v>
      </c>
      <c r="BG569" t="s" s="0">
        <v>81</v>
      </c>
      <c r="BH569" t="s" s="0">
        <v>81</v>
      </c>
      <c r="BI569" t="s" s="0">
        <v>12691</v>
      </c>
      <c r="BJ569" t="s" s="0">
        <v>12692</v>
      </c>
      <c r="BK569" t="s" s="1129">
        <f>HYPERLINK("http://dx.doi.org/10.1038/s41598-025-03358-0","http://dx.doi.org/10.1038/s41598-025-03358-0")</f>
        <v>12693</v>
      </c>
      <c r="BL569" t="s" s="0">
        <v>81</v>
      </c>
      <c r="BM569" t="s" s="0">
        <v>81</v>
      </c>
      <c r="BN569" t="s" s="0">
        <v>135</v>
      </c>
      <c r="BO569" t="s" s="0">
        <v>926</v>
      </c>
      <c r="BP569" t="s" s="0">
        <v>927</v>
      </c>
      <c r="BQ569" t="s" s="0">
        <v>12694</v>
      </c>
      <c r="BR569" t="s" s="0">
        <v>12695</v>
      </c>
      <c r="BS569" t="s" s="0">
        <v>12696</v>
      </c>
      <c r="BT569" t="s" s="1130">
        <f>HYPERLINK("https://www.webofscience.com/wos/woscc/full-record/WOS:001500912700030","View Record in Web of Science")</f>
        <v>114</v>
      </c>
      <c r="BU569" t="s" s="0">
        <v>301</v>
      </c>
      <c r="BV569" t="s" s="0">
        <v>81</v>
      </c>
      <c r="BW569" t="s" s="0">
        <v>81</v>
      </c>
      <c r="BX569" t="s" s="0">
        <v>116</v>
      </c>
    </row>
    <row r="570">
      <c r="A570" t="s" s="0">
        <v>77</v>
      </c>
      <c r="B570" t="s" s="0">
        <v>77</v>
      </c>
      <c r="C570" t="s" s="0">
        <v>97</v>
      </c>
      <c r="D570" t="s" s="0">
        <v>77</v>
      </c>
      <c r="E570" t="s" s="0">
        <v>12697</v>
      </c>
      <c r="F570" t="s" s="0">
        <v>12698</v>
      </c>
      <c r="G570" t="s" s="0">
        <v>12699</v>
      </c>
      <c r="H570" t="s" s="0">
        <v>81</v>
      </c>
      <c r="I570" t="s" s="0">
        <v>82</v>
      </c>
      <c r="J570" t="s" s="0">
        <v>12700</v>
      </c>
      <c r="K570" t="s" s="0">
        <v>12701</v>
      </c>
      <c r="L570" t="s" s="0">
        <v>12702</v>
      </c>
      <c r="M570" t="s" s="0">
        <v>12703</v>
      </c>
      <c r="N570" t="s" s="0">
        <v>12704</v>
      </c>
      <c r="O570" t="s" s="0">
        <v>12705</v>
      </c>
      <c r="P570" t="s" s="0">
        <v>12706</v>
      </c>
      <c r="Q570" t="s" s="0">
        <v>87</v>
      </c>
      <c r="R570" t="s" s="0">
        <v>81</v>
      </c>
      <c r="S570" t="s" s="0">
        <v>81</v>
      </c>
      <c r="T570" t="s" s="0">
        <v>81</v>
      </c>
      <c r="U570" t="s" s="0">
        <v>81</v>
      </c>
      <c r="V570" t="s" s="0">
        <v>12707</v>
      </c>
      <c r="W570" t="s" s="0">
        <v>4746</v>
      </c>
      <c r="X570" t="s" s="0">
        <v>81</v>
      </c>
      <c r="Y570" t="s" s="0">
        <v>81</v>
      </c>
      <c r="Z570" t="s" s="0">
        <v>90</v>
      </c>
      <c r="AA570" t="s" s="0">
        <v>91</v>
      </c>
      <c r="AB570" t="s" s="0">
        <v>81</v>
      </c>
      <c r="AC570" t="s" s="0">
        <v>81</v>
      </c>
      <c r="AD570" t="s" s="0">
        <v>81</v>
      </c>
      <c r="AE570" t="s" s="0">
        <v>81</v>
      </c>
      <c r="AF570" t="s" s="0">
        <v>81</v>
      </c>
      <c r="AG570" t="s" s="0">
        <v>12708</v>
      </c>
      <c r="AH570" t="s" s="0">
        <v>12709</v>
      </c>
      <c r="AI570" t="s" s="0">
        <v>12710</v>
      </c>
      <c r="AJ570" t="s" s="0">
        <v>12711</v>
      </c>
      <c r="AK570" t="s" s="0">
        <v>81</v>
      </c>
      <c r="AL570" t="s" s="0">
        <v>671</v>
      </c>
      <c r="AM570" t="s" s="0">
        <v>381</v>
      </c>
      <c r="AN570" t="s" s="0">
        <v>211</v>
      </c>
      <c r="AO570" t="s" s="0">
        <v>97</v>
      </c>
      <c r="AP570" t="s" s="0">
        <v>211</v>
      </c>
      <c r="AQ570" t="s" s="0">
        <v>3734</v>
      </c>
      <c r="AR570" t="s" s="0">
        <v>604</v>
      </c>
      <c r="AS570" t="s" s="0">
        <v>3735</v>
      </c>
      <c r="AT570" t="s" s="0">
        <v>4750</v>
      </c>
      <c r="AU570" t="s" s="0">
        <v>4751</v>
      </c>
      <c r="AV570" t="s" s="0">
        <v>81</v>
      </c>
      <c r="AW570" t="s" s="0">
        <v>4746</v>
      </c>
      <c r="AX570" t="s" s="0">
        <v>4752</v>
      </c>
      <c r="AY570" t="s" s="0">
        <v>12712</v>
      </c>
      <c r="AZ570" t="s" s="0">
        <v>185</v>
      </c>
      <c r="BA570" t="s" s="0">
        <v>3984</v>
      </c>
      <c r="BB570" t="s" s="0">
        <v>381</v>
      </c>
      <c r="BC570" t="s" s="0">
        <v>81</v>
      </c>
      <c r="BD570" t="s" s="0">
        <v>81</v>
      </c>
      <c r="BE570" t="s" s="0">
        <v>81</v>
      </c>
      <c r="BF570" t="s" s="0">
        <v>81</v>
      </c>
      <c r="BG570" t="s" s="0">
        <v>81</v>
      </c>
      <c r="BH570" t="s" s="0">
        <v>81</v>
      </c>
      <c r="BI570" t="s" s="0">
        <v>12713</v>
      </c>
      <c r="BJ570" t="s" s="0">
        <v>12714</v>
      </c>
      <c r="BK570" t="s" s="1131">
        <f>HYPERLINK("http://dx.doi.org/10.1097/MD.0000000000036909","http://dx.doi.org/10.1097/MD.0000000000036909")</f>
        <v>12715</v>
      </c>
      <c r="BL570" t="s" s="0">
        <v>81</v>
      </c>
      <c r="BM570" t="s" s="0">
        <v>81</v>
      </c>
      <c r="BN570" t="s" s="0">
        <v>381</v>
      </c>
      <c r="BO570" t="s" s="0">
        <v>296</v>
      </c>
      <c r="BP570" t="s" s="0">
        <v>297</v>
      </c>
      <c r="BQ570" t="s" s="0">
        <v>12716</v>
      </c>
      <c r="BR570" t="s" s="0">
        <v>12717</v>
      </c>
      <c r="BS570" t="s" s="0">
        <v>12718</v>
      </c>
      <c r="BT570" t="s" s="1132">
        <f>HYPERLINK("https://www.webofscience.com/wos/woscc/full-record/WOS:001174637500011","View Record in Web of Science")</f>
        <v>114</v>
      </c>
      <c r="BU570" t="s" s="0">
        <v>301</v>
      </c>
      <c r="BV570" t="s" s="0">
        <v>81</v>
      </c>
      <c r="BW570" t="s" s="0">
        <v>81</v>
      </c>
      <c r="BX570" t="s" s="0">
        <v>116</v>
      </c>
    </row>
    <row r="571">
      <c r="A571" t="s" s="0">
        <v>77</v>
      </c>
      <c r="B571" t="s" s="0">
        <v>77</v>
      </c>
      <c r="C571" t="s" s="0">
        <v>77</v>
      </c>
      <c r="D571" t="s" s="0">
        <v>77</v>
      </c>
      <c r="E571" t="s" s="0">
        <v>12719</v>
      </c>
      <c r="F571" t="s" s="0">
        <v>12720</v>
      </c>
      <c r="G571" t="s" s="0">
        <v>12721</v>
      </c>
      <c r="H571" t="s" s="0">
        <v>81</v>
      </c>
      <c r="I571" t="s" s="0">
        <v>82</v>
      </c>
      <c r="J571" t="s" s="0">
        <v>12722</v>
      </c>
      <c r="K571" t="s" s="0">
        <v>12723</v>
      </c>
      <c r="L571" t="s" s="0">
        <v>12724</v>
      </c>
      <c r="M571" t="s" s="0">
        <v>12724</v>
      </c>
      <c r="N571" t="s" s="0">
        <v>12725</v>
      </c>
      <c r="O571" t="s" s="0">
        <v>12726</v>
      </c>
      <c r="P571" t="s" s="0">
        <v>12727</v>
      </c>
      <c r="Q571" t="s" s="0">
        <v>87</v>
      </c>
      <c r="R571" t="s" s="0">
        <v>81</v>
      </c>
      <c r="S571" t="s" s="0">
        <v>81</v>
      </c>
      <c r="T571" t="s" s="0">
        <v>81</v>
      </c>
      <c r="U571" t="s" s="0">
        <v>81</v>
      </c>
      <c r="V571" t="s" s="0">
        <v>12728</v>
      </c>
      <c r="W571" t="s" s="0">
        <v>89</v>
      </c>
      <c r="X571" t="s" s="0">
        <v>81</v>
      </c>
      <c r="Y571" t="s" s="0">
        <v>81</v>
      </c>
      <c r="Z571" t="s" s="0">
        <v>90</v>
      </c>
      <c r="AA571" t="s" s="0">
        <v>91</v>
      </c>
      <c r="AB571" t="s" s="0">
        <v>81</v>
      </c>
      <c r="AC571" t="s" s="0">
        <v>81</v>
      </c>
      <c r="AD571" t="s" s="0">
        <v>81</v>
      </c>
      <c r="AE571" t="s" s="0">
        <v>81</v>
      </c>
      <c r="AF571" t="s" s="0">
        <v>81</v>
      </c>
      <c r="AG571" t="s" s="0">
        <v>12729</v>
      </c>
      <c r="AH571" t="s" s="0">
        <v>81</v>
      </c>
      <c r="AI571" t="s" s="0">
        <v>12730</v>
      </c>
      <c r="AJ571" t="s" s="0">
        <v>81</v>
      </c>
      <c r="AK571" t="s" s="0">
        <v>81</v>
      </c>
      <c r="AL571" t="s" s="0">
        <v>1374</v>
      </c>
      <c r="AM571" t="s" s="0">
        <v>97</v>
      </c>
      <c r="AN571" t="s" s="0">
        <v>97</v>
      </c>
      <c r="AO571" t="s" s="0">
        <v>97</v>
      </c>
      <c r="AP571" t="s" s="0">
        <v>97</v>
      </c>
      <c r="AQ571" t="s" s="0">
        <v>98</v>
      </c>
      <c r="AR571" t="s" s="0">
        <v>99</v>
      </c>
      <c r="AS571" t="s" s="0">
        <v>100</v>
      </c>
      <c r="AT571" t="s" s="0">
        <v>101</v>
      </c>
      <c r="AU571" t="s" s="0">
        <v>81</v>
      </c>
      <c r="AV571" t="s" s="0">
        <v>81</v>
      </c>
      <c r="AW571" t="s" s="0">
        <v>89</v>
      </c>
      <c r="AX571" t="s" s="0">
        <v>102</v>
      </c>
      <c r="AY571" t="s" s="0">
        <v>103</v>
      </c>
      <c r="AZ571" t="s" s="0">
        <v>103</v>
      </c>
      <c r="BA571" t="s" s="0">
        <v>104</v>
      </c>
      <c r="BB571" t="s" s="0">
        <v>81</v>
      </c>
      <c r="BC571" t="s" s="0">
        <v>81</v>
      </c>
      <c r="BD571" t="s" s="0">
        <v>81</v>
      </c>
      <c r="BE571" t="s" s="0">
        <v>81</v>
      </c>
      <c r="BF571" t="s" s="0">
        <v>81</v>
      </c>
      <c r="BG571" t="s" s="0">
        <v>12731</v>
      </c>
      <c r="BH571" t="s" s="0">
        <v>12732</v>
      </c>
      <c r="BI571" t="s" s="0">
        <v>81</v>
      </c>
      <c r="BJ571" t="s" s="0">
        <v>12733</v>
      </c>
      <c r="BK571" t="s" s="1133">
        <f>HYPERLINK("http://dx.doi.org/10.1109/ACCESS.2026.3692365","http://dx.doi.org/10.1109/ACCESS.2026.3692365")</f>
        <v>12734</v>
      </c>
      <c r="BL571" t="s" s="0">
        <v>81</v>
      </c>
      <c r="BM571" t="s" s="0">
        <v>81</v>
      </c>
      <c r="BN571" t="s" s="0">
        <v>367</v>
      </c>
      <c r="BO571" t="s" s="0">
        <v>110</v>
      </c>
      <c r="BP571" t="s" s="0">
        <v>111</v>
      </c>
      <c r="BQ571" t="s" s="0">
        <v>11405</v>
      </c>
      <c r="BR571" t="s" s="0">
        <v>81</v>
      </c>
      <c r="BS571" t="s" s="0">
        <v>12735</v>
      </c>
      <c r="BT571" t="s" s="1134">
        <f>HYPERLINK("https://www.webofscience.com/wos/woscc/full-record/WOS:001771058600007","View Record in Web of Science")</f>
        <v>114</v>
      </c>
      <c r="BU571" t="s" s="0">
        <v>301</v>
      </c>
      <c r="BV571" t="s" s="0">
        <v>81</v>
      </c>
      <c r="BW571" t="s" s="0">
        <v>81</v>
      </c>
      <c r="BX571" t="s" s="0">
        <v>116</v>
      </c>
    </row>
    <row r="572">
      <c r="A572" t="s" s="0">
        <v>77</v>
      </c>
      <c r="B572" t="s" s="0">
        <v>77</v>
      </c>
      <c r="C572" t="s" s="0">
        <v>77</v>
      </c>
      <c r="D572" t="s" s="0">
        <v>77</v>
      </c>
      <c r="E572" t="s" s="0">
        <v>12736</v>
      </c>
      <c r="F572" t="s" s="0">
        <v>12737</v>
      </c>
      <c r="G572" t="s" s="0">
        <v>12738</v>
      </c>
      <c r="H572" t="s" s="0">
        <v>81</v>
      </c>
      <c r="I572" t="s" s="0">
        <v>82</v>
      </c>
      <c r="J572" t="s" s="0">
        <v>12739</v>
      </c>
      <c r="K572" t="s" s="0">
        <v>12740</v>
      </c>
      <c r="L572" t="s" s="0">
        <v>81</v>
      </c>
      <c r="M572" t="s" s="0">
        <v>81</v>
      </c>
      <c r="N572" t="s" s="0">
        <v>81</v>
      </c>
      <c r="O572" t="s" s="0">
        <v>12741</v>
      </c>
      <c r="P572" t="s" s="0">
        <v>12742</v>
      </c>
      <c r="Q572" t="s" s="0">
        <v>87</v>
      </c>
      <c r="R572" t="s" s="0">
        <v>81</v>
      </c>
      <c r="S572" t="s" s="0">
        <v>81</v>
      </c>
      <c r="T572" t="s" s="0">
        <v>81</v>
      </c>
      <c r="U572" t="s" s="0">
        <v>81</v>
      </c>
      <c r="V572" t="s" s="0">
        <v>12743</v>
      </c>
      <c r="W572" t="s" s="0">
        <v>89</v>
      </c>
      <c r="X572" t="s" s="0">
        <v>81</v>
      </c>
      <c r="Y572" t="s" s="0">
        <v>81</v>
      </c>
      <c r="Z572" t="s" s="0">
        <v>90</v>
      </c>
      <c r="AA572" t="s" s="0">
        <v>91</v>
      </c>
      <c r="AB572" t="s" s="0">
        <v>81</v>
      </c>
      <c r="AC572" t="s" s="0">
        <v>81</v>
      </c>
      <c r="AD572" t="s" s="0">
        <v>81</v>
      </c>
      <c r="AE572" t="s" s="0">
        <v>81</v>
      </c>
      <c r="AF572" t="s" s="0">
        <v>81</v>
      </c>
      <c r="AG572" t="s" s="0">
        <v>12744</v>
      </c>
      <c r="AH572" t="s" s="0">
        <v>12745</v>
      </c>
      <c r="AI572" t="s" s="0">
        <v>12746</v>
      </c>
      <c r="AJ572" t="s" s="0">
        <v>81</v>
      </c>
      <c r="AK572" t="s" s="0">
        <v>81</v>
      </c>
      <c r="AL572" t="s" s="0">
        <v>405</v>
      </c>
      <c r="AM572" t="s" s="0">
        <v>156</v>
      </c>
      <c r="AN572" t="s" s="0">
        <v>196</v>
      </c>
      <c r="AO572" t="s" s="0">
        <v>211</v>
      </c>
      <c r="AP572" t="s" s="0">
        <v>191</v>
      </c>
      <c r="AQ572" t="s" s="0">
        <v>98</v>
      </c>
      <c r="AR572" t="s" s="0">
        <v>99</v>
      </c>
      <c r="AS572" t="s" s="0">
        <v>100</v>
      </c>
      <c r="AT572" t="s" s="0">
        <v>101</v>
      </c>
      <c r="AU572" t="s" s="0">
        <v>81</v>
      </c>
      <c r="AV572" t="s" s="0">
        <v>81</v>
      </c>
      <c r="AW572" t="s" s="0">
        <v>89</v>
      </c>
      <c r="AX572" t="s" s="0">
        <v>102</v>
      </c>
      <c r="AY572" t="s" s="0">
        <v>103</v>
      </c>
      <c r="AZ572" t="s" s="0">
        <v>103</v>
      </c>
      <c r="BA572" t="s" s="0">
        <v>104</v>
      </c>
      <c r="BB572" t="s" s="0">
        <v>81</v>
      </c>
      <c r="BC572" t="s" s="0">
        <v>81</v>
      </c>
      <c r="BD572" t="s" s="0">
        <v>81</v>
      </c>
      <c r="BE572" t="s" s="0">
        <v>81</v>
      </c>
      <c r="BF572" t="s" s="0">
        <v>81</v>
      </c>
      <c r="BG572" t="s" s="0">
        <v>12747</v>
      </c>
      <c r="BH572" t="s" s="0">
        <v>12748</v>
      </c>
      <c r="BI572" t="s" s="0">
        <v>81</v>
      </c>
      <c r="BJ572" t="s" s="0">
        <v>12749</v>
      </c>
      <c r="BK572" t="s" s="1135">
        <f>HYPERLINK("http://dx.doi.org/10.1109/ACCESS.2026.3652631","http://dx.doi.org/10.1109/ACCESS.2026.3652631")</f>
        <v>12750</v>
      </c>
      <c r="BL572" t="s" s="0">
        <v>81</v>
      </c>
      <c r="BM572" t="s" s="0">
        <v>81</v>
      </c>
      <c r="BN572" t="s" s="0">
        <v>925</v>
      </c>
      <c r="BO572" t="s" s="0">
        <v>110</v>
      </c>
      <c r="BP572" t="s" s="0">
        <v>111</v>
      </c>
      <c r="BQ572" t="s" s="0">
        <v>12751</v>
      </c>
      <c r="BR572" t="s" s="0">
        <v>81</v>
      </c>
      <c r="BS572" t="s" s="0">
        <v>12752</v>
      </c>
      <c r="BT572" t="s" s="1136">
        <f>HYPERLINK("https://www.webofscience.com/wos/woscc/full-record/WOS:001663381000029","View Record in Web of Science")</f>
        <v>114</v>
      </c>
      <c r="BU572" t="s" s="0">
        <v>115</v>
      </c>
      <c r="BV572" t="s" s="0">
        <v>81</v>
      </c>
      <c r="BW572" t="s" s="0">
        <v>81</v>
      </c>
      <c r="BX572" t="s" s="0">
        <v>116</v>
      </c>
    </row>
    <row r="573">
      <c r="A573" t="s" s="0">
        <v>77</v>
      </c>
      <c r="B573" t="s" s="0">
        <v>77</v>
      </c>
      <c r="C573" t="s" s="0">
        <v>77</v>
      </c>
      <c r="D573" t="s" s="0">
        <v>77</v>
      </c>
      <c r="E573" t="s" s="0">
        <v>12753</v>
      </c>
      <c r="F573" t="s" s="0">
        <v>12754</v>
      </c>
      <c r="G573" t="s" s="0">
        <v>12755</v>
      </c>
      <c r="H573" t="s" s="0">
        <v>81</v>
      </c>
      <c r="I573" t="s" s="0">
        <v>82</v>
      </c>
      <c r="J573" t="s" s="0">
        <v>12756</v>
      </c>
      <c r="K573" t="s" s="0">
        <v>12757</v>
      </c>
      <c r="L573" t="s" s="0">
        <v>12758</v>
      </c>
      <c r="M573" t="s" s="0">
        <v>12759</v>
      </c>
      <c r="N573" t="s" s="0">
        <v>12760</v>
      </c>
      <c r="O573" t="s" s="0">
        <v>12761</v>
      </c>
      <c r="P573" t="s" s="0">
        <v>12762</v>
      </c>
      <c r="Q573" t="s" s="0">
        <v>87</v>
      </c>
      <c r="R573" t="s" s="0">
        <v>81</v>
      </c>
      <c r="S573" t="s" s="0">
        <v>81</v>
      </c>
      <c r="T573" t="s" s="0">
        <v>81</v>
      </c>
      <c r="U573" t="s" s="0">
        <v>81</v>
      </c>
      <c r="V573" t="s" s="0">
        <v>12763</v>
      </c>
      <c r="W573" t="s" s="0">
        <v>1369</v>
      </c>
      <c r="X573" t="s" s="0">
        <v>81</v>
      </c>
      <c r="Y573" t="s" s="0">
        <v>81</v>
      </c>
      <c r="Z573" t="s" s="0">
        <v>90</v>
      </c>
      <c r="AA573" t="s" s="0">
        <v>91</v>
      </c>
      <c r="AB573" t="s" s="0">
        <v>81</v>
      </c>
      <c r="AC573" t="s" s="0">
        <v>81</v>
      </c>
      <c r="AD573" t="s" s="0">
        <v>81</v>
      </c>
      <c r="AE573" t="s" s="0">
        <v>81</v>
      </c>
      <c r="AF573" t="s" s="0">
        <v>81</v>
      </c>
      <c r="AG573" t="s" s="0">
        <v>12764</v>
      </c>
      <c r="AH573" t="s" s="0">
        <v>12765</v>
      </c>
      <c r="AI573" t="s" s="0">
        <v>81</v>
      </c>
      <c r="AJ573" t="s" s="0">
        <v>81</v>
      </c>
      <c r="AK573" t="s" s="0">
        <v>81</v>
      </c>
      <c r="AL573" t="s" s="0">
        <v>4581</v>
      </c>
      <c r="AM573" t="s" s="0">
        <v>77</v>
      </c>
      <c r="AN573" t="s" s="0">
        <v>77</v>
      </c>
      <c r="AO573" t="s" s="0">
        <v>196</v>
      </c>
      <c r="AP573" t="s" s="0">
        <v>196</v>
      </c>
      <c r="AQ573" t="s" s="0">
        <v>284</v>
      </c>
      <c r="AR573" t="s" s="0">
        <v>285</v>
      </c>
      <c r="AS573" t="s" s="0">
        <v>286</v>
      </c>
      <c r="AT573" t="s" s="0">
        <v>81</v>
      </c>
      <c r="AU573" t="s" s="0">
        <v>1375</v>
      </c>
      <c r="AV573" t="s" s="0">
        <v>81</v>
      </c>
      <c r="AW573" t="s" s="0">
        <v>1369</v>
      </c>
      <c r="AX573" t="s" s="0">
        <v>1376</v>
      </c>
      <c r="AY573" t="s" s="0">
        <v>12766</v>
      </c>
      <c r="AZ573" t="s" s="0">
        <v>103</v>
      </c>
      <c r="BA573" t="s" s="0">
        <v>367</v>
      </c>
      <c r="BB573" t="s" s="0">
        <v>234</v>
      </c>
      <c r="BC573" t="s" s="0">
        <v>81</v>
      </c>
      <c r="BD573" t="s" s="0">
        <v>81</v>
      </c>
      <c r="BE573" t="s" s="0">
        <v>81</v>
      </c>
      <c r="BF573" t="s" s="0">
        <v>81</v>
      </c>
      <c r="BG573" t="s" s="0">
        <v>81</v>
      </c>
      <c r="BH573" t="s" s="0">
        <v>81</v>
      </c>
      <c r="BI573" t="s" s="0">
        <v>12767</v>
      </c>
      <c r="BJ573" t="s" s="0">
        <v>12768</v>
      </c>
      <c r="BK573" t="s" s="1137">
        <f>HYPERLINK("http://dx.doi.org/10.3390/cancers18071067","http://dx.doi.org/10.3390/cancers18071067")</f>
        <v>12769</v>
      </c>
      <c r="BL573" t="s" s="0">
        <v>81</v>
      </c>
      <c r="BM573" t="s" s="0">
        <v>143</v>
      </c>
      <c r="BN573" t="s" s="0">
        <v>228</v>
      </c>
      <c r="BO573" t="s" s="0">
        <v>1380</v>
      </c>
      <c r="BP573" t="s" s="0">
        <v>1380</v>
      </c>
      <c r="BQ573" t="s" s="0">
        <v>12770</v>
      </c>
      <c r="BR573" t="s" s="0">
        <v>12771</v>
      </c>
      <c r="BS573" t="s" s="0">
        <v>12772</v>
      </c>
      <c r="BT573" t="s" s="1138">
        <f>HYPERLINK("https://www.webofscience.com/wos/woscc/full-record/WOS:001738565300001","View Record in Web of Science")</f>
        <v>114</v>
      </c>
      <c r="BU573" t="s" s="0">
        <v>301</v>
      </c>
      <c r="BV573" t="s" s="0">
        <v>81</v>
      </c>
      <c r="BW573" t="s" s="0">
        <v>81</v>
      </c>
      <c r="BX573" t="s" s="0">
        <v>116</v>
      </c>
    </row>
    <row r="574">
      <c r="A574" t="s" s="0">
        <v>97</v>
      </c>
      <c r="B574" t="s" s="0">
        <v>77</v>
      </c>
      <c r="C574" t="s" s="0">
        <v>175</v>
      </c>
      <c r="D574" t="s" s="0">
        <v>77</v>
      </c>
      <c r="E574" t="s" s="0">
        <v>12773</v>
      </c>
      <c r="F574" t="s" s="0">
        <v>12774</v>
      </c>
      <c r="G574" t="s" s="0">
        <v>12775</v>
      </c>
      <c r="H574" t="s" s="0">
        <v>81</v>
      </c>
      <c r="I574" t="s" s="0">
        <v>82</v>
      </c>
      <c r="J574" t="s" s="0">
        <v>12776</v>
      </c>
      <c r="K574" t="s" s="0">
        <v>12777</v>
      </c>
      <c r="L574" t="s" s="0">
        <v>12778</v>
      </c>
      <c r="M574" t="s" s="0">
        <v>12779</v>
      </c>
      <c r="N574" t="s" s="0">
        <v>12780</v>
      </c>
      <c r="O574" t="s" s="0">
        <v>12781</v>
      </c>
      <c r="P574" t="s" s="0">
        <v>12782</v>
      </c>
      <c r="Q574" t="s" s="0">
        <v>87</v>
      </c>
      <c r="R574" t="s" s="0">
        <v>81</v>
      </c>
      <c r="S574" t="s" s="0">
        <v>81</v>
      </c>
      <c r="T574" t="s" s="0">
        <v>81</v>
      </c>
      <c r="U574" t="s" s="0">
        <v>81</v>
      </c>
      <c r="V574" t="s" s="0">
        <v>12783</v>
      </c>
      <c r="W574" t="s" s="0">
        <v>12784</v>
      </c>
      <c r="X574" t="s" s="0">
        <v>81</v>
      </c>
      <c r="Y574" t="s" s="0">
        <v>81</v>
      </c>
      <c r="Z574" t="s" s="0">
        <v>90</v>
      </c>
      <c r="AA574" t="s" s="0">
        <v>91</v>
      </c>
      <c r="AB574" t="s" s="0">
        <v>81</v>
      </c>
      <c r="AC574" t="s" s="0">
        <v>81</v>
      </c>
      <c r="AD574" t="s" s="0">
        <v>81</v>
      </c>
      <c r="AE574" t="s" s="0">
        <v>81</v>
      </c>
      <c r="AF574" t="s" s="0">
        <v>81</v>
      </c>
      <c r="AG574" t="s" s="0">
        <v>12785</v>
      </c>
      <c r="AH574" t="s" s="0">
        <v>12786</v>
      </c>
      <c r="AI574" t="s" s="0">
        <v>12787</v>
      </c>
      <c r="AJ574" t="s" s="0">
        <v>12788</v>
      </c>
      <c r="AK574" t="s" s="0">
        <v>81</v>
      </c>
      <c r="AL574" t="s" s="0">
        <v>174</v>
      </c>
      <c r="AM574" t="s" s="0">
        <v>508</v>
      </c>
      <c r="AN574" t="s" s="0">
        <v>1254</v>
      </c>
      <c r="AO574" t="s" s="0">
        <v>77</v>
      </c>
      <c r="AP574" t="s" s="0">
        <v>914</v>
      </c>
      <c r="AQ574" t="s" s="0">
        <v>98</v>
      </c>
      <c r="AR574" t="s" s="0">
        <v>99</v>
      </c>
      <c r="AS574" t="s" s="0">
        <v>100</v>
      </c>
      <c r="AT574" t="s" s="0">
        <v>12789</v>
      </c>
      <c r="AU574" t="s" s="0">
        <v>12790</v>
      </c>
      <c r="AV574" t="s" s="0">
        <v>81</v>
      </c>
      <c r="AW574" t="s" s="0">
        <v>12791</v>
      </c>
      <c r="AX574" t="s" s="0">
        <v>12792</v>
      </c>
      <c r="AY574" t="s" s="0">
        <v>220</v>
      </c>
      <c r="AZ574" t="s" s="0">
        <v>220</v>
      </c>
      <c r="BA574" t="s" s="0">
        <v>5567</v>
      </c>
      <c r="BB574" t="s" s="0">
        <v>81</v>
      </c>
      <c r="BC574" t="s" s="0">
        <v>81</v>
      </c>
      <c r="BD574" t="s" s="0">
        <v>81</v>
      </c>
      <c r="BE574" t="s" s="0">
        <v>81</v>
      </c>
      <c r="BF574" t="s" s="0">
        <v>81</v>
      </c>
      <c r="BG574" t="s" s="0">
        <v>81</v>
      </c>
      <c r="BH574" t="s" s="0">
        <v>81</v>
      </c>
      <c r="BI574" t="s" s="0">
        <v>12793</v>
      </c>
      <c r="BJ574" t="s" s="0">
        <v>12794</v>
      </c>
      <c r="BK574" t="s" s="1139">
        <f>HYPERLINK("http://dx.doi.org/10.1109/TIM.2022.3198443","http://dx.doi.org/10.1109/TIM.2022.3198443")</f>
        <v>12795</v>
      </c>
      <c r="BL574" t="s" s="0">
        <v>81</v>
      </c>
      <c r="BM574" t="s" s="0">
        <v>81</v>
      </c>
      <c r="BN574" t="s" s="0">
        <v>261</v>
      </c>
      <c r="BO574" t="s" s="0">
        <v>12796</v>
      </c>
      <c r="BP574" t="s" s="0">
        <v>12797</v>
      </c>
      <c r="BQ574" t="s" s="0">
        <v>12798</v>
      </c>
      <c r="BR574" t="s" s="0">
        <v>81</v>
      </c>
      <c r="BS574" t="s" s="0">
        <v>12799</v>
      </c>
      <c r="BT574" t="s" s="1140">
        <f>HYPERLINK("https://www.webofscience.com/wos/woscc/full-record/WOS:000848255000004","View Record in Web of Science")</f>
        <v>114</v>
      </c>
      <c r="BU574" t="s" s="0">
        <v>81</v>
      </c>
      <c r="BV574" t="s" s="0">
        <v>81</v>
      </c>
      <c r="BW574" t="s" s="0">
        <v>81</v>
      </c>
      <c r="BX574" t="s" s="0">
        <v>116</v>
      </c>
    </row>
    <row r="575">
      <c r="A575" t="s" s="0">
        <v>77</v>
      </c>
      <c r="B575" t="s" s="0">
        <v>77</v>
      </c>
      <c r="C575" t="s" s="0">
        <v>77</v>
      </c>
      <c r="D575" t="s" s="0">
        <v>77</v>
      </c>
      <c r="E575" t="s" s="0">
        <v>12800</v>
      </c>
      <c r="F575" t="s" s="0">
        <v>12801</v>
      </c>
      <c r="G575" t="s" s="0">
        <v>12802</v>
      </c>
      <c r="H575" t="s" s="0">
        <v>81</v>
      </c>
      <c r="I575" t="s" s="0">
        <v>82</v>
      </c>
      <c r="J575" t="s" s="0">
        <v>12803</v>
      </c>
      <c r="K575" t="s" s="0">
        <v>12804</v>
      </c>
      <c r="L575" t="s" s="0">
        <v>12805</v>
      </c>
      <c r="M575" t="s" s="0">
        <v>12806</v>
      </c>
      <c r="N575" t="s" s="0">
        <v>12807</v>
      </c>
      <c r="O575" t="s" s="0">
        <v>12808</v>
      </c>
      <c r="P575" t="s" s="0">
        <v>12809</v>
      </c>
      <c r="Q575" t="s" s="0">
        <v>87</v>
      </c>
      <c r="R575" t="s" s="0">
        <v>81</v>
      </c>
      <c r="S575" t="s" s="0">
        <v>81</v>
      </c>
      <c r="T575" t="s" s="0">
        <v>81</v>
      </c>
      <c r="U575" t="s" s="0">
        <v>81</v>
      </c>
      <c r="V575" t="s" s="0">
        <v>12810</v>
      </c>
      <c r="W575" t="s" s="0">
        <v>8356</v>
      </c>
      <c r="X575" t="s" s="0">
        <v>81</v>
      </c>
      <c r="Y575" t="s" s="0">
        <v>81</v>
      </c>
      <c r="Z575" t="s" s="0">
        <v>90</v>
      </c>
      <c r="AA575" t="s" s="0">
        <v>91</v>
      </c>
      <c r="AB575" t="s" s="0">
        <v>81</v>
      </c>
      <c r="AC575" t="s" s="0">
        <v>81</v>
      </c>
      <c r="AD575" t="s" s="0">
        <v>81</v>
      </c>
      <c r="AE575" t="s" s="0">
        <v>81</v>
      </c>
      <c r="AF575" t="s" s="0">
        <v>81</v>
      </c>
      <c r="AG575" t="s" s="0">
        <v>12811</v>
      </c>
      <c r="AH575" t="s" s="0">
        <v>12812</v>
      </c>
      <c r="AI575" t="s" s="0">
        <v>12813</v>
      </c>
      <c r="AJ575" t="s" s="0">
        <v>81</v>
      </c>
      <c r="AK575" t="s" s="0">
        <v>81</v>
      </c>
      <c r="AL575" t="s" s="0">
        <v>399</v>
      </c>
      <c r="AM575" t="s" s="0">
        <v>156</v>
      </c>
      <c r="AN575" t="s" s="0">
        <v>156</v>
      </c>
      <c r="AO575" t="s" s="0">
        <v>133</v>
      </c>
      <c r="AP575" t="s" s="0">
        <v>133</v>
      </c>
      <c r="AQ575" t="s" s="0">
        <v>284</v>
      </c>
      <c r="AR575" t="s" s="0">
        <v>285</v>
      </c>
      <c r="AS575" t="s" s="0">
        <v>286</v>
      </c>
      <c r="AT575" t="s" s="0">
        <v>81</v>
      </c>
      <c r="AU575" t="s" s="0">
        <v>8359</v>
      </c>
      <c r="AV575" t="s" s="0">
        <v>81</v>
      </c>
      <c r="AW575" t="s" s="0">
        <v>8360</v>
      </c>
      <c r="AX575" t="s" s="0">
        <v>8361</v>
      </c>
      <c r="AY575" t="s" s="0">
        <v>12814</v>
      </c>
      <c r="AZ575" t="s" s="0">
        <v>103</v>
      </c>
      <c r="BA575" t="s" s="0">
        <v>228</v>
      </c>
      <c r="BB575" t="s" s="0">
        <v>196</v>
      </c>
      <c r="BC575" t="s" s="0">
        <v>81</v>
      </c>
      <c r="BD575" t="s" s="0">
        <v>81</v>
      </c>
      <c r="BE575" t="s" s="0">
        <v>81</v>
      </c>
      <c r="BF575" t="s" s="0">
        <v>81</v>
      </c>
      <c r="BG575" t="s" s="0">
        <v>81</v>
      </c>
      <c r="BH575" t="s" s="0">
        <v>81</v>
      </c>
      <c r="BI575" t="s" s="0">
        <v>12815</v>
      </c>
      <c r="BJ575" t="s" s="0">
        <v>12816</v>
      </c>
      <c r="BK575" t="s" s="1141">
        <f>HYPERLINK("http://dx.doi.org/10.3390/s26030863","http://dx.doi.org/10.3390/s26030863")</f>
        <v>12817</v>
      </c>
      <c r="BL575" t="s" s="0">
        <v>81</v>
      </c>
      <c r="BM575" t="s" s="0">
        <v>81</v>
      </c>
      <c r="BN575" t="s" s="0">
        <v>253</v>
      </c>
      <c r="BO575" t="s" s="0">
        <v>8365</v>
      </c>
      <c r="BP575" t="s" s="0">
        <v>8366</v>
      </c>
      <c r="BQ575" t="s" s="0">
        <v>12818</v>
      </c>
      <c r="BR575" t="s" s="0">
        <v>12819</v>
      </c>
      <c r="BS575" t="s" s="0">
        <v>12820</v>
      </c>
      <c r="BT575" t="s" s="1142">
        <f>HYPERLINK("https://www.webofscience.com/wos/woscc/full-record/WOS:001688065900001","View Record in Web of Science")</f>
        <v>114</v>
      </c>
      <c r="BU575" t="s" s="0">
        <v>301</v>
      </c>
      <c r="BV575" t="s" s="0">
        <v>81</v>
      </c>
      <c r="BW575" t="s" s="0">
        <v>81</v>
      </c>
      <c r="BX575" t="s" s="0">
        <v>116</v>
      </c>
    </row>
    <row r="576">
      <c r="A576" t="s" s="0">
        <v>77</v>
      </c>
      <c r="B576" t="s" s="0">
        <v>77</v>
      </c>
      <c r="C576" t="s" s="0">
        <v>77</v>
      </c>
      <c r="D576" t="s" s="0">
        <v>77</v>
      </c>
      <c r="E576" t="s" s="0">
        <v>12821</v>
      </c>
      <c r="F576" t="s" s="0">
        <v>12822</v>
      </c>
      <c r="G576" t="s" s="0">
        <v>12823</v>
      </c>
      <c r="H576" t="s" s="0">
        <v>81</v>
      </c>
      <c r="I576" t="s" s="0">
        <v>82</v>
      </c>
      <c r="J576" t="s" s="0">
        <v>12824</v>
      </c>
      <c r="K576" t="s" s="0">
        <v>12825</v>
      </c>
      <c r="L576" t="s" s="0">
        <v>12826</v>
      </c>
      <c r="M576" t="s" s="0">
        <v>12827</v>
      </c>
      <c r="N576" t="s" s="0">
        <v>12828</v>
      </c>
      <c r="O576" t="s" s="0">
        <v>12829</v>
      </c>
      <c r="P576" t="s" s="0">
        <v>12830</v>
      </c>
      <c r="Q576" t="s" s="0">
        <v>87</v>
      </c>
      <c r="R576" t="s" s="0">
        <v>81</v>
      </c>
      <c r="S576" t="s" s="0">
        <v>81</v>
      </c>
      <c r="T576" t="s" s="0">
        <v>81</v>
      </c>
      <c r="U576" t="s" s="0">
        <v>81</v>
      </c>
      <c r="V576" t="s" s="0">
        <v>12831</v>
      </c>
      <c r="W576" t="s" s="0">
        <v>12832</v>
      </c>
      <c r="X576" t="s" s="0">
        <v>81</v>
      </c>
      <c r="Y576" t="s" s="0">
        <v>81</v>
      </c>
      <c r="Z576" t="s" s="0">
        <v>90</v>
      </c>
      <c r="AA576" t="s" s="0">
        <v>91</v>
      </c>
      <c r="AB576" t="s" s="0">
        <v>81</v>
      </c>
      <c r="AC576" t="s" s="0">
        <v>81</v>
      </c>
      <c r="AD576" t="s" s="0">
        <v>81</v>
      </c>
      <c r="AE576" t="s" s="0">
        <v>81</v>
      </c>
      <c r="AF576" t="s" s="0">
        <v>81</v>
      </c>
      <c r="AG576" t="s" s="0">
        <v>12833</v>
      </c>
      <c r="AH576" t="s" s="0">
        <v>12834</v>
      </c>
      <c r="AI576" t="s" s="0">
        <v>12835</v>
      </c>
      <c r="AJ576" t="s" s="0">
        <v>81</v>
      </c>
      <c r="AK576" t="s" s="0">
        <v>81</v>
      </c>
      <c r="AL576" t="s" s="0">
        <v>134</v>
      </c>
      <c r="AM576" t="s" s="0">
        <v>77</v>
      </c>
      <c r="AN576" t="s" s="0">
        <v>77</v>
      </c>
      <c r="AO576" t="s" s="0">
        <v>97</v>
      </c>
      <c r="AP576" t="s" s="0">
        <v>97</v>
      </c>
      <c r="AQ576" t="s" s="0">
        <v>3734</v>
      </c>
      <c r="AR576" t="s" s="0">
        <v>604</v>
      </c>
      <c r="AS576" t="s" s="0">
        <v>3735</v>
      </c>
      <c r="AT576" t="s" s="0">
        <v>81</v>
      </c>
      <c r="AU576" t="s" s="0">
        <v>12836</v>
      </c>
      <c r="AV576" t="s" s="0">
        <v>81</v>
      </c>
      <c r="AW576" t="s" s="0">
        <v>12837</v>
      </c>
      <c r="AX576" t="s" s="0">
        <v>12838</v>
      </c>
      <c r="AY576" t="s" s="0">
        <v>3366</v>
      </c>
      <c r="AZ576" t="s" s="0">
        <v>103</v>
      </c>
      <c r="BA576" t="s" s="0">
        <v>211</v>
      </c>
      <c r="BB576" t="s" s="0">
        <v>234</v>
      </c>
      <c r="BC576" t="s" s="0">
        <v>81</v>
      </c>
      <c r="BD576" t="s" s="0">
        <v>81</v>
      </c>
      <c r="BE576" t="s" s="0">
        <v>81</v>
      </c>
      <c r="BF576" t="s" s="0">
        <v>81</v>
      </c>
      <c r="BG576" t="s" s="0">
        <v>81</v>
      </c>
      <c r="BH576" t="s" s="0">
        <v>81</v>
      </c>
      <c r="BI576" t="s" s="0">
        <v>12839</v>
      </c>
      <c r="BJ576" t="s" s="0">
        <v>12840</v>
      </c>
      <c r="BK576" t="s" s="1143">
        <f>HYPERLINK("http://dx.doi.org/10.1097/HC9.0000000000000983","http://dx.doi.org/10.1097/HC9.0000000000000983")</f>
        <v>12841</v>
      </c>
      <c r="BL576" t="s" s="0">
        <v>81</v>
      </c>
      <c r="BM576" t="s" s="0">
        <v>81</v>
      </c>
      <c r="BN576" t="s" s="0">
        <v>191</v>
      </c>
      <c r="BO576" t="s" s="0">
        <v>1519</v>
      </c>
      <c r="BP576" t="s" s="0">
        <v>1519</v>
      </c>
      <c r="BQ576" t="s" s="0">
        <v>12842</v>
      </c>
      <c r="BR576" t="s" s="0">
        <v>12843</v>
      </c>
      <c r="BS576" t="s" s="0">
        <v>12844</v>
      </c>
      <c r="BT576" t="s" s="1144">
        <f>HYPERLINK("https://www.webofscience.com/wos/woscc/full-record/WOS:001797545100001","View Record in Web of Science")</f>
        <v>114</v>
      </c>
      <c r="BU576" t="s" s="0">
        <v>115</v>
      </c>
      <c r="BV576" t="s" s="0">
        <v>81</v>
      </c>
      <c r="BW576" t="s" s="0">
        <v>81</v>
      </c>
      <c r="BX576" t="s" s="0">
        <v>116</v>
      </c>
    </row>
    <row r="577">
      <c r="A577" t="s" s="0">
        <v>77</v>
      </c>
      <c r="B577" t="s" s="0">
        <v>77</v>
      </c>
      <c r="C577" t="s" s="0">
        <v>77</v>
      </c>
      <c r="D577" t="s" s="0">
        <v>77</v>
      </c>
      <c r="E577" t="s" s="0">
        <v>12845</v>
      </c>
      <c r="F577" t="s" s="0">
        <v>12846</v>
      </c>
      <c r="G577" t="s" s="0">
        <v>12847</v>
      </c>
      <c r="H577" t="s" s="0">
        <v>81</v>
      </c>
      <c r="I577" t="s" s="0">
        <v>82</v>
      </c>
      <c r="J577" t="s" s="0">
        <v>12848</v>
      </c>
      <c r="K577" t="s" s="0">
        <v>12849</v>
      </c>
      <c r="L577" t="s" s="0">
        <v>81</v>
      </c>
      <c r="M577" t="s" s="0">
        <v>81</v>
      </c>
      <c r="N577" t="s" s="0">
        <v>81</v>
      </c>
      <c r="O577" t="s" s="0">
        <v>12850</v>
      </c>
      <c r="P577" t="s" s="0">
        <v>12851</v>
      </c>
      <c r="Q577" t="s" s="0">
        <v>87</v>
      </c>
      <c r="R577" t="s" s="0">
        <v>81</v>
      </c>
      <c r="S577" t="s" s="0">
        <v>81</v>
      </c>
      <c r="T577" t="s" s="0">
        <v>81</v>
      </c>
      <c r="U577" t="s" s="0">
        <v>81</v>
      </c>
      <c r="V577" t="s" s="0">
        <v>12852</v>
      </c>
      <c r="W577" t="s" s="0">
        <v>12853</v>
      </c>
      <c r="X577" t="s" s="0">
        <v>81</v>
      </c>
      <c r="Y577" t="s" s="0">
        <v>81</v>
      </c>
      <c r="Z577" t="s" s="0">
        <v>90</v>
      </c>
      <c r="AA577" t="s" s="0">
        <v>91</v>
      </c>
      <c r="AB577" t="s" s="0">
        <v>81</v>
      </c>
      <c r="AC577" t="s" s="0">
        <v>81</v>
      </c>
      <c r="AD577" t="s" s="0">
        <v>81</v>
      </c>
      <c r="AE577" t="s" s="0">
        <v>81</v>
      </c>
      <c r="AF577" t="s" s="0">
        <v>81</v>
      </c>
      <c r="AG577" t="s" s="0">
        <v>12854</v>
      </c>
      <c r="AH577" t="s" s="0">
        <v>81</v>
      </c>
      <c r="AI577" t="s" s="0">
        <v>81</v>
      </c>
      <c r="AJ577" t="s" s="0">
        <v>81</v>
      </c>
      <c r="AK577" t="s" s="0">
        <v>81</v>
      </c>
      <c r="AL577" t="s" s="0">
        <v>228</v>
      </c>
      <c r="AM577" t="s" s="0">
        <v>77</v>
      </c>
      <c r="AN577" t="s" s="0">
        <v>77</v>
      </c>
      <c r="AO577" t="s" s="0">
        <v>77</v>
      </c>
      <c r="AP577" t="s" s="0">
        <v>77</v>
      </c>
      <c r="AQ577" t="s" s="0">
        <v>1344</v>
      </c>
      <c r="AR577" t="s" s="0">
        <v>1345</v>
      </c>
      <c r="AS577" t="s" s="0">
        <v>1346</v>
      </c>
      <c r="AT577" t="s" s="0">
        <v>12855</v>
      </c>
      <c r="AU577" t="s" s="0">
        <v>12856</v>
      </c>
      <c r="AV577" t="s" s="0">
        <v>81</v>
      </c>
      <c r="AW577" t="s" s="0">
        <v>12857</v>
      </c>
      <c r="AX577" t="s" s="0">
        <v>12858</v>
      </c>
      <c r="AY577" t="s" s="0">
        <v>5030</v>
      </c>
      <c r="AZ577" t="s" s="0">
        <v>103</v>
      </c>
      <c r="BA577" t="s" s="0">
        <v>2877</v>
      </c>
      <c r="BB577" t="s" s="0">
        <v>81</v>
      </c>
      <c r="BC577" t="s" s="0">
        <v>81</v>
      </c>
      <c r="BD577" t="s" s="0">
        <v>81</v>
      </c>
      <c r="BE577" t="s" s="0">
        <v>81</v>
      </c>
      <c r="BF577" t="s" s="0">
        <v>81</v>
      </c>
      <c r="BG577" t="s" s="0">
        <v>81</v>
      </c>
      <c r="BH577" t="s" s="0">
        <v>81</v>
      </c>
      <c r="BI577" t="s" s="0">
        <v>12859</v>
      </c>
      <c r="BJ577" t="s" s="0">
        <v>12860</v>
      </c>
      <c r="BK577" t="s" s="1145">
        <f>HYPERLINK("http://dx.doi.org/10.1016/j.compeleceng.2026.111318","http://dx.doi.org/10.1016/j.compeleceng.2026.111318")</f>
        <v>12861</v>
      </c>
      <c r="BL577" t="s" s="0">
        <v>81</v>
      </c>
      <c r="BM577" t="s" s="0">
        <v>81</v>
      </c>
      <c r="BN577" t="s" s="0">
        <v>291</v>
      </c>
      <c r="BO577" t="s" s="0">
        <v>12862</v>
      </c>
      <c r="BP577" t="s" s="0">
        <v>193</v>
      </c>
      <c r="BQ577" t="s" s="0">
        <v>12863</v>
      </c>
      <c r="BR577" t="s" s="0">
        <v>81</v>
      </c>
      <c r="BS577" t="s" s="0">
        <v>12864</v>
      </c>
      <c r="BT577" t="s" s="1146">
        <f>HYPERLINK("https://www.webofscience.com/wos/woscc/full-record/WOS:001799743100001","View Record in Web of Science")</f>
        <v>114</v>
      </c>
      <c r="BU577" t="s" s="0">
        <v>81</v>
      </c>
      <c r="BV577" t="s" s="0">
        <v>81</v>
      </c>
      <c r="BW577" t="s" s="0">
        <v>81</v>
      </c>
      <c r="BX577" t="s" s="0">
        <v>116</v>
      </c>
    </row>
    <row r="578">
      <c r="A578" t="s" s="0">
        <v>77</v>
      </c>
      <c r="B578" t="s" s="0">
        <v>77</v>
      </c>
      <c r="C578" t="s" s="0">
        <v>97</v>
      </c>
      <c r="D578" t="s" s="0">
        <v>77</v>
      </c>
      <c r="E578" t="s" s="0">
        <v>12865</v>
      </c>
      <c r="F578" t="s" s="0">
        <v>12866</v>
      </c>
      <c r="G578" t="s" s="0">
        <v>12867</v>
      </c>
      <c r="H578" t="s" s="0">
        <v>81</v>
      </c>
      <c r="I578" t="s" s="0">
        <v>82</v>
      </c>
      <c r="J578" t="s" s="0">
        <v>12868</v>
      </c>
      <c r="K578" t="s" s="0">
        <v>12869</v>
      </c>
      <c r="L578" t="s" s="0">
        <v>12870</v>
      </c>
      <c r="M578" t="s" s="0">
        <v>12871</v>
      </c>
      <c r="N578" t="s" s="0">
        <v>12872</v>
      </c>
      <c r="O578" t="s" s="0">
        <v>12873</v>
      </c>
      <c r="P578" t="s" s="0">
        <v>12874</v>
      </c>
      <c r="Q578" t="s" s="0">
        <v>87</v>
      </c>
      <c r="R578" t="s" s="0">
        <v>81</v>
      </c>
      <c r="S578" t="s" s="0">
        <v>81</v>
      </c>
      <c r="T578" t="s" s="0">
        <v>81</v>
      </c>
      <c r="U578" t="s" s="0">
        <v>81</v>
      </c>
      <c r="V578" t="s" s="0">
        <v>12875</v>
      </c>
      <c r="W578" t="s" s="0">
        <v>12876</v>
      </c>
      <c r="X578" t="s" s="0">
        <v>81</v>
      </c>
      <c r="Y578" t="s" s="0">
        <v>81</v>
      </c>
      <c r="Z578" t="s" s="0">
        <v>90</v>
      </c>
      <c r="AA578" t="s" s="0">
        <v>91</v>
      </c>
      <c r="AB578" t="s" s="0">
        <v>81</v>
      </c>
      <c r="AC578" t="s" s="0">
        <v>81</v>
      </c>
      <c r="AD578" t="s" s="0">
        <v>81</v>
      </c>
      <c r="AE578" t="s" s="0">
        <v>81</v>
      </c>
      <c r="AF578" t="s" s="0">
        <v>81</v>
      </c>
      <c r="AG578" t="s" s="0">
        <v>12877</v>
      </c>
      <c r="AH578" t="s" s="0">
        <v>12878</v>
      </c>
      <c r="AI578" t="s" s="0">
        <v>12879</v>
      </c>
      <c r="AJ578" t="s" s="0">
        <v>12880</v>
      </c>
      <c r="AK578" t="s" s="0">
        <v>81</v>
      </c>
      <c r="AL578" t="s" s="0">
        <v>12881</v>
      </c>
      <c r="AM578" t="s" s="0">
        <v>196</v>
      </c>
      <c r="AN578" t="s" s="0">
        <v>175</v>
      </c>
      <c r="AO578" t="s" s="0">
        <v>156</v>
      </c>
      <c r="AP578" t="s" s="0">
        <v>196</v>
      </c>
      <c r="AQ578" t="s" s="0">
        <v>284</v>
      </c>
      <c r="AR578" t="s" s="0">
        <v>285</v>
      </c>
      <c r="AS578" t="s" s="0">
        <v>286</v>
      </c>
      <c r="AT578" t="s" s="0">
        <v>81</v>
      </c>
      <c r="AU578" t="s" s="0">
        <v>12882</v>
      </c>
      <c r="AV578" t="s" s="0">
        <v>81</v>
      </c>
      <c r="AW578" t="s" s="0">
        <v>12876</v>
      </c>
      <c r="AX578" t="s" s="0">
        <v>12883</v>
      </c>
      <c r="AY578" t="s" s="0">
        <v>289</v>
      </c>
      <c r="AZ578" t="s" s="0">
        <v>290</v>
      </c>
      <c r="BA578" t="s" s="0">
        <v>291</v>
      </c>
      <c r="BB578" t="s" s="0">
        <v>156</v>
      </c>
      <c r="BC578" t="s" s="0">
        <v>81</v>
      </c>
      <c r="BD578" t="s" s="0">
        <v>81</v>
      </c>
      <c r="BE578" t="s" s="0">
        <v>81</v>
      </c>
      <c r="BF578" t="s" s="0">
        <v>81</v>
      </c>
      <c r="BG578" t="s" s="0">
        <v>81</v>
      </c>
      <c r="BH578" t="s" s="0">
        <v>81</v>
      </c>
      <c r="BI578" t="s" s="0">
        <v>5841</v>
      </c>
      <c r="BJ578" t="s" s="0">
        <v>12884</v>
      </c>
      <c r="BK578" t="s" s="1147">
        <f>HYPERLINK("http://dx.doi.org/10.3390/life15020211","http://dx.doi.org/10.3390/life15020211")</f>
        <v>12885</v>
      </c>
      <c r="BL578" t="s" s="0">
        <v>81</v>
      </c>
      <c r="BM578" t="s" s="0">
        <v>81</v>
      </c>
      <c r="BN578" t="s" s="0">
        <v>890</v>
      </c>
      <c r="BO578" t="s" s="0">
        <v>12886</v>
      </c>
      <c r="BP578" t="s" s="0">
        <v>12887</v>
      </c>
      <c r="BQ578" t="s" s="0">
        <v>12888</v>
      </c>
      <c r="BR578" t="s" s="0">
        <v>12889</v>
      </c>
      <c r="BS578" t="s" s="0">
        <v>12890</v>
      </c>
      <c r="BT578" t="s" s="1148">
        <f>HYPERLINK("https://www.webofscience.com/wos/woscc/full-record/WOS:001431012600001","View Record in Web of Science")</f>
        <v>114</v>
      </c>
      <c r="BU578" t="s" s="0">
        <v>301</v>
      </c>
      <c r="BV578" t="s" s="0">
        <v>81</v>
      </c>
      <c r="BW578" t="s" s="0">
        <v>81</v>
      </c>
      <c r="BX578" t="s" s="0">
        <v>116</v>
      </c>
    </row>
    <row r="579">
      <c r="A579" t="s" s="0">
        <v>77</v>
      </c>
      <c r="B579" t="s" s="0">
        <v>77</v>
      </c>
      <c r="C579" t="s" s="0">
        <v>77</v>
      </c>
      <c r="D579" t="s" s="0">
        <v>77</v>
      </c>
      <c r="E579" t="s" s="0">
        <v>12891</v>
      </c>
      <c r="F579" t="s" s="0">
        <v>12892</v>
      </c>
      <c r="G579" t="s" s="0">
        <v>12893</v>
      </c>
      <c r="H579" t="s" s="0">
        <v>81</v>
      </c>
      <c r="I579" t="s" s="0">
        <v>82</v>
      </c>
      <c r="J579" t="s" s="0">
        <v>12894</v>
      </c>
      <c r="K579" t="s" s="0">
        <v>12895</v>
      </c>
      <c r="L579" t="s" s="0">
        <v>12896</v>
      </c>
      <c r="M579" t="s" s="0">
        <v>12896</v>
      </c>
      <c r="N579" t="s" s="0">
        <v>12897</v>
      </c>
      <c r="O579" t="s" s="0">
        <v>12898</v>
      </c>
      <c r="P579" t="s" s="0">
        <v>12899</v>
      </c>
      <c r="Q579" t="s" s="0">
        <v>87</v>
      </c>
      <c r="R579" t="s" s="0">
        <v>81</v>
      </c>
      <c r="S579" t="s" s="0">
        <v>81</v>
      </c>
      <c r="T579" t="s" s="0">
        <v>81</v>
      </c>
      <c r="U579" t="s" s="0">
        <v>81</v>
      </c>
      <c r="V579" t="s" s="0">
        <v>12900</v>
      </c>
      <c r="W579" t="s" s="0">
        <v>12901</v>
      </c>
      <c r="X579" t="s" s="0">
        <v>81</v>
      </c>
      <c r="Y579" t="s" s="0">
        <v>81</v>
      </c>
      <c r="Z579" t="s" s="0">
        <v>90</v>
      </c>
      <c r="AA579" t="s" s="0">
        <v>91</v>
      </c>
      <c r="AB579" t="s" s="0">
        <v>81</v>
      </c>
      <c r="AC579" t="s" s="0">
        <v>81</v>
      </c>
      <c r="AD579" t="s" s="0">
        <v>81</v>
      </c>
      <c r="AE579" t="s" s="0">
        <v>81</v>
      </c>
      <c r="AF579" t="s" s="0">
        <v>81</v>
      </c>
      <c r="AG579" t="s" s="0">
        <v>12902</v>
      </c>
      <c r="AH579" t="s" s="0">
        <v>81</v>
      </c>
      <c r="AI579" t="s" s="0">
        <v>12903</v>
      </c>
      <c r="AJ579" t="s" s="0">
        <v>12904</v>
      </c>
      <c r="AK579" t="s" s="0">
        <v>81</v>
      </c>
      <c r="AL579" t="s" s="0">
        <v>324</v>
      </c>
      <c r="AM579" t="s" s="0">
        <v>196</v>
      </c>
      <c r="AN579" t="s" s="0">
        <v>196</v>
      </c>
      <c r="AO579" t="s" s="0">
        <v>175</v>
      </c>
      <c r="AP579" t="s" s="0">
        <v>234</v>
      </c>
      <c r="AQ579" t="s" s="0">
        <v>665</v>
      </c>
      <c r="AR579" t="s" s="0">
        <v>546</v>
      </c>
      <c r="AS579" t="s" s="0">
        <v>666</v>
      </c>
      <c r="AT579" t="s" s="0">
        <v>81</v>
      </c>
      <c r="AU579" t="s" s="0">
        <v>12905</v>
      </c>
      <c r="AV579" t="s" s="0">
        <v>81</v>
      </c>
      <c r="AW579" t="s" s="0">
        <v>12906</v>
      </c>
      <c r="AX579" t="s" s="0">
        <v>12907</v>
      </c>
      <c r="AY579" t="s" s="0">
        <v>610</v>
      </c>
      <c r="AZ579" t="s" s="0">
        <v>290</v>
      </c>
      <c r="BA579" t="s" s="0">
        <v>228</v>
      </c>
      <c r="BB579" t="s" s="0">
        <v>97</v>
      </c>
      <c r="BC579" t="s" s="0">
        <v>81</v>
      </c>
      <c r="BD579" t="s" s="0">
        <v>81</v>
      </c>
      <c r="BE579" t="s" s="0">
        <v>81</v>
      </c>
      <c r="BF579" t="s" s="0">
        <v>81</v>
      </c>
      <c r="BG579" t="s" s="0">
        <v>81</v>
      </c>
      <c r="BH579" t="s" s="0">
        <v>81</v>
      </c>
      <c r="BI579" t="s" s="0">
        <v>12908</v>
      </c>
      <c r="BJ579" t="s" s="0">
        <v>12909</v>
      </c>
      <c r="BK579" t="s" s="1149">
        <f>HYPERLINK("http://dx.doi.org/10.1186/s12875-025-03044-0","http://dx.doi.org/10.1186/s12875-025-03044-0")</f>
        <v>12910</v>
      </c>
      <c r="BL579" t="s" s="0">
        <v>81</v>
      </c>
      <c r="BM579" t="s" s="0">
        <v>81</v>
      </c>
      <c r="BN579" t="s" s="0">
        <v>261</v>
      </c>
      <c r="BO579" t="s" s="0">
        <v>12911</v>
      </c>
      <c r="BP579" t="s" s="0">
        <v>297</v>
      </c>
      <c r="BQ579" t="s" s="0">
        <v>12912</v>
      </c>
      <c r="BR579" t="s" s="0">
        <v>12913</v>
      </c>
      <c r="BS579" t="s" s="0">
        <v>12914</v>
      </c>
      <c r="BT579" t="s" s="1150">
        <f>HYPERLINK("https://www.webofscience.com/wos/woscc/full-record/WOS:001618145100003","View Record in Web of Science")</f>
        <v>114</v>
      </c>
      <c r="BU579" t="s" s="0">
        <v>301</v>
      </c>
      <c r="BV579" t="s" s="0">
        <v>81</v>
      </c>
      <c r="BW579" t="s" s="0">
        <v>81</v>
      </c>
      <c r="BX579" t="s" s="0">
        <v>116</v>
      </c>
    </row>
    <row r="580">
      <c r="A580" t="s" s="0">
        <v>77</v>
      </c>
      <c r="B580" t="s" s="0">
        <v>77</v>
      </c>
      <c r="C580" t="s" s="0">
        <v>77</v>
      </c>
      <c r="D580" t="s" s="0">
        <v>77</v>
      </c>
      <c r="E580" t="s" s="0">
        <v>12915</v>
      </c>
      <c r="F580" t="s" s="0">
        <v>12916</v>
      </c>
      <c r="G580" t="s" s="0">
        <v>12917</v>
      </c>
      <c r="H580" t="s" s="0">
        <v>81</v>
      </c>
      <c r="I580" t="s" s="0">
        <v>238</v>
      </c>
      <c r="J580" t="s" s="0">
        <v>12918</v>
      </c>
      <c r="K580" t="s" s="0">
        <v>12919</v>
      </c>
      <c r="L580" t="s" s="0">
        <v>81</v>
      </c>
      <c r="M580" t="s" s="0">
        <v>81</v>
      </c>
      <c r="N580" t="s" s="0">
        <v>81</v>
      </c>
      <c r="O580" t="s" s="0">
        <v>12920</v>
      </c>
      <c r="P580" t="s" s="0">
        <v>12921</v>
      </c>
      <c r="Q580" t="s" s="0">
        <v>87</v>
      </c>
      <c r="R580" t="s" s="0">
        <v>81</v>
      </c>
      <c r="S580" t="s" s="0">
        <v>81</v>
      </c>
      <c r="T580" t="s" s="0">
        <v>81</v>
      </c>
      <c r="U580" t="s" s="0">
        <v>81</v>
      </c>
      <c r="V580" t="s" s="0">
        <v>12922</v>
      </c>
      <c r="W580" t="s" s="0">
        <v>5833</v>
      </c>
      <c r="X580" t="s" s="0">
        <v>81</v>
      </c>
      <c r="Y580" t="s" s="0">
        <v>81</v>
      </c>
      <c r="Z580" t="s" s="0">
        <v>90</v>
      </c>
      <c r="AA580" t="s" s="0">
        <v>91</v>
      </c>
      <c r="AB580" t="s" s="0">
        <v>81</v>
      </c>
      <c r="AC580" t="s" s="0">
        <v>81</v>
      </c>
      <c r="AD580" t="s" s="0">
        <v>81</v>
      </c>
      <c r="AE580" t="s" s="0">
        <v>81</v>
      </c>
      <c r="AF580" t="s" s="0">
        <v>81</v>
      </c>
      <c r="AG580" t="s" s="0">
        <v>12923</v>
      </c>
      <c r="AH580" t="s" s="0">
        <v>81</v>
      </c>
      <c r="AI580" t="s" s="0">
        <v>12924</v>
      </c>
      <c r="AJ580" t="s" s="0">
        <v>12925</v>
      </c>
      <c r="AK580" t="s" s="0">
        <v>81</v>
      </c>
      <c r="AL580" t="s" s="0">
        <v>543</v>
      </c>
      <c r="AM580" t="s" s="0">
        <v>196</v>
      </c>
      <c r="AN580" t="s" s="0">
        <v>196</v>
      </c>
      <c r="AO580" t="s" s="0">
        <v>97</v>
      </c>
      <c r="AP580" t="s" s="0">
        <v>175</v>
      </c>
      <c r="AQ580" t="s" s="0">
        <v>284</v>
      </c>
      <c r="AR580" t="s" s="0">
        <v>285</v>
      </c>
      <c r="AS580" t="s" s="0">
        <v>286</v>
      </c>
      <c r="AT580" t="s" s="0">
        <v>81</v>
      </c>
      <c r="AU580" t="s" s="0">
        <v>5837</v>
      </c>
      <c r="AV580" t="s" s="0">
        <v>81</v>
      </c>
      <c r="AW580" t="s" s="0">
        <v>5838</v>
      </c>
      <c r="AX580" t="s" s="0">
        <v>5839</v>
      </c>
      <c r="AY580" t="s" s="0">
        <v>6555</v>
      </c>
      <c r="AZ580" t="s" s="0">
        <v>185</v>
      </c>
      <c r="BA580" t="s" s="0">
        <v>211</v>
      </c>
      <c r="BB580" t="s" s="0">
        <v>234</v>
      </c>
      <c r="BC580" t="s" s="0">
        <v>81</v>
      </c>
      <c r="BD580" t="s" s="0">
        <v>81</v>
      </c>
      <c r="BE580" t="s" s="0">
        <v>81</v>
      </c>
      <c r="BF580" t="s" s="0">
        <v>81</v>
      </c>
      <c r="BG580" t="s" s="0">
        <v>81</v>
      </c>
      <c r="BH580" t="s" s="0">
        <v>81</v>
      </c>
      <c r="BI580" t="s" s="0">
        <v>7700</v>
      </c>
      <c r="BJ580" t="s" s="0">
        <v>12926</v>
      </c>
      <c r="BK580" t="s" s="1151">
        <f>HYPERLINK("http://dx.doi.org/10.3390/jimaging10070167","http://dx.doi.org/10.3390/jimaging10070167")</f>
        <v>12927</v>
      </c>
      <c r="BL580" t="s" s="0">
        <v>81</v>
      </c>
      <c r="BM580" t="s" s="0">
        <v>81</v>
      </c>
      <c r="BN580" t="s" s="0">
        <v>104</v>
      </c>
      <c r="BO580" t="s" s="0">
        <v>5844</v>
      </c>
      <c r="BP580" t="s" s="0">
        <v>5844</v>
      </c>
      <c r="BQ580" t="s" s="0">
        <v>12928</v>
      </c>
      <c r="BR580" t="s" s="0">
        <v>12929</v>
      </c>
      <c r="BS580" t="s" s="0">
        <v>12930</v>
      </c>
      <c r="BT580" t="s" s="1152">
        <f>HYPERLINK("https://www.webofscience.com/wos/woscc/full-record/WOS:001277715800001","View Record in Web of Science")</f>
        <v>114</v>
      </c>
      <c r="BU580" t="s" s="0">
        <v>301</v>
      </c>
      <c r="BV580" t="s" s="0">
        <v>81</v>
      </c>
      <c r="BW580" t="s" s="0">
        <v>81</v>
      </c>
      <c r="BX580" t="s" s="0">
        <v>116</v>
      </c>
    </row>
    <row r="581">
      <c r="A581" t="s" s="0">
        <v>77</v>
      </c>
      <c r="B581" t="s" s="0">
        <v>77</v>
      </c>
      <c r="C581" t="s" s="0">
        <v>97</v>
      </c>
      <c r="D581" t="s" s="0">
        <v>77</v>
      </c>
      <c r="E581" t="s" s="0">
        <v>12931</v>
      </c>
      <c r="F581" t="s" s="0">
        <v>12932</v>
      </c>
      <c r="G581" t="s" s="0">
        <v>12933</v>
      </c>
      <c r="H581" t="s" s="0">
        <v>81</v>
      </c>
      <c r="I581" t="s" s="0">
        <v>528</v>
      </c>
      <c r="J581" t="s" s="0">
        <v>12934</v>
      </c>
      <c r="K581" t="s" s="0">
        <v>4875</v>
      </c>
      <c r="L581" t="s" s="0">
        <v>12935</v>
      </c>
      <c r="M581" t="s" s="0">
        <v>12936</v>
      </c>
      <c r="N581" t="s" s="0">
        <v>12937</v>
      </c>
      <c r="O581" t="s" s="0">
        <v>12938</v>
      </c>
      <c r="P581" t="s" s="0">
        <v>12939</v>
      </c>
      <c r="Q581" t="s" s="0">
        <v>87</v>
      </c>
      <c r="R581" t="s" s="0">
        <v>81</v>
      </c>
      <c r="S581" t="s" s="0">
        <v>81</v>
      </c>
      <c r="T581" t="s" s="0">
        <v>81</v>
      </c>
      <c r="U581" t="s" s="0">
        <v>81</v>
      </c>
      <c r="V581" t="s" s="0">
        <v>12940</v>
      </c>
      <c r="W581" t="s" s="0">
        <v>3707</v>
      </c>
      <c r="X581" t="s" s="0">
        <v>81</v>
      </c>
      <c r="Y581" t="s" s="0">
        <v>81</v>
      </c>
      <c r="Z581" t="s" s="0">
        <v>90</v>
      </c>
      <c r="AA581" t="s" s="0">
        <v>91</v>
      </c>
      <c r="AB581" t="s" s="0">
        <v>81</v>
      </c>
      <c r="AC581" t="s" s="0">
        <v>81</v>
      </c>
      <c r="AD581" t="s" s="0">
        <v>81</v>
      </c>
      <c r="AE581" t="s" s="0">
        <v>81</v>
      </c>
      <c r="AF581" t="s" s="0">
        <v>81</v>
      </c>
      <c r="AG581" t="s" s="0">
        <v>81</v>
      </c>
      <c r="AH581" t="s" s="0">
        <v>12941</v>
      </c>
      <c r="AI581" t="s" s="0">
        <v>81</v>
      </c>
      <c r="AJ581" t="s" s="0">
        <v>12942</v>
      </c>
      <c r="AK581" t="s" s="0">
        <v>81</v>
      </c>
      <c r="AL581" t="s" s="0">
        <v>671</v>
      </c>
      <c r="AM581" t="s" s="0">
        <v>175</v>
      </c>
      <c r="AN581" t="s" s="0">
        <v>133</v>
      </c>
      <c r="AO581" t="s" s="0">
        <v>97</v>
      </c>
      <c r="AP581" t="s" s="0">
        <v>381</v>
      </c>
      <c r="AQ581" t="s" s="0">
        <v>3711</v>
      </c>
      <c r="AR581" t="s" s="0">
        <v>3712</v>
      </c>
      <c r="AS581" t="s" s="0">
        <v>3713</v>
      </c>
      <c r="AT581" t="s" s="0">
        <v>3714</v>
      </c>
      <c r="AU581" t="s" s="0">
        <v>81</v>
      </c>
      <c r="AV581" t="s" s="0">
        <v>81</v>
      </c>
      <c r="AW581" t="s" s="0">
        <v>3715</v>
      </c>
      <c r="AX581" t="s" s="0">
        <v>3716</v>
      </c>
      <c r="AY581" t="s" s="0">
        <v>320</v>
      </c>
      <c r="AZ581" t="s" s="0">
        <v>185</v>
      </c>
      <c r="BA581" t="s" s="0">
        <v>252</v>
      </c>
      <c r="BB581" t="s" s="0">
        <v>316</v>
      </c>
      <c r="BC581" t="s" s="0">
        <v>4172</v>
      </c>
      <c r="BD581" t="s" s="0">
        <v>81</v>
      </c>
      <c r="BE581" t="s" s="0">
        <v>81</v>
      </c>
      <c r="BF581" t="s" s="0">
        <v>81</v>
      </c>
      <c r="BG581" t="s" s="0">
        <v>81</v>
      </c>
      <c r="BH581" t="s" s="0">
        <v>81</v>
      </c>
      <c r="BI581" t="s" s="0">
        <v>81</v>
      </c>
      <c r="BJ581" t="s" s="0">
        <v>12943</v>
      </c>
      <c r="BK581" t="s" s="1153">
        <f>HYPERLINK("http://dx.doi.org/10.37765/ajmc.2024.89555","http://dx.doi.org/10.37765/ajmc.2024.89555")</f>
        <v>12944</v>
      </c>
      <c r="BL581" t="s" s="0">
        <v>81</v>
      </c>
      <c r="BM581" t="s" s="0">
        <v>81</v>
      </c>
      <c r="BN581" t="s" s="0">
        <v>234</v>
      </c>
      <c r="BO581" t="s" s="0">
        <v>3719</v>
      </c>
      <c r="BP581" t="s" s="0">
        <v>765</v>
      </c>
      <c r="BQ581" t="s" s="0">
        <v>12945</v>
      </c>
      <c r="BR581" t="s" s="0">
        <v>12946</v>
      </c>
      <c r="BS581" t="s" s="0">
        <v>12947</v>
      </c>
      <c r="BT581" t="s" s="1154">
        <f>HYPERLINK("https://www.webofscience.com/wos/woscc/full-record/WOS:001324545400001","View Record in Web of Science")</f>
        <v>114</v>
      </c>
      <c r="BU581" t="s" s="0">
        <v>81</v>
      </c>
      <c r="BV581" t="s" s="0">
        <v>81</v>
      </c>
      <c r="BW581" t="s" s="0">
        <v>81</v>
      </c>
      <c r="BX581" t="s" s="0">
        <v>116</v>
      </c>
    </row>
    <row r="582">
      <c r="A582" t="s" s="0">
        <v>77</v>
      </c>
      <c r="B582" t="s" s="0">
        <v>77</v>
      </c>
      <c r="C582" t="s" s="0">
        <v>77</v>
      </c>
      <c r="D582" t="s" s="0">
        <v>77</v>
      </c>
      <c r="E582" t="s" s="0">
        <v>12948</v>
      </c>
      <c r="F582" t="s" s="0">
        <v>12949</v>
      </c>
      <c r="G582" t="s" s="0">
        <v>12950</v>
      </c>
      <c r="H582" t="s" s="0">
        <v>81</v>
      </c>
      <c r="I582" t="s" s="0">
        <v>82</v>
      </c>
      <c r="J582" t="s" s="0">
        <v>12951</v>
      </c>
      <c r="K582" t="s" s="0">
        <v>12952</v>
      </c>
      <c r="L582" t="s" s="0">
        <v>81</v>
      </c>
      <c r="M582" t="s" s="0">
        <v>81</v>
      </c>
      <c r="N582" t="s" s="0">
        <v>81</v>
      </c>
      <c r="O582" t="s" s="0">
        <v>12953</v>
      </c>
      <c r="P582" t="s" s="0">
        <v>12954</v>
      </c>
      <c r="Q582" t="s" s="0">
        <v>87</v>
      </c>
      <c r="R582" t="s" s="0">
        <v>81</v>
      </c>
      <c r="S582" t="s" s="0">
        <v>81</v>
      </c>
      <c r="T582" t="s" s="0">
        <v>81</v>
      </c>
      <c r="U582" t="s" s="0">
        <v>81</v>
      </c>
      <c r="V582" t="s" s="0">
        <v>12955</v>
      </c>
      <c r="W582" t="s" s="0">
        <v>12956</v>
      </c>
      <c r="X582" t="s" s="0">
        <v>81</v>
      </c>
      <c r="Y582" t="s" s="0">
        <v>81</v>
      </c>
      <c r="Z582" t="s" s="0">
        <v>90</v>
      </c>
      <c r="AA582" t="s" s="0">
        <v>91</v>
      </c>
      <c r="AB582" t="s" s="0">
        <v>81</v>
      </c>
      <c r="AC582" t="s" s="0">
        <v>81</v>
      </c>
      <c r="AD582" t="s" s="0">
        <v>81</v>
      </c>
      <c r="AE582" t="s" s="0">
        <v>81</v>
      </c>
      <c r="AF582" t="s" s="0">
        <v>81</v>
      </c>
      <c r="AG582" t="s" s="0">
        <v>12957</v>
      </c>
      <c r="AH582" t="s" s="0">
        <v>1202</v>
      </c>
      <c r="AI582" t="s" s="0">
        <v>81</v>
      </c>
      <c r="AJ582" t="s" s="0">
        <v>81</v>
      </c>
      <c r="AK582" t="s" s="0">
        <v>81</v>
      </c>
      <c r="AL582" t="s" s="0">
        <v>3518</v>
      </c>
      <c r="AM582" t="s" s="0">
        <v>97</v>
      </c>
      <c r="AN582" t="s" s="0">
        <v>97</v>
      </c>
      <c r="AO582" t="s" s="0">
        <v>97</v>
      </c>
      <c r="AP582" t="s" s="0">
        <v>175</v>
      </c>
      <c r="AQ582" t="s" s="0">
        <v>603</v>
      </c>
      <c r="AR582" t="s" s="0">
        <v>604</v>
      </c>
      <c r="AS582" t="s" s="0">
        <v>605</v>
      </c>
      <c r="AT582" t="s" s="0">
        <v>12958</v>
      </c>
      <c r="AU582" t="s" s="0">
        <v>12959</v>
      </c>
      <c r="AV582" t="s" s="0">
        <v>81</v>
      </c>
      <c r="AW582" t="s" s="0">
        <v>12960</v>
      </c>
      <c r="AX582" t="s" s="0">
        <v>12961</v>
      </c>
      <c r="AY582" t="s" s="0">
        <v>643</v>
      </c>
      <c r="AZ582" t="s" s="0">
        <v>290</v>
      </c>
      <c r="BA582" t="s" s="0">
        <v>5567</v>
      </c>
      <c r="BB582" t="s" s="0">
        <v>97</v>
      </c>
      <c r="BC582" t="s" s="0">
        <v>81</v>
      </c>
      <c r="BD582" t="s" s="0">
        <v>81</v>
      </c>
      <c r="BE582" t="s" s="0">
        <v>81</v>
      </c>
      <c r="BF582" t="s" s="0">
        <v>81</v>
      </c>
      <c r="BG582" t="s" s="0">
        <v>12962</v>
      </c>
      <c r="BH582" t="s" s="0">
        <v>12963</v>
      </c>
      <c r="BI582" t="s" s="0">
        <v>81</v>
      </c>
      <c r="BJ582" t="s" s="0">
        <v>12964</v>
      </c>
      <c r="BK582" t="s" s="1155">
        <f>HYPERLINK("http://dx.doi.org/10.1080/19396368.2025.2560839","http://dx.doi.org/10.1080/19396368.2025.2560839")</f>
        <v>12965</v>
      </c>
      <c r="BL582" t="s" s="0">
        <v>81</v>
      </c>
      <c r="BM582" t="s" s="0">
        <v>81</v>
      </c>
      <c r="BN582" t="s" s="0">
        <v>210</v>
      </c>
      <c r="BO582" t="s" s="0">
        <v>12966</v>
      </c>
      <c r="BP582" t="s" s="0">
        <v>12967</v>
      </c>
      <c r="BQ582" t="s" s="0">
        <v>12968</v>
      </c>
      <c r="BR582" t="s" s="0">
        <v>12969</v>
      </c>
      <c r="BS582" t="s" s="0">
        <v>12970</v>
      </c>
      <c r="BT582" t="s" s="1156">
        <f>HYPERLINK("https://www.webofscience.com/wos/woscc/full-record/WOS:001574994200001","View Record in Web of Science")</f>
        <v>114</v>
      </c>
      <c r="BU582" t="s" s="0">
        <v>81</v>
      </c>
      <c r="BV582" t="s" s="0">
        <v>81</v>
      </c>
      <c r="BW582" t="s" s="0">
        <v>81</v>
      </c>
      <c r="BX582" t="s" s="0">
        <v>116</v>
      </c>
    </row>
    <row r="583">
      <c r="A583" t="s" s="0">
        <v>77</v>
      </c>
      <c r="B583" t="s" s="0">
        <v>77</v>
      </c>
      <c r="C583" t="s" s="0">
        <v>77</v>
      </c>
      <c r="D583" t="s" s="0">
        <v>77</v>
      </c>
      <c r="E583" t="s" s="0">
        <v>12971</v>
      </c>
      <c r="F583" t="s" s="0">
        <v>12972</v>
      </c>
      <c r="G583" t="s" s="0">
        <v>12973</v>
      </c>
      <c r="H583" t="s" s="0">
        <v>81</v>
      </c>
      <c r="I583" t="s" s="0">
        <v>82</v>
      </c>
      <c r="J583" t="s" s="0">
        <v>12974</v>
      </c>
      <c r="K583" t="s" s="0">
        <v>12975</v>
      </c>
      <c r="L583" t="s" s="0">
        <v>12976</v>
      </c>
      <c r="M583" t="s" s="0">
        <v>12977</v>
      </c>
      <c r="N583" t="s" s="0">
        <v>12978</v>
      </c>
      <c r="O583" t="s" s="0">
        <v>12979</v>
      </c>
      <c r="P583" t="s" s="0">
        <v>12980</v>
      </c>
      <c r="Q583" t="s" s="0">
        <v>87</v>
      </c>
      <c r="R583" t="s" s="0">
        <v>81</v>
      </c>
      <c r="S583" t="s" s="0">
        <v>81</v>
      </c>
      <c r="T583" t="s" s="0">
        <v>81</v>
      </c>
      <c r="U583" t="s" s="0">
        <v>81</v>
      </c>
      <c r="V583" t="s" s="0">
        <v>12981</v>
      </c>
      <c r="W583" t="s" s="0">
        <v>1226</v>
      </c>
      <c r="X583" t="s" s="0">
        <v>81</v>
      </c>
      <c r="Y583" t="s" s="0">
        <v>81</v>
      </c>
      <c r="Z583" t="s" s="0">
        <v>90</v>
      </c>
      <c r="AA583" t="s" s="0">
        <v>91</v>
      </c>
      <c r="AB583" t="s" s="0">
        <v>81</v>
      </c>
      <c r="AC583" t="s" s="0">
        <v>81</v>
      </c>
      <c r="AD583" t="s" s="0">
        <v>81</v>
      </c>
      <c r="AE583" t="s" s="0">
        <v>81</v>
      </c>
      <c r="AF583" t="s" s="0">
        <v>81</v>
      </c>
      <c r="AG583" t="s" s="0">
        <v>12982</v>
      </c>
      <c r="AH583" t="s" s="0">
        <v>81</v>
      </c>
      <c r="AI583" t="s" s="0">
        <v>12983</v>
      </c>
      <c r="AJ583" t="s" s="0">
        <v>81</v>
      </c>
      <c r="AK583" t="s" s="0">
        <v>81</v>
      </c>
      <c r="AL583" t="s" s="0">
        <v>434</v>
      </c>
      <c r="AM583" t="s" s="0">
        <v>196</v>
      </c>
      <c r="AN583" t="s" s="0">
        <v>175</v>
      </c>
      <c r="AO583" t="s" s="0">
        <v>196</v>
      </c>
      <c r="AP583" t="s" s="0">
        <v>196</v>
      </c>
      <c r="AQ583" t="s" s="0">
        <v>284</v>
      </c>
      <c r="AR583" t="s" s="0">
        <v>285</v>
      </c>
      <c r="AS583" t="s" s="0">
        <v>286</v>
      </c>
      <c r="AT583" t="s" s="0">
        <v>81</v>
      </c>
      <c r="AU583" t="s" s="0">
        <v>1230</v>
      </c>
      <c r="AV583" t="s" s="0">
        <v>81</v>
      </c>
      <c r="AW583" t="s" s="0">
        <v>1226</v>
      </c>
      <c r="AX583" t="s" s="0">
        <v>1231</v>
      </c>
      <c r="AY583" t="s" s="0">
        <v>12984</v>
      </c>
      <c r="AZ583" t="s" s="0">
        <v>103</v>
      </c>
      <c r="BA583" t="s" s="0">
        <v>486</v>
      </c>
      <c r="BB583" t="s" s="0">
        <v>196</v>
      </c>
      <c r="BC583" t="s" s="0">
        <v>81</v>
      </c>
      <c r="BD583" t="s" s="0">
        <v>81</v>
      </c>
      <c r="BE583" t="s" s="0">
        <v>81</v>
      </c>
      <c r="BF583" t="s" s="0">
        <v>81</v>
      </c>
      <c r="BG583" t="s" s="0">
        <v>81</v>
      </c>
      <c r="BH583" t="s" s="0">
        <v>81</v>
      </c>
      <c r="BI583" t="s" s="0">
        <v>5820</v>
      </c>
      <c r="BJ583" t="s" s="0">
        <v>12985</v>
      </c>
      <c r="BK583" t="s" s="1157">
        <f>HYPERLINK("http://dx.doi.org/10.3390/bioengineering13030360","http://dx.doi.org/10.3390/bioengineering13030360")</f>
        <v>12986</v>
      </c>
      <c r="BL583" t="s" s="0">
        <v>81</v>
      </c>
      <c r="BM583" t="s" s="0">
        <v>81</v>
      </c>
      <c r="BN583" t="s" s="0">
        <v>925</v>
      </c>
      <c r="BO583" t="s" s="0">
        <v>1236</v>
      </c>
      <c r="BP583" t="s" s="0">
        <v>1237</v>
      </c>
      <c r="BQ583" t="s" s="0">
        <v>12987</v>
      </c>
      <c r="BR583" t="s" s="0">
        <v>12988</v>
      </c>
      <c r="BS583" t="s" s="0">
        <v>12989</v>
      </c>
      <c r="BT583" t="s" s="1158">
        <f>HYPERLINK("https://www.webofscience.com/wos/woscc/full-record/WOS:001727074500001","View Record in Web of Science")</f>
        <v>114</v>
      </c>
      <c r="BU583" t="s" s="0">
        <v>301</v>
      </c>
      <c r="BV583" t="s" s="0">
        <v>81</v>
      </c>
      <c r="BW583" t="s" s="0">
        <v>81</v>
      </c>
      <c r="BX583" t="s" s="0">
        <v>116</v>
      </c>
    </row>
    <row r="584">
      <c r="A584" t="s" s="0">
        <v>77</v>
      </c>
      <c r="B584" t="s" s="0">
        <v>77</v>
      </c>
      <c r="C584" t="s" s="0">
        <v>77</v>
      </c>
      <c r="D584" t="s" s="0">
        <v>77</v>
      </c>
      <c r="E584" t="s" s="0">
        <v>12990</v>
      </c>
      <c r="F584" t="s" s="0">
        <v>12991</v>
      </c>
      <c r="G584" t="s" s="0">
        <v>12992</v>
      </c>
      <c r="H584" t="s" s="0">
        <v>81</v>
      </c>
      <c r="I584" t="s" s="0">
        <v>238</v>
      </c>
      <c r="J584" t="s" s="0">
        <v>12993</v>
      </c>
      <c r="K584" t="s" s="0">
        <v>4785</v>
      </c>
      <c r="L584" t="s" s="0">
        <v>81</v>
      </c>
      <c r="M584" t="s" s="0">
        <v>81</v>
      </c>
      <c r="N584" t="s" s="0">
        <v>12994</v>
      </c>
      <c r="O584" t="s" s="0">
        <v>12995</v>
      </c>
      <c r="P584" t="s" s="0">
        <v>12996</v>
      </c>
      <c r="Q584" t="s" s="0">
        <v>87</v>
      </c>
      <c r="R584" t="s" s="0">
        <v>81</v>
      </c>
      <c r="S584" t="s" s="0">
        <v>81</v>
      </c>
      <c r="T584" t="s" s="0">
        <v>81</v>
      </c>
      <c r="U584" t="s" s="0">
        <v>81</v>
      </c>
      <c r="V584" t="s" s="0">
        <v>12997</v>
      </c>
      <c r="W584" t="s" s="0">
        <v>12998</v>
      </c>
      <c r="X584" t="s" s="0">
        <v>81</v>
      </c>
      <c r="Y584" t="s" s="0">
        <v>81</v>
      </c>
      <c r="Z584" t="s" s="0">
        <v>90</v>
      </c>
      <c r="AA584" t="s" s="0">
        <v>91</v>
      </c>
      <c r="AB584" t="s" s="0">
        <v>81</v>
      </c>
      <c r="AC584" t="s" s="0">
        <v>81</v>
      </c>
      <c r="AD584" t="s" s="0">
        <v>81</v>
      </c>
      <c r="AE584" t="s" s="0">
        <v>81</v>
      </c>
      <c r="AF584" t="s" s="0">
        <v>81</v>
      </c>
      <c r="AG584" t="s" s="0">
        <v>12999</v>
      </c>
      <c r="AH584" t="s" s="0">
        <v>13000</v>
      </c>
      <c r="AI584" t="s" s="0">
        <v>13001</v>
      </c>
      <c r="AJ584" t="s" s="0">
        <v>81</v>
      </c>
      <c r="AK584" t="s" s="0">
        <v>81</v>
      </c>
      <c r="AL584" t="s" s="0">
        <v>210</v>
      </c>
      <c r="AM584" t="s" s="0">
        <v>77</v>
      </c>
      <c r="AN584" t="s" s="0">
        <v>77</v>
      </c>
      <c r="AO584" t="s" s="0">
        <v>77</v>
      </c>
      <c r="AP584" t="s" s="0">
        <v>77</v>
      </c>
      <c r="AQ584" t="s" s="0">
        <v>636</v>
      </c>
      <c r="AR584" t="s" s="0">
        <v>637</v>
      </c>
      <c r="AS584" t="s" s="0">
        <v>638</v>
      </c>
      <c r="AT584" t="s" s="0">
        <v>13002</v>
      </c>
      <c r="AU584" t="s" s="0">
        <v>13003</v>
      </c>
      <c r="AV584" t="s" s="0">
        <v>81</v>
      </c>
      <c r="AW584" t="s" s="0">
        <v>13004</v>
      </c>
      <c r="AX584" t="s" s="0">
        <v>13005</v>
      </c>
      <c r="AY584" t="s" s="0">
        <v>5296</v>
      </c>
      <c r="AZ584" t="s" s="0">
        <v>103</v>
      </c>
      <c r="BA584" t="s" s="0">
        <v>434</v>
      </c>
      <c r="BB584" t="s" s="0">
        <v>196</v>
      </c>
      <c r="BC584" t="s" s="0">
        <v>4172</v>
      </c>
      <c r="BD584" t="s" s="0">
        <v>81</v>
      </c>
      <c r="BE584" t="s" s="0">
        <v>81</v>
      </c>
      <c r="BF584" t="s" s="0">
        <v>81</v>
      </c>
      <c r="BG584" t="s" s="0">
        <v>5841</v>
      </c>
      <c r="BH584" t="s" s="0">
        <v>13006</v>
      </c>
      <c r="BI584" t="s" s="0">
        <v>81</v>
      </c>
      <c r="BJ584" t="s" s="0">
        <v>13007</v>
      </c>
      <c r="BK584" t="s" s="1159">
        <f>HYPERLINK("http://dx.doi.org/10.1080/20905998.2026.2694227","http://dx.doi.org/10.1080/20905998.2026.2694227")</f>
        <v>13008</v>
      </c>
      <c r="BL584" t="s" s="0">
        <v>81</v>
      </c>
      <c r="BM584" t="s" s="0">
        <v>849</v>
      </c>
      <c r="BN584" t="s" s="0">
        <v>234</v>
      </c>
      <c r="BO584" t="s" s="0">
        <v>2334</v>
      </c>
      <c r="BP584" t="s" s="0">
        <v>2334</v>
      </c>
      <c r="BQ584" t="s" s="0">
        <v>13009</v>
      </c>
      <c r="BR584" t="s" s="0">
        <v>81</v>
      </c>
      <c r="BS584" t="s" s="0">
        <v>13010</v>
      </c>
      <c r="BT584" t="s" s="1160">
        <f>HYPERLINK("https://www.webofscience.com/wos/woscc/full-record/WOS:001801610500001","View Record in Web of Science")</f>
        <v>114</v>
      </c>
      <c r="BU584" t="s" s="0">
        <v>115</v>
      </c>
      <c r="BV584" t="s" s="0">
        <v>81</v>
      </c>
      <c r="BW584" t="s" s="0">
        <v>81</v>
      </c>
      <c r="BX584" t="s" s="0">
        <v>116</v>
      </c>
    </row>
    <row r="585">
      <c r="A585" t="s" s="0">
        <v>77</v>
      </c>
      <c r="B585" t="s" s="0">
        <v>77</v>
      </c>
      <c r="C585" t="s" s="0">
        <v>77</v>
      </c>
      <c r="D585" t="s" s="0">
        <v>77</v>
      </c>
      <c r="E585" t="s" s="0">
        <v>13011</v>
      </c>
      <c r="F585" t="s" s="0">
        <v>13012</v>
      </c>
      <c r="G585" t="s" s="0">
        <v>13013</v>
      </c>
      <c r="H585" t="s" s="0">
        <v>81</v>
      </c>
      <c r="I585" t="s" s="0">
        <v>238</v>
      </c>
      <c r="J585" t="s" s="0">
        <v>13014</v>
      </c>
      <c r="K585" t="s" s="0">
        <v>13015</v>
      </c>
      <c r="L585" t="s" s="0">
        <v>81</v>
      </c>
      <c r="M585" t="s" s="0">
        <v>81</v>
      </c>
      <c r="N585" t="s" s="0">
        <v>13016</v>
      </c>
      <c r="O585" t="s" s="0">
        <v>13017</v>
      </c>
      <c r="P585" t="s" s="0">
        <v>13018</v>
      </c>
      <c r="Q585" t="s" s="0">
        <v>87</v>
      </c>
      <c r="R585" t="s" s="0">
        <v>81</v>
      </c>
      <c r="S585" t="s" s="0">
        <v>81</v>
      </c>
      <c r="T585" t="s" s="0">
        <v>81</v>
      </c>
      <c r="U585" t="s" s="0">
        <v>81</v>
      </c>
      <c r="V585" t="s" s="0">
        <v>13019</v>
      </c>
      <c r="W585" t="s" s="0">
        <v>2096</v>
      </c>
      <c r="X585" t="s" s="0">
        <v>81</v>
      </c>
      <c r="Y585" t="s" s="0">
        <v>81</v>
      </c>
      <c r="Z585" t="s" s="0">
        <v>90</v>
      </c>
      <c r="AA585" t="s" s="0">
        <v>91</v>
      </c>
      <c r="AB585" t="s" s="0">
        <v>81</v>
      </c>
      <c r="AC585" t="s" s="0">
        <v>81</v>
      </c>
      <c r="AD585" t="s" s="0">
        <v>81</v>
      </c>
      <c r="AE585" t="s" s="0">
        <v>81</v>
      </c>
      <c r="AF585" t="s" s="0">
        <v>81</v>
      </c>
      <c r="AG585" t="s" s="0">
        <v>13020</v>
      </c>
      <c r="AH585" t="s" s="0">
        <v>13021</v>
      </c>
      <c r="AI585" t="s" s="0">
        <v>13022</v>
      </c>
      <c r="AJ585" t="s" s="0">
        <v>13023</v>
      </c>
      <c r="AK585" t="s" s="0">
        <v>81</v>
      </c>
      <c r="AL585" t="s" s="0">
        <v>2296</v>
      </c>
      <c r="AM585" t="s" s="0">
        <v>97</v>
      </c>
      <c r="AN585" t="s" s="0">
        <v>97</v>
      </c>
      <c r="AO585" t="s" s="0">
        <v>77</v>
      </c>
      <c r="AP585" t="s" s="0">
        <v>175</v>
      </c>
      <c r="AQ585" t="s" s="0">
        <v>212</v>
      </c>
      <c r="AR585" t="s" s="0">
        <v>429</v>
      </c>
      <c r="AS585" t="s" s="0">
        <v>784</v>
      </c>
      <c r="AT585" t="s" s="0">
        <v>2100</v>
      </c>
      <c r="AU585" t="s" s="0">
        <v>2101</v>
      </c>
      <c r="AV585" t="s" s="0">
        <v>81</v>
      </c>
      <c r="AW585" t="s" s="0">
        <v>2102</v>
      </c>
      <c r="AX585" t="s" s="0">
        <v>2103</v>
      </c>
      <c r="AY585" t="s" s="0">
        <v>143</v>
      </c>
      <c r="AZ585" t="s" s="0">
        <v>103</v>
      </c>
      <c r="BA585" t="s" s="0">
        <v>1883</v>
      </c>
      <c r="BB585" t="s" s="0">
        <v>196</v>
      </c>
      <c r="BC585" t="s" s="0">
        <v>81</v>
      </c>
      <c r="BD585" t="s" s="0">
        <v>81</v>
      </c>
      <c r="BE585" t="s" s="0">
        <v>81</v>
      </c>
      <c r="BF585" t="s" s="0">
        <v>81</v>
      </c>
      <c r="BG585" t="s" s="0">
        <v>13024</v>
      </c>
      <c r="BH585" t="s" s="0">
        <v>13025</v>
      </c>
      <c r="BI585" t="s" s="0">
        <v>81</v>
      </c>
      <c r="BJ585" t="s" s="0">
        <v>13026</v>
      </c>
      <c r="BK585" t="s" s="1161">
        <f>HYPERLINK("http://dx.doi.org/10.1007/s00146-025-02603-4","http://dx.doi.org/10.1007/s00146-025-02603-4")</f>
        <v>13027</v>
      </c>
      <c r="BL585" t="s" s="0">
        <v>81</v>
      </c>
      <c r="BM585" t="s" s="0">
        <v>578</v>
      </c>
      <c r="BN585" t="s" s="0">
        <v>134</v>
      </c>
      <c r="BO585" t="s" s="0">
        <v>409</v>
      </c>
      <c r="BP585" t="s" s="0">
        <v>152</v>
      </c>
      <c r="BQ585" t="s" s="0">
        <v>13028</v>
      </c>
      <c r="BR585" t="s" s="0">
        <v>81</v>
      </c>
      <c r="BS585" t="s" s="0">
        <v>13029</v>
      </c>
      <c r="BT585" t="s" s="1162">
        <f>HYPERLINK("https://www.webofscience.com/wos/woscc/full-record/WOS:001573812400001","View Record in Web of Science")</f>
        <v>114</v>
      </c>
      <c r="BU585" t="s" s="0">
        <v>81</v>
      </c>
      <c r="BV585" t="s" s="0">
        <v>81</v>
      </c>
      <c r="BW585" t="s" s="0">
        <v>81</v>
      </c>
      <c r="BX585" t="s" s="0">
        <v>116</v>
      </c>
    </row>
    <row r="586">
      <c r="A586" t="s" s="0">
        <v>77</v>
      </c>
      <c r="B586" t="s" s="0">
        <v>77</v>
      </c>
      <c r="C586" t="s" s="0">
        <v>77</v>
      </c>
      <c r="D586" t="s" s="0">
        <v>77</v>
      </c>
      <c r="E586" t="s" s="0">
        <v>13030</v>
      </c>
      <c r="F586" t="s" s="0">
        <v>13031</v>
      </c>
      <c r="G586" t="s" s="0">
        <v>13032</v>
      </c>
      <c r="H586" t="s" s="0">
        <v>81</v>
      </c>
      <c r="I586" t="s" s="0">
        <v>589</v>
      </c>
      <c r="J586" t="s" s="0">
        <v>13033</v>
      </c>
      <c r="K586" t="s" s="0">
        <v>13034</v>
      </c>
      <c r="L586" t="s" s="0">
        <v>81</v>
      </c>
      <c r="M586" t="s" s="0">
        <v>81</v>
      </c>
      <c r="N586" t="s" s="0">
        <v>81</v>
      </c>
      <c r="O586" t="s" s="0">
        <v>13035</v>
      </c>
      <c r="P586" t="s" s="0">
        <v>13036</v>
      </c>
      <c r="Q586" t="s" s="0">
        <v>87</v>
      </c>
      <c r="R586" t="s" s="0">
        <v>81</v>
      </c>
      <c r="S586" t="s" s="0">
        <v>81</v>
      </c>
      <c r="T586" t="s" s="0">
        <v>81</v>
      </c>
      <c r="U586" t="s" s="0">
        <v>81</v>
      </c>
      <c r="V586" t="s" s="0">
        <v>13037</v>
      </c>
      <c r="W586" t="s" s="0">
        <v>13038</v>
      </c>
      <c r="X586" t="s" s="0">
        <v>81</v>
      </c>
      <c r="Y586" t="s" s="0">
        <v>81</v>
      </c>
      <c r="Z586" t="s" s="0">
        <v>90</v>
      </c>
      <c r="AA586" t="s" s="0">
        <v>91</v>
      </c>
      <c r="AB586" t="s" s="0">
        <v>81</v>
      </c>
      <c r="AC586" t="s" s="0">
        <v>81</v>
      </c>
      <c r="AD586" t="s" s="0">
        <v>81</v>
      </c>
      <c r="AE586" t="s" s="0">
        <v>81</v>
      </c>
      <c r="AF586" t="s" s="0">
        <v>81</v>
      </c>
      <c r="AG586" t="s" s="0">
        <v>13039</v>
      </c>
      <c r="AH586" t="s" s="0">
        <v>81</v>
      </c>
      <c r="AI586" t="s" s="0">
        <v>81</v>
      </c>
      <c r="AJ586" t="s" s="0">
        <v>81</v>
      </c>
      <c r="AK586" t="s" s="0">
        <v>81</v>
      </c>
      <c r="AL586" t="s" s="0">
        <v>734</v>
      </c>
      <c r="AM586" t="s" s="0">
        <v>77</v>
      </c>
      <c r="AN586" t="s" s="0">
        <v>77</v>
      </c>
      <c r="AO586" t="s" s="0">
        <v>156</v>
      </c>
      <c r="AP586" t="s" s="0">
        <v>156</v>
      </c>
      <c r="AQ586" t="s" s="0">
        <v>9777</v>
      </c>
      <c r="AR586" t="s" s="0">
        <v>255</v>
      </c>
      <c r="AS586" t="s" s="0">
        <v>9778</v>
      </c>
      <c r="AT586" t="s" s="0">
        <v>13040</v>
      </c>
      <c r="AU586" t="s" s="0">
        <v>13041</v>
      </c>
      <c r="AV586" t="s" s="0">
        <v>81</v>
      </c>
      <c r="AW586" t="s" s="0">
        <v>13042</v>
      </c>
      <c r="AX586" t="s" s="0">
        <v>13043</v>
      </c>
      <c r="AY586" t="s" s="0">
        <v>13044</v>
      </c>
      <c r="AZ586" t="s" s="0">
        <v>290</v>
      </c>
      <c r="BA586" t="s" s="0">
        <v>664</v>
      </c>
      <c r="BB586" t="s" s="0">
        <v>175</v>
      </c>
      <c r="BC586" t="s" s="0">
        <v>81</v>
      </c>
      <c r="BD586" t="s" s="0">
        <v>81</v>
      </c>
      <c r="BE586" t="s" s="0">
        <v>81</v>
      </c>
      <c r="BF586" t="s" s="0">
        <v>81</v>
      </c>
      <c r="BG586" t="s" s="0">
        <v>13045</v>
      </c>
      <c r="BH586" t="s" s="0">
        <v>11938</v>
      </c>
      <c r="BI586" t="s" s="0">
        <v>81</v>
      </c>
      <c r="BJ586" t="s" s="0">
        <v>13046</v>
      </c>
      <c r="BK586" t="s" s="1163">
        <f>HYPERLINK("http://dx.doi.org/10.1017/S0892679426100343","http://dx.doi.org/10.1017/S0892679426100343")</f>
        <v>13047</v>
      </c>
      <c r="BL586" t="s" s="0">
        <v>81</v>
      </c>
      <c r="BM586" t="s" s="0">
        <v>81</v>
      </c>
      <c r="BN586" t="s" s="0">
        <v>434</v>
      </c>
      <c r="BO586" t="s" s="0">
        <v>13048</v>
      </c>
      <c r="BP586" t="s" s="0">
        <v>13049</v>
      </c>
      <c r="BQ586" t="s" s="0">
        <v>13050</v>
      </c>
      <c r="BR586" t="s" s="0">
        <v>81</v>
      </c>
      <c r="BS586" t="s" s="0">
        <v>13051</v>
      </c>
      <c r="BT586" t="s" s="1164">
        <f>HYPERLINK("https://www.webofscience.com/wos/woscc/full-record/WOS:001699106300009","View Record in Web of Science")</f>
        <v>114</v>
      </c>
      <c r="BU586" t="s" s="0">
        <v>1055</v>
      </c>
      <c r="BV586" t="s" s="0">
        <v>81</v>
      </c>
      <c r="BW586" t="s" s="0">
        <v>81</v>
      </c>
      <c r="BX586" t="s" s="0">
        <v>116</v>
      </c>
    </row>
    <row r="587">
      <c r="A587" t="s" s="0">
        <v>77</v>
      </c>
      <c r="B587" t="s" s="0">
        <v>77</v>
      </c>
      <c r="C587" t="s" s="0">
        <v>77</v>
      </c>
      <c r="D587" t="s" s="0">
        <v>77</v>
      </c>
      <c r="E587" t="s" s="0">
        <v>13052</v>
      </c>
      <c r="F587" t="s" s="0">
        <v>13053</v>
      </c>
      <c r="G587" t="s" s="0">
        <v>13054</v>
      </c>
      <c r="H587" t="s" s="0">
        <v>81</v>
      </c>
      <c r="I587" t="s" s="0">
        <v>82</v>
      </c>
      <c r="J587" t="s" s="0">
        <v>13055</v>
      </c>
      <c r="K587" t="s" s="0">
        <v>13056</v>
      </c>
      <c r="L587" t="s" s="0">
        <v>81</v>
      </c>
      <c r="M587" t="s" s="0">
        <v>81</v>
      </c>
      <c r="N587" t="s" s="0">
        <v>81</v>
      </c>
      <c r="O587" t="s" s="0">
        <v>13057</v>
      </c>
      <c r="P587" t="s" s="0">
        <v>13058</v>
      </c>
      <c r="Q587" t="s" s="0">
        <v>87</v>
      </c>
      <c r="R587" t="s" s="0">
        <v>81</v>
      </c>
      <c r="S587" t="s" s="0">
        <v>81</v>
      </c>
      <c r="T587" t="s" s="0">
        <v>81</v>
      </c>
      <c r="U587" t="s" s="0">
        <v>81</v>
      </c>
      <c r="V587" t="s" s="0">
        <v>13059</v>
      </c>
      <c r="W587" t="s" s="0">
        <v>13060</v>
      </c>
      <c r="X587" t="s" s="0">
        <v>81</v>
      </c>
      <c r="Y587" t="s" s="0">
        <v>81</v>
      </c>
      <c r="Z587" t="s" s="0">
        <v>90</v>
      </c>
      <c r="AA587" t="s" s="0">
        <v>1581</v>
      </c>
      <c r="AB587" t="s" s="0">
        <v>81</v>
      </c>
      <c r="AC587" t="s" s="0">
        <v>81</v>
      </c>
      <c r="AD587" t="s" s="0">
        <v>81</v>
      </c>
      <c r="AE587" t="s" s="0">
        <v>81</v>
      </c>
      <c r="AF587" t="s" s="0">
        <v>81</v>
      </c>
      <c r="AG587" t="s" s="0">
        <v>13061</v>
      </c>
      <c r="AH587" t="s" s="0">
        <v>81</v>
      </c>
      <c r="AI587" t="s" s="0">
        <v>13062</v>
      </c>
      <c r="AJ587" t="s" s="0">
        <v>81</v>
      </c>
      <c r="AK587" t="s" s="0">
        <v>81</v>
      </c>
      <c r="AL587" t="s" s="0">
        <v>210</v>
      </c>
      <c r="AM587" t="s" s="0">
        <v>77</v>
      </c>
      <c r="AN587" t="s" s="0">
        <v>77</v>
      </c>
      <c r="AO587" t="s" s="0">
        <v>77</v>
      </c>
      <c r="AP587" t="s" s="0">
        <v>77</v>
      </c>
      <c r="AQ587" t="s" s="0">
        <v>212</v>
      </c>
      <c r="AR587" t="s" s="0">
        <v>429</v>
      </c>
      <c r="AS587" t="s" s="0">
        <v>784</v>
      </c>
      <c r="AT587" t="s" s="0">
        <v>13063</v>
      </c>
      <c r="AU587" t="s" s="0">
        <v>13064</v>
      </c>
      <c r="AV587" t="s" s="0">
        <v>81</v>
      </c>
      <c r="AW587" t="s" s="0">
        <v>13065</v>
      </c>
      <c r="AX587" t="s" s="0">
        <v>13066</v>
      </c>
      <c r="AY587" t="s" s="0">
        <v>81</v>
      </c>
      <c r="AZ587" t="s" s="0">
        <v>103</v>
      </c>
      <c r="BA587" t="s" s="0">
        <v>81</v>
      </c>
      <c r="BB587" t="s" s="0">
        <v>81</v>
      </c>
      <c r="BC587" t="s" s="0">
        <v>81</v>
      </c>
      <c r="BD587" t="s" s="0">
        <v>81</v>
      </c>
      <c r="BE587" t="s" s="0">
        <v>81</v>
      </c>
      <c r="BF587" t="s" s="0">
        <v>81</v>
      </c>
      <c r="BG587" t="s" s="0">
        <v>81</v>
      </c>
      <c r="BH587" t="s" s="0">
        <v>81</v>
      </c>
      <c r="BI587" t="s" s="0">
        <v>81</v>
      </c>
      <c r="BJ587" t="s" s="0">
        <v>13067</v>
      </c>
      <c r="BK587" t="s" s="1165">
        <f>HYPERLINK("http://dx.doi.org/10.1007/s00330-026-12666-6","http://dx.doi.org/10.1007/s00330-026-12666-6")</f>
        <v>13068</v>
      </c>
      <c r="BL587" t="s" s="0">
        <v>81</v>
      </c>
      <c r="BM587" t="s" s="0">
        <v>675</v>
      </c>
      <c r="BN587" t="s" s="0">
        <v>134</v>
      </c>
      <c r="BO587" t="s" s="0">
        <v>738</v>
      </c>
      <c r="BP587" t="s" s="0">
        <v>738</v>
      </c>
      <c r="BQ587" t="s" s="0">
        <v>13069</v>
      </c>
      <c r="BR587" t="s" s="0">
        <v>13070</v>
      </c>
      <c r="BS587" t="s" s="0">
        <v>13071</v>
      </c>
      <c r="BT587" t="s" s="1166">
        <f>HYPERLINK("https://www.webofscience.com/wos/woscc/full-record/WOS:001779977400001","View Record in Web of Science")</f>
        <v>114</v>
      </c>
      <c r="BU587" t="s" s="0">
        <v>81</v>
      </c>
      <c r="BV587" t="s" s="0">
        <v>81</v>
      </c>
      <c r="BW587" t="s" s="0">
        <v>81</v>
      </c>
      <c r="BX587" t="s" s="0">
        <v>116</v>
      </c>
    </row>
    <row r="588">
      <c r="A588" t="s" s="0">
        <v>77</v>
      </c>
      <c r="B588" t="s" s="0">
        <v>77</v>
      </c>
      <c r="C588" t="s" s="0">
        <v>77</v>
      </c>
      <c r="D588" t="s" s="0">
        <v>77</v>
      </c>
      <c r="E588" t="s" s="0">
        <v>13072</v>
      </c>
      <c r="F588" t="s" s="0">
        <v>13073</v>
      </c>
      <c r="G588" t="s" s="0">
        <v>13074</v>
      </c>
      <c r="H588" t="s" s="0">
        <v>81</v>
      </c>
      <c r="I588" t="s" s="0">
        <v>238</v>
      </c>
      <c r="J588" t="s" s="0">
        <v>13075</v>
      </c>
      <c r="K588" t="s" s="0">
        <v>13076</v>
      </c>
      <c r="L588" t="s" s="0">
        <v>81</v>
      </c>
      <c r="M588" t="s" s="0">
        <v>81</v>
      </c>
      <c r="N588" t="s" s="0">
        <v>81</v>
      </c>
      <c r="O588" t="s" s="0">
        <v>13077</v>
      </c>
      <c r="P588" t="s" s="0">
        <v>13078</v>
      </c>
      <c r="Q588" t="s" s="0">
        <v>87</v>
      </c>
      <c r="R588" t="s" s="0">
        <v>81</v>
      </c>
      <c r="S588" t="s" s="0">
        <v>81</v>
      </c>
      <c r="T588" t="s" s="0">
        <v>81</v>
      </c>
      <c r="U588" t="s" s="0">
        <v>81</v>
      </c>
      <c r="V588" t="s" s="0">
        <v>13079</v>
      </c>
      <c r="W588" t="s" s="0">
        <v>5713</v>
      </c>
      <c r="X588" t="s" s="0">
        <v>81</v>
      </c>
      <c r="Y588" t="s" s="0">
        <v>81</v>
      </c>
      <c r="Z588" t="s" s="0">
        <v>90</v>
      </c>
      <c r="AA588" t="s" s="0">
        <v>91</v>
      </c>
      <c r="AB588" t="s" s="0">
        <v>81</v>
      </c>
      <c r="AC588" t="s" s="0">
        <v>81</v>
      </c>
      <c r="AD588" t="s" s="0">
        <v>81</v>
      </c>
      <c r="AE588" t="s" s="0">
        <v>81</v>
      </c>
      <c r="AF588" t="s" s="0">
        <v>81</v>
      </c>
      <c r="AG588" t="s" s="0">
        <v>13080</v>
      </c>
      <c r="AH588" t="s" s="0">
        <v>81</v>
      </c>
      <c r="AI588" t="s" s="0">
        <v>13081</v>
      </c>
      <c r="AJ588" t="s" s="0">
        <v>81</v>
      </c>
      <c r="AK588" t="s" s="0">
        <v>81</v>
      </c>
      <c r="AL588" t="s" s="0">
        <v>508</v>
      </c>
      <c r="AM588" t="s" s="0">
        <v>77</v>
      </c>
      <c r="AN588" t="s" s="0">
        <v>77</v>
      </c>
      <c r="AO588" t="s" s="0">
        <v>77</v>
      </c>
      <c r="AP588" t="s" s="0">
        <v>77</v>
      </c>
      <c r="AQ588" t="s" s="0">
        <v>284</v>
      </c>
      <c r="AR588" t="s" s="0">
        <v>285</v>
      </c>
      <c r="AS588" t="s" s="0">
        <v>286</v>
      </c>
      <c r="AT588" t="s" s="0">
        <v>81</v>
      </c>
      <c r="AU588" t="s" s="0">
        <v>5717</v>
      </c>
      <c r="AV588" t="s" s="0">
        <v>81</v>
      </c>
      <c r="AW588" t="s" s="0">
        <v>5713</v>
      </c>
      <c r="AX588" t="s" s="0">
        <v>5718</v>
      </c>
      <c r="AY588" t="s" s="0">
        <v>13082</v>
      </c>
      <c r="AZ588" t="s" s="0">
        <v>103</v>
      </c>
      <c r="BA588" t="s" s="0">
        <v>222</v>
      </c>
      <c r="BB588" t="s" s="0">
        <v>133</v>
      </c>
      <c r="BC588" t="s" s="0">
        <v>81</v>
      </c>
      <c r="BD588" t="s" s="0">
        <v>81</v>
      </c>
      <c r="BE588" t="s" s="0">
        <v>81</v>
      </c>
      <c r="BF588" t="s" s="0">
        <v>81</v>
      </c>
      <c r="BG588" t="s" s="0">
        <v>81</v>
      </c>
      <c r="BH588" t="s" s="0">
        <v>81</v>
      </c>
      <c r="BI588" t="s" s="0">
        <v>13083</v>
      </c>
      <c r="BJ588" t="s" s="0">
        <v>13084</v>
      </c>
      <c r="BK588" t="s" s="1167">
        <f>HYPERLINK("http://dx.doi.org/10.3390/info17050442","http://dx.doi.org/10.3390/info17050442")</f>
        <v>13085</v>
      </c>
      <c r="BL588" t="s" s="0">
        <v>81</v>
      </c>
      <c r="BM588" t="s" s="0">
        <v>675</v>
      </c>
      <c r="BN588" t="s" s="0">
        <v>367</v>
      </c>
      <c r="BO588" t="s" s="0">
        <v>5722</v>
      </c>
      <c r="BP588" t="s" s="0">
        <v>152</v>
      </c>
      <c r="BQ588" t="s" s="0">
        <v>13086</v>
      </c>
      <c r="BR588" t="s" s="0">
        <v>81</v>
      </c>
      <c r="BS588" t="s" s="0">
        <v>13087</v>
      </c>
      <c r="BT588" t="s" s="1168">
        <f>HYPERLINK("https://www.webofscience.com/wos/woscc/full-record/WOS:001774708000001","View Record in Web of Science")</f>
        <v>114</v>
      </c>
      <c r="BU588" t="s" s="0">
        <v>301</v>
      </c>
      <c r="BV588" t="s" s="0">
        <v>81</v>
      </c>
      <c r="BW588" t="s" s="0">
        <v>81</v>
      </c>
      <c r="BX588" t="s" s="0">
        <v>116</v>
      </c>
    </row>
    <row r="589">
      <c r="A589" t="s" s="0">
        <v>77</v>
      </c>
      <c r="B589" t="s" s="0">
        <v>77</v>
      </c>
      <c r="C589" t="s" s="0">
        <v>175</v>
      </c>
      <c r="D589" t="s" s="0">
        <v>77</v>
      </c>
      <c r="E589" t="s" s="0">
        <v>13088</v>
      </c>
      <c r="F589" t="s" s="0">
        <v>13089</v>
      </c>
      <c r="G589" t="s" s="0">
        <v>13090</v>
      </c>
      <c r="H589" t="s" s="0">
        <v>81</v>
      </c>
      <c r="I589" t="s" s="0">
        <v>238</v>
      </c>
      <c r="J589" t="s" s="0">
        <v>13091</v>
      </c>
      <c r="K589" t="s" s="0">
        <v>13092</v>
      </c>
      <c r="L589" t="s" s="0">
        <v>13093</v>
      </c>
      <c r="M589" t="s" s="0">
        <v>13094</v>
      </c>
      <c r="N589" t="s" s="0">
        <v>13095</v>
      </c>
      <c r="O589" t="s" s="0">
        <v>13096</v>
      </c>
      <c r="P589" t="s" s="0">
        <v>13097</v>
      </c>
      <c r="Q589" t="s" s="0">
        <v>87</v>
      </c>
      <c r="R589" t="s" s="0">
        <v>81</v>
      </c>
      <c r="S589" t="s" s="0">
        <v>81</v>
      </c>
      <c r="T589" t="s" s="0">
        <v>81</v>
      </c>
      <c r="U589" t="s" s="0">
        <v>81</v>
      </c>
      <c r="V589" t="s" s="0">
        <v>13098</v>
      </c>
      <c r="W589" t="s" s="0">
        <v>13099</v>
      </c>
      <c r="X589" t="s" s="0">
        <v>81</v>
      </c>
      <c r="Y589" t="s" s="0">
        <v>81</v>
      </c>
      <c r="Z589" t="s" s="0">
        <v>90</v>
      </c>
      <c r="AA589" t="s" s="0">
        <v>91</v>
      </c>
      <c r="AB589" t="s" s="0">
        <v>81</v>
      </c>
      <c r="AC589" t="s" s="0">
        <v>81</v>
      </c>
      <c r="AD589" t="s" s="0">
        <v>81</v>
      </c>
      <c r="AE589" t="s" s="0">
        <v>81</v>
      </c>
      <c r="AF589" t="s" s="0">
        <v>81</v>
      </c>
      <c r="AG589" t="s" s="0">
        <v>13100</v>
      </c>
      <c r="AH589" t="s" s="0">
        <v>81</v>
      </c>
      <c r="AI589" t="s" s="0">
        <v>81</v>
      </c>
      <c r="AJ589" t="s" s="0">
        <v>13101</v>
      </c>
      <c r="AK589" t="s" s="0">
        <v>81</v>
      </c>
      <c r="AL589" t="s" s="0">
        <v>367</v>
      </c>
      <c r="AM589" t="s" s="0">
        <v>485</v>
      </c>
      <c r="AN589" t="s" s="0">
        <v>671</v>
      </c>
      <c r="AO589" t="s" s="0">
        <v>196</v>
      </c>
      <c r="AP589" t="s" s="0">
        <v>343</v>
      </c>
      <c r="AQ589" t="s" s="0">
        <v>1809</v>
      </c>
      <c r="AR589" t="s" s="0">
        <v>1810</v>
      </c>
      <c r="AS589" t="s" s="0">
        <v>1811</v>
      </c>
      <c r="AT589" t="s" s="0">
        <v>13102</v>
      </c>
      <c r="AU589" t="s" s="0">
        <v>81</v>
      </c>
      <c r="AV589" t="s" s="0">
        <v>81</v>
      </c>
      <c r="AW589" t="s" s="0">
        <v>13103</v>
      </c>
      <c r="AX589" t="s" s="0">
        <v>13104</v>
      </c>
      <c r="AY589" t="s" s="0">
        <v>578</v>
      </c>
      <c r="AZ589" t="s" s="0">
        <v>290</v>
      </c>
      <c r="BA589" t="s" s="0">
        <v>485</v>
      </c>
      <c r="BB589" t="s" s="0">
        <v>133</v>
      </c>
      <c r="BC589" t="s" s="0">
        <v>81</v>
      </c>
      <c r="BD589" t="s" s="0">
        <v>81</v>
      </c>
      <c r="BE589" t="s" s="0">
        <v>81</v>
      </c>
      <c r="BF589" t="s" s="0">
        <v>81</v>
      </c>
      <c r="BG589" t="s" s="0">
        <v>13105</v>
      </c>
      <c r="BH589" t="s" s="0">
        <v>13106</v>
      </c>
      <c r="BI589" t="s" s="0">
        <v>81</v>
      </c>
      <c r="BJ589" t="s" s="0">
        <v>13107</v>
      </c>
      <c r="BK589" t="s" s="1169">
        <f>HYPERLINK("http://dx.doi.org/10.1177/19322968241253568","http://dx.doi.org/10.1177/19322968241253568")</f>
        <v>13108</v>
      </c>
      <c r="BL589" t="s" s="0">
        <v>81</v>
      </c>
      <c r="BM589" t="s" s="0">
        <v>320</v>
      </c>
      <c r="BN589" t="s" s="0">
        <v>234</v>
      </c>
      <c r="BO589" t="s" s="0">
        <v>6302</v>
      </c>
      <c r="BP589" t="s" s="0">
        <v>6302</v>
      </c>
      <c r="BQ589" t="s" s="0">
        <v>13109</v>
      </c>
      <c r="BR589" t="s" s="0">
        <v>13110</v>
      </c>
      <c r="BS589" t="s" s="0">
        <v>13111</v>
      </c>
      <c r="BT589" t="s" s="1170">
        <f>HYPERLINK("https://www.webofscience.com/wos/woscc/full-record/WOS:001228135600001","View Record in Web of Science")</f>
        <v>114</v>
      </c>
      <c r="BU589" t="s" s="0">
        <v>233</v>
      </c>
      <c r="BV589" t="s" s="0">
        <v>81</v>
      </c>
      <c r="BW589" t="s" s="0">
        <v>81</v>
      </c>
      <c r="BX589" t="s" s="0">
        <v>116</v>
      </c>
    </row>
    <row r="590">
      <c r="A590" t="s" s="0">
        <v>77</v>
      </c>
      <c r="B590" t="s" s="0">
        <v>77</v>
      </c>
      <c r="C590" t="s" s="0">
        <v>77</v>
      </c>
      <c r="D590" t="s" s="0">
        <v>77</v>
      </c>
      <c r="E590" t="s" s="0">
        <v>13112</v>
      </c>
      <c r="F590" t="s" s="0">
        <v>13113</v>
      </c>
      <c r="G590" t="s" s="0">
        <v>13114</v>
      </c>
      <c r="H590" t="s" s="0">
        <v>81</v>
      </c>
      <c r="I590" t="s" s="0">
        <v>82</v>
      </c>
      <c r="J590" t="s" s="0">
        <v>13115</v>
      </c>
      <c r="K590" t="s" s="0">
        <v>13116</v>
      </c>
      <c r="L590" t="s" s="0">
        <v>13117</v>
      </c>
      <c r="M590" t="s" s="0">
        <v>13118</v>
      </c>
      <c r="N590" t="s" s="0">
        <v>13119</v>
      </c>
      <c r="O590" t="s" s="0">
        <v>13120</v>
      </c>
      <c r="P590" t="s" s="0">
        <v>13121</v>
      </c>
      <c r="Q590" t="s" s="0">
        <v>87</v>
      </c>
      <c r="R590" t="s" s="0">
        <v>81</v>
      </c>
      <c r="S590" t="s" s="0">
        <v>81</v>
      </c>
      <c r="T590" t="s" s="0">
        <v>81</v>
      </c>
      <c r="U590" t="s" s="0">
        <v>81</v>
      </c>
      <c r="V590" t="s" s="0">
        <v>13122</v>
      </c>
      <c r="W590" t="s" s="0">
        <v>1602</v>
      </c>
      <c r="X590" t="s" s="0">
        <v>81</v>
      </c>
      <c r="Y590" t="s" s="0">
        <v>81</v>
      </c>
      <c r="Z590" t="s" s="0">
        <v>90</v>
      </c>
      <c r="AA590" t="s" s="0">
        <v>91</v>
      </c>
      <c r="AB590" t="s" s="0">
        <v>81</v>
      </c>
      <c r="AC590" t="s" s="0">
        <v>81</v>
      </c>
      <c r="AD590" t="s" s="0">
        <v>81</v>
      </c>
      <c r="AE590" t="s" s="0">
        <v>81</v>
      </c>
      <c r="AF590" t="s" s="0">
        <v>81</v>
      </c>
      <c r="AG590" t="s" s="0">
        <v>13123</v>
      </c>
      <c r="AH590" t="s" s="0">
        <v>13124</v>
      </c>
      <c r="AI590" t="s" s="0">
        <v>13125</v>
      </c>
      <c r="AJ590" t="s" s="0">
        <v>13126</v>
      </c>
      <c r="AK590" t="s" s="0">
        <v>81</v>
      </c>
      <c r="AL590" t="s" s="0">
        <v>344</v>
      </c>
      <c r="AM590" t="s" s="0">
        <v>156</v>
      </c>
      <c r="AN590" t="s" s="0">
        <v>156</v>
      </c>
      <c r="AO590" t="s" s="0">
        <v>134</v>
      </c>
      <c r="AP590" t="s" s="0">
        <v>135</v>
      </c>
      <c r="AQ590" t="s" s="0">
        <v>1608</v>
      </c>
      <c r="AR590" t="s" s="0">
        <v>1609</v>
      </c>
      <c r="AS590" t="s" s="0">
        <v>1610</v>
      </c>
      <c r="AT590" t="s" s="0">
        <v>1611</v>
      </c>
      <c r="AU590" t="s" s="0">
        <v>1612</v>
      </c>
      <c r="AV590" t="s" s="0">
        <v>81</v>
      </c>
      <c r="AW590" t="s" s="0">
        <v>1613</v>
      </c>
      <c r="AX590" t="s" s="0">
        <v>1614</v>
      </c>
      <c r="AY590" t="s" s="0">
        <v>1743</v>
      </c>
      <c r="AZ590" t="s" s="0">
        <v>290</v>
      </c>
      <c r="BA590" t="s" s="0">
        <v>12652</v>
      </c>
      <c r="BB590" t="s" s="0">
        <v>81</v>
      </c>
      <c r="BC590" t="s" s="0">
        <v>81</v>
      </c>
      <c r="BD590" t="s" s="0">
        <v>81</v>
      </c>
      <c r="BE590" t="s" s="0">
        <v>81</v>
      </c>
      <c r="BF590" t="s" s="0">
        <v>81</v>
      </c>
      <c r="BG590" t="s" s="0">
        <v>81</v>
      </c>
      <c r="BH590" t="s" s="0">
        <v>81</v>
      </c>
      <c r="BI590" t="s" s="0">
        <v>13127</v>
      </c>
      <c r="BJ590" t="s" s="0">
        <v>13128</v>
      </c>
      <c r="BK590" t="s" s="1171">
        <f>HYPERLINK("http://dx.doi.org/10.1016/j.ijmedinf.2025.106005","http://dx.doi.org/10.1016/j.ijmedinf.2025.106005")</f>
        <v>13129</v>
      </c>
      <c r="BL590" t="s" s="0">
        <v>81</v>
      </c>
      <c r="BM590" t="s" s="0">
        <v>552</v>
      </c>
      <c r="BN590" t="s" s="0">
        <v>486</v>
      </c>
      <c r="BO590" t="s" s="0">
        <v>1619</v>
      </c>
      <c r="BP590" t="s" s="0">
        <v>1620</v>
      </c>
      <c r="BQ590" t="s" s="0">
        <v>13130</v>
      </c>
      <c r="BR590" t="s" s="0">
        <v>13131</v>
      </c>
      <c r="BS590" t="s" s="0">
        <v>13132</v>
      </c>
      <c r="BT590" t="s" s="1172">
        <f>HYPERLINK("https://www.webofscience.com/wos/woscc/full-record/WOS:001508626400001","View Record in Web of Science")</f>
        <v>114</v>
      </c>
      <c r="BU590" t="s" s="0">
        <v>1055</v>
      </c>
      <c r="BV590" t="s" s="0">
        <v>81</v>
      </c>
      <c r="BW590" t="s" s="0">
        <v>81</v>
      </c>
      <c r="BX590" t="s" s="0">
        <v>116</v>
      </c>
    </row>
    <row r="591">
      <c r="A591" t="s" s="0">
        <v>77</v>
      </c>
      <c r="B591" t="s" s="0">
        <v>77</v>
      </c>
      <c r="C591" t="s" s="0">
        <v>77</v>
      </c>
      <c r="D591" t="s" s="0">
        <v>77</v>
      </c>
      <c r="E591" t="s" s="0">
        <v>13133</v>
      </c>
      <c r="F591" t="s" s="0">
        <v>13134</v>
      </c>
      <c r="G591" t="s" s="0">
        <v>13135</v>
      </c>
      <c r="H591" t="s" s="0">
        <v>81</v>
      </c>
      <c r="I591" t="s" s="0">
        <v>528</v>
      </c>
      <c r="J591" t="s" s="0">
        <v>13136</v>
      </c>
      <c r="K591" t="s" s="0">
        <v>13137</v>
      </c>
      <c r="L591" t="s" s="0">
        <v>13138</v>
      </c>
      <c r="M591" t="s" s="0">
        <v>8781</v>
      </c>
      <c r="N591" t="s" s="0">
        <v>13139</v>
      </c>
      <c r="O591" t="s" s="0">
        <v>13140</v>
      </c>
      <c r="P591" t="s" s="0">
        <v>8784</v>
      </c>
      <c r="Q591" t="s" s="0">
        <v>87</v>
      </c>
      <c r="R591" t="s" s="0">
        <v>81</v>
      </c>
      <c r="S591" t="s" s="0">
        <v>81</v>
      </c>
      <c r="T591" t="s" s="0">
        <v>81</v>
      </c>
      <c r="U591" t="s" s="0">
        <v>81</v>
      </c>
      <c r="V591" t="s" s="0">
        <v>13141</v>
      </c>
      <c r="W591" t="s" s="0">
        <v>4472</v>
      </c>
      <c r="X591" t="s" s="0">
        <v>81</v>
      </c>
      <c r="Y591" t="s" s="0">
        <v>81</v>
      </c>
      <c r="Z591" t="s" s="0">
        <v>90</v>
      </c>
      <c r="AA591" t="s" s="0">
        <v>91</v>
      </c>
      <c r="AB591" t="s" s="0">
        <v>81</v>
      </c>
      <c r="AC591" t="s" s="0">
        <v>81</v>
      </c>
      <c r="AD591" t="s" s="0">
        <v>81</v>
      </c>
      <c r="AE591" t="s" s="0">
        <v>81</v>
      </c>
      <c r="AF591" t="s" s="0">
        <v>81</v>
      </c>
      <c r="AG591" t="s" s="0">
        <v>13142</v>
      </c>
      <c r="AH591" t="s" s="0">
        <v>81</v>
      </c>
      <c r="AI591" t="s" s="0">
        <v>13143</v>
      </c>
      <c r="AJ591" t="s" s="0">
        <v>81</v>
      </c>
      <c r="AK591" t="s" s="0">
        <v>81</v>
      </c>
      <c r="AL591" t="s" s="0">
        <v>324</v>
      </c>
      <c r="AM591" t="s" s="0">
        <v>77</v>
      </c>
      <c r="AN591" t="s" s="0">
        <v>77</v>
      </c>
      <c r="AO591" t="s" s="0">
        <v>77</v>
      </c>
      <c r="AP591" t="s" s="0">
        <v>77</v>
      </c>
      <c r="AQ591" t="s" s="0">
        <v>284</v>
      </c>
      <c r="AR591" t="s" s="0">
        <v>285</v>
      </c>
      <c r="AS591" t="s" s="0">
        <v>286</v>
      </c>
      <c r="AT591" t="s" s="0">
        <v>81</v>
      </c>
      <c r="AU591" t="s" s="0">
        <v>4476</v>
      </c>
      <c r="AV591" t="s" s="0">
        <v>81</v>
      </c>
      <c r="AW591" t="s" s="0">
        <v>4477</v>
      </c>
      <c r="AX591" t="s" s="0">
        <v>4478</v>
      </c>
      <c r="AY591" t="s" s="0">
        <v>13144</v>
      </c>
      <c r="AZ591" t="s" s="0">
        <v>103</v>
      </c>
      <c r="BA591" t="s" s="0">
        <v>104</v>
      </c>
      <c r="BB591" t="s" s="0">
        <v>316</v>
      </c>
      <c r="BC591" t="s" s="0">
        <v>81</v>
      </c>
      <c r="BD591" t="s" s="0">
        <v>81</v>
      </c>
      <c r="BE591" t="s" s="0">
        <v>81</v>
      </c>
      <c r="BF591" t="s" s="0">
        <v>81</v>
      </c>
      <c r="BG591" t="s" s="0">
        <v>81</v>
      </c>
      <c r="BH591" t="s" s="0">
        <v>81</v>
      </c>
      <c r="BI591" t="s" s="0">
        <v>11340</v>
      </c>
      <c r="BJ591" t="s" s="0">
        <v>13145</v>
      </c>
      <c r="BK591" t="s" s="1173">
        <f>HYPERLINK("http://dx.doi.org/10.3390/healthcare14060701","http://dx.doi.org/10.3390/healthcare14060701")</f>
        <v>13146</v>
      </c>
      <c r="BL591" t="s" s="0">
        <v>81</v>
      </c>
      <c r="BM591" t="s" s="0">
        <v>81</v>
      </c>
      <c r="BN591" t="s" s="0">
        <v>191</v>
      </c>
      <c r="BO591" t="s" s="0">
        <v>4481</v>
      </c>
      <c r="BP591" t="s" s="0">
        <v>4482</v>
      </c>
      <c r="BQ591" t="s" s="0">
        <v>13147</v>
      </c>
      <c r="BR591" t="s" s="0">
        <v>13148</v>
      </c>
      <c r="BS591" t="s" s="0">
        <v>13149</v>
      </c>
      <c r="BT591" t="s" s="1174">
        <f>HYPERLINK("https://www.webofscience.com/wos/woscc/full-record/WOS:001725481600001","View Record in Web of Science")</f>
        <v>114</v>
      </c>
      <c r="BU591" t="s" s="0">
        <v>301</v>
      </c>
      <c r="BV591" t="s" s="0">
        <v>81</v>
      </c>
      <c r="BW591" t="s" s="0">
        <v>81</v>
      </c>
      <c r="BX591" t="s" s="0">
        <v>116</v>
      </c>
    </row>
    <row r="592">
      <c r="A592" t="s" s="0">
        <v>77</v>
      </c>
      <c r="B592" t="s" s="0">
        <v>77</v>
      </c>
      <c r="C592" t="s" s="0">
        <v>196</v>
      </c>
      <c r="D592" t="s" s="0">
        <v>77</v>
      </c>
      <c r="E592" t="s" s="0">
        <v>13150</v>
      </c>
      <c r="F592" t="s" s="0">
        <v>13151</v>
      </c>
      <c r="G592" t="s" s="0">
        <v>13152</v>
      </c>
      <c r="H592" t="s" s="0">
        <v>81</v>
      </c>
      <c r="I592" t="s" s="0">
        <v>82</v>
      </c>
      <c r="J592" t="s" s="0">
        <v>13153</v>
      </c>
      <c r="K592" t="s" s="0">
        <v>13154</v>
      </c>
      <c r="L592" t="s" s="0">
        <v>81</v>
      </c>
      <c r="M592" t="s" s="0">
        <v>81</v>
      </c>
      <c r="N592" t="s" s="0">
        <v>81</v>
      </c>
      <c r="O592" t="s" s="0">
        <v>13155</v>
      </c>
      <c r="P592" t="s" s="0">
        <v>13156</v>
      </c>
      <c r="Q592" t="s" s="0">
        <v>87</v>
      </c>
      <c r="R592" t="s" s="0">
        <v>81</v>
      </c>
      <c r="S592" t="s" s="0">
        <v>81</v>
      </c>
      <c r="T592" t="s" s="0">
        <v>81</v>
      </c>
      <c r="U592" t="s" s="0">
        <v>81</v>
      </c>
      <c r="V592" t="s" s="0">
        <v>13157</v>
      </c>
      <c r="W592" t="s" s="0">
        <v>1313</v>
      </c>
      <c r="X592" t="s" s="0">
        <v>81</v>
      </c>
      <c r="Y592" t="s" s="0">
        <v>81</v>
      </c>
      <c r="Z592" t="s" s="0">
        <v>90</v>
      </c>
      <c r="AA592" t="s" s="0">
        <v>91</v>
      </c>
      <c r="AB592" t="s" s="0">
        <v>81</v>
      </c>
      <c r="AC592" t="s" s="0">
        <v>81</v>
      </c>
      <c r="AD592" t="s" s="0">
        <v>81</v>
      </c>
      <c r="AE592" t="s" s="0">
        <v>81</v>
      </c>
      <c r="AF592" t="s" s="0">
        <v>81</v>
      </c>
      <c r="AG592" t="s" s="0">
        <v>81</v>
      </c>
      <c r="AH592" t="s" s="0">
        <v>13158</v>
      </c>
      <c r="AI592" t="s" s="0">
        <v>13159</v>
      </c>
      <c r="AJ592" t="s" s="0">
        <v>13160</v>
      </c>
      <c r="AK592" t="s" s="0">
        <v>81</v>
      </c>
      <c r="AL592" t="s" s="0">
        <v>1561</v>
      </c>
      <c r="AM592" t="s" s="0">
        <v>381</v>
      </c>
      <c r="AN592" t="s" s="0">
        <v>381</v>
      </c>
      <c r="AO592" t="s" s="0">
        <v>77</v>
      </c>
      <c r="AP592" t="s" s="0">
        <v>196</v>
      </c>
      <c r="AQ592" t="s" s="0">
        <v>1317</v>
      </c>
      <c r="AR592" t="s" s="0">
        <v>1318</v>
      </c>
      <c r="AS592" t="s" s="0">
        <v>1319</v>
      </c>
      <c r="AT592" t="s" s="0">
        <v>81</v>
      </c>
      <c r="AU592" t="s" s="0">
        <v>1320</v>
      </c>
      <c r="AV592" t="s" s="0">
        <v>81</v>
      </c>
      <c r="AW592" t="s" s="0">
        <v>1313</v>
      </c>
      <c r="AX592" t="s" s="0">
        <v>1321</v>
      </c>
      <c r="AY592" t="s" s="0">
        <v>13161</v>
      </c>
      <c r="AZ592" t="s" s="0">
        <v>185</v>
      </c>
      <c r="BA592" t="s" s="0">
        <v>485</v>
      </c>
      <c r="BB592" t="s" s="0">
        <v>134</v>
      </c>
      <c r="BC592" t="s" s="0">
        <v>81</v>
      </c>
      <c r="BD592" t="s" s="0">
        <v>81</v>
      </c>
      <c r="BE592" t="s" s="0">
        <v>81</v>
      </c>
      <c r="BF592" t="s" s="0">
        <v>81</v>
      </c>
      <c r="BG592" t="s" s="0">
        <v>81</v>
      </c>
      <c r="BH592" t="s" s="0">
        <v>81</v>
      </c>
      <c r="BI592" t="s" s="0">
        <v>13162</v>
      </c>
      <c r="BJ592" t="s" s="0">
        <v>13163</v>
      </c>
      <c r="BK592" t="s" s="1175">
        <f>HYPERLINK("http://dx.doi.org/10.1371/journal.pone.0308015","http://dx.doi.org/10.1371/journal.pone.0308015")</f>
        <v>13164</v>
      </c>
      <c r="BL592" t="s" s="0">
        <v>81</v>
      </c>
      <c r="BM592" t="s" s="0">
        <v>81</v>
      </c>
      <c r="BN592" t="s" s="0">
        <v>1912</v>
      </c>
      <c r="BO592" t="s" s="0">
        <v>926</v>
      </c>
      <c r="BP592" t="s" s="0">
        <v>927</v>
      </c>
      <c r="BQ592" t="s" s="0">
        <v>13165</v>
      </c>
      <c r="BR592" t="s" s="0">
        <v>13166</v>
      </c>
      <c r="BS592" t="s" s="0">
        <v>13167</v>
      </c>
      <c r="BT592" t="s" s="1176">
        <f>HYPERLINK("https://www.webofscience.com/wos/woscc/full-record/WOS:001371910800012","View Record in Web of Science")</f>
        <v>114</v>
      </c>
      <c r="BU592" t="s" s="0">
        <v>301</v>
      </c>
      <c r="BV592" t="s" s="0">
        <v>81</v>
      </c>
      <c r="BW592" t="s" s="0">
        <v>81</v>
      </c>
      <c r="BX592" t="s" s="0">
        <v>116</v>
      </c>
    </row>
    <row r="593">
      <c r="A593" t="s" s="0">
        <v>77</v>
      </c>
      <c r="B593" t="s" s="0">
        <v>77</v>
      </c>
      <c r="C593" t="s" s="0">
        <v>77</v>
      </c>
      <c r="D593" t="s" s="0">
        <v>77</v>
      </c>
      <c r="E593" t="s" s="0">
        <v>13168</v>
      </c>
      <c r="F593" t="s" s="0">
        <v>13169</v>
      </c>
      <c r="G593" t="s" s="0">
        <v>13170</v>
      </c>
      <c r="H593" t="s" s="0">
        <v>81</v>
      </c>
      <c r="I593" t="s" s="0">
        <v>238</v>
      </c>
      <c r="J593" t="s" s="0">
        <v>13171</v>
      </c>
      <c r="K593" t="s" s="0">
        <v>13172</v>
      </c>
      <c r="L593" t="s" s="0">
        <v>81</v>
      </c>
      <c r="M593" t="s" s="0">
        <v>81</v>
      </c>
      <c r="N593" t="s" s="0">
        <v>81</v>
      </c>
      <c r="O593" t="s" s="0">
        <v>13173</v>
      </c>
      <c r="P593" t="s" s="0">
        <v>13174</v>
      </c>
      <c r="Q593" t="s" s="0">
        <v>87</v>
      </c>
      <c r="R593" t="s" s="0">
        <v>81</v>
      </c>
      <c r="S593" t="s" s="0">
        <v>81</v>
      </c>
      <c r="T593" t="s" s="0">
        <v>81</v>
      </c>
      <c r="U593" t="s" s="0">
        <v>81</v>
      </c>
      <c r="V593" t="s" s="0">
        <v>13175</v>
      </c>
      <c r="W593" t="s" s="0">
        <v>10205</v>
      </c>
      <c r="X593" t="s" s="0">
        <v>81</v>
      </c>
      <c r="Y593" t="s" s="0">
        <v>81</v>
      </c>
      <c r="Z593" t="s" s="0">
        <v>90</v>
      </c>
      <c r="AA593" t="s" s="0">
        <v>91</v>
      </c>
      <c r="AB593" t="s" s="0">
        <v>81</v>
      </c>
      <c r="AC593" t="s" s="0">
        <v>81</v>
      </c>
      <c r="AD593" t="s" s="0">
        <v>81</v>
      </c>
      <c r="AE593" t="s" s="0">
        <v>81</v>
      </c>
      <c r="AF593" t="s" s="0">
        <v>81</v>
      </c>
      <c r="AG593" t="s" s="0">
        <v>13176</v>
      </c>
      <c r="AH593" t="s" s="0">
        <v>81</v>
      </c>
      <c r="AI593" t="s" s="0">
        <v>81</v>
      </c>
      <c r="AJ593" t="s" s="0">
        <v>81</v>
      </c>
      <c r="AK593" t="s" s="0">
        <v>81</v>
      </c>
      <c r="AL593" t="s" s="0">
        <v>485</v>
      </c>
      <c r="AM593" t="s" s="0">
        <v>77</v>
      </c>
      <c r="AN593" t="s" s="0">
        <v>77</v>
      </c>
      <c r="AO593" t="s" s="0">
        <v>77</v>
      </c>
      <c r="AP593" t="s" s="0">
        <v>77</v>
      </c>
      <c r="AQ593" t="s" s="0">
        <v>284</v>
      </c>
      <c r="AR593" t="s" s="0">
        <v>285</v>
      </c>
      <c r="AS593" t="s" s="0">
        <v>286</v>
      </c>
      <c r="AT593" t="s" s="0">
        <v>81</v>
      </c>
      <c r="AU593" t="s" s="0">
        <v>10209</v>
      </c>
      <c r="AV593" t="s" s="0">
        <v>81</v>
      </c>
      <c r="AW593" t="s" s="0">
        <v>10205</v>
      </c>
      <c r="AX593" t="s" s="0">
        <v>10210</v>
      </c>
      <c r="AY593" t="s" s="0">
        <v>7584</v>
      </c>
      <c r="AZ593" t="s" s="0">
        <v>103</v>
      </c>
      <c r="BA593" t="s" s="0">
        <v>234</v>
      </c>
      <c r="BB593" t="s" s="0">
        <v>133</v>
      </c>
      <c r="BC593" t="s" s="0">
        <v>81</v>
      </c>
      <c r="BD593" t="s" s="0">
        <v>81</v>
      </c>
      <c r="BE593" t="s" s="0">
        <v>81</v>
      </c>
      <c r="BF593" t="s" s="0">
        <v>81</v>
      </c>
      <c r="BG593" t="s" s="0">
        <v>81</v>
      </c>
      <c r="BH593" t="s" s="0">
        <v>81</v>
      </c>
      <c r="BI593" t="s" s="0">
        <v>1686</v>
      </c>
      <c r="BJ593" t="s" s="0">
        <v>13177</v>
      </c>
      <c r="BK593" t="s" s="1177">
        <f>HYPERLINK("http://dx.doi.org/10.3390/diabetology7050099","http://dx.doi.org/10.3390/diabetology7050099")</f>
        <v>13178</v>
      </c>
      <c r="BL593" t="s" s="0">
        <v>81</v>
      </c>
      <c r="BM593" t="s" s="0">
        <v>675</v>
      </c>
      <c r="BN593" t="s" s="0">
        <v>381</v>
      </c>
      <c r="BO593" t="s" s="0">
        <v>6302</v>
      </c>
      <c r="BP593" t="s" s="0">
        <v>6302</v>
      </c>
      <c r="BQ593" t="s" s="0">
        <v>13179</v>
      </c>
      <c r="BR593" t="s" s="0">
        <v>81</v>
      </c>
      <c r="BS593" t="s" s="0">
        <v>13180</v>
      </c>
      <c r="BT593" t="s" s="1178">
        <f>HYPERLINK("https://www.webofscience.com/wos/woscc/full-record/WOS:001777259900001","View Record in Web of Science")</f>
        <v>114</v>
      </c>
      <c r="BU593" t="s" s="0">
        <v>115</v>
      </c>
      <c r="BV593" t="s" s="0">
        <v>81</v>
      </c>
      <c r="BW593" t="s" s="0">
        <v>81</v>
      </c>
      <c r="BX593" t="s" s="0">
        <v>116</v>
      </c>
    </row>
    <row r="594">
      <c r="A594" t="s" s="0">
        <v>97</v>
      </c>
      <c r="B594" t="s" s="0">
        <v>77</v>
      </c>
      <c r="C594" t="s" s="0">
        <v>196</v>
      </c>
      <c r="D594" t="s" s="0">
        <v>77</v>
      </c>
      <c r="E594" t="s" s="0">
        <v>13181</v>
      </c>
      <c r="F594" t="s" s="0">
        <v>13182</v>
      </c>
      <c r="G594" t="s" s="0">
        <v>13183</v>
      </c>
      <c r="H594" t="s" s="0">
        <v>81</v>
      </c>
      <c r="I594" t="s" s="0">
        <v>82</v>
      </c>
      <c r="J594" t="s" s="0">
        <v>13184</v>
      </c>
      <c r="K594" t="s" s="0">
        <v>13185</v>
      </c>
      <c r="L594" t="s" s="0">
        <v>13186</v>
      </c>
      <c r="M594" t="s" s="0">
        <v>13187</v>
      </c>
      <c r="N594" t="s" s="0">
        <v>13188</v>
      </c>
      <c r="O594" t="s" s="0">
        <v>13189</v>
      </c>
      <c r="P594" t="s" s="0">
        <v>13190</v>
      </c>
      <c r="Q594" t="s" s="0">
        <v>87</v>
      </c>
      <c r="R594" t="s" s="0">
        <v>81</v>
      </c>
      <c r="S594" t="s" s="0">
        <v>81</v>
      </c>
      <c r="T594" t="s" s="0">
        <v>81</v>
      </c>
      <c r="U594" t="s" s="0">
        <v>81</v>
      </c>
      <c r="V594" t="s" s="0">
        <v>13191</v>
      </c>
      <c r="W594" t="s" s="0">
        <v>13192</v>
      </c>
      <c r="X594" t="s" s="0">
        <v>81</v>
      </c>
      <c r="Y594" t="s" s="0">
        <v>81</v>
      </c>
      <c r="Z594" t="s" s="0">
        <v>90</v>
      </c>
      <c r="AA594" t="s" s="0">
        <v>91</v>
      </c>
      <c r="AB594" t="s" s="0">
        <v>81</v>
      </c>
      <c r="AC594" t="s" s="0">
        <v>81</v>
      </c>
      <c r="AD594" t="s" s="0">
        <v>81</v>
      </c>
      <c r="AE594" t="s" s="0">
        <v>81</v>
      </c>
      <c r="AF594" t="s" s="0">
        <v>81</v>
      </c>
      <c r="AG594" t="s" s="0">
        <v>13193</v>
      </c>
      <c r="AH594" t="s" s="0">
        <v>13194</v>
      </c>
      <c r="AI594" t="s" s="0">
        <v>13195</v>
      </c>
      <c r="AJ594" t="s" s="0">
        <v>13196</v>
      </c>
      <c r="AK594" t="s" s="0">
        <v>81</v>
      </c>
      <c r="AL594" t="s" s="0">
        <v>1883</v>
      </c>
      <c r="AM594" t="s" s="0">
        <v>367</v>
      </c>
      <c r="AN594" t="s" s="0">
        <v>485</v>
      </c>
      <c r="AO594" t="s" s="0">
        <v>175</v>
      </c>
      <c r="AP594" t="s" s="0">
        <v>228</v>
      </c>
      <c r="AQ594" t="s" s="0">
        <v>726</v>
      </c>
      <c r="AR594" t="s" s="0">
        <v>727</v>
      </c>
      <c r="AS594" t="s" s="0">
        <v>728</v>
      </c>
      <c r="AT594" t="s" s="0">
        <v>13197</v>
      </c>
      <c r="AU594" t="s" s="0">
        <v>13198</v>
      </c>
      <c r="AV594" t="s" s="0">
        <v>81</v>
      </c>
      <c r="AW594" t="s" s="0">
        <v>13199</v>
      </c>
      <c r="AX594" t="s" s="0">
        <v>13200</v>
      </c>
      <c r="AY594" t="s" s="0">
        <v>552</v>
      </c>
      <c r="AZ594" t="s" s="0">
        <v>290</v>
      </c>
      <c r="BA594" t="s" s="0">
        <v>211</v>
      </c>
      <c r="BB594" t="s" s="0">
        <v>196</v>
      </c>
      <c r="BC594" t="s" s="0">
        <v>81</v>
      </c>
      <c r="BD594" t="s" s="0">
        <v>81</v>
      </c>
      <c r="BE594" t="s" s="0">
        <v>81</v>
      </c>
      <c r="BF594" t="s" s="0">
        <v>81</v>
      </c>
      <c r="BG594" t="s" s="0">
        <v>13201</v>
      </c>
      <c r="BH594" t="s" s="0">
        <v>13202</v>
      </c>
      <c r="BI594" t="s" s="0">
        <v>81</v>
      </c>
      <c r="BJ594" t="s" s="0">
        <v>13203</v>
      </c>
      <c r="BK594" t="s" s="1179">
        <f>HYPERLINK("http://dx.doi.org/10.1049/cit2.12385","http://dx.doi.org/10.1049/cit2.12385")</f>
        <v>13204</v>
      </c>
      <c r="BL594" t="s" s="0">
        <v>81</v>
      </c>
      <c r="BM594" t="s" s="0">
        <v>1816</v>
      </c>
      <c r="BN594" t="s" s="0">
        <v>925</v>
      </c>
      <c r="BO594" t="s" s="0">
        <v>409</v>
      </c>
      <c r="BP594" t="s" s="0">
        <v>152</v>
      </c>
      <c r="BQ594" t="s" s="0">
        <v>13205</v>
      </c>
      <c r="BR594" t="s" s="0">
        <v>81</v>
      </c>
      <c r="BS594" t="s" s="0">
        <v>13206</v>
      </c>
      <c r="BT594" t="s" s="1180">
        <f>HYPERLINK("https://www.webofscience.com/wos/woscc/full-record/WOS:001330834500001","View Record in Web of Science")</f>
        <v>114</v>
      </c>
      <c r="BU594" t="s" s="0">
        <v>301</v>
      </c>
      <c r="BV594" t="s" s="0">
        <v>81</v>
      </c>
      <c r="BW594" t="s" s="0">
        <v>81</v>
      </c>
      <c r="BX594" t="s" s="0">
        <v>116</v>
      </c>
    </row>
    <row r="595">
      <c r="A595" t="s" s="0">
        <v>77</v>
      </c>
      <c r="B595" t="s" s="0">
        <v>77</v>
      </c>
      <c r="C595" t="s" s="0">
        <v>77</v>
      </c>
      <c r="D595" t="s" s="0">
        <v>77</v>
      </c>
      <c r="E595" t="s" s="0">
        <v>13207</v>
      </c>
      <c r="F595" t="s" s="0">
        <v>13208</v>
      </c>
      <c r="G595" t="s" s="0">
        <v>13209</v>
      </c>
      <c r="H595" t="s" s="0">
        <v>81</v>
      </c>
      <c r="I595" t="s" s="0">
        <v>82</v>
      </c>
      <c r="J595" t="s" s="0">
        <v>13210</v>
      </c>
      <c r="K595" t="s" s="0">
        <v>13211</v>
      </c>
      <c r="L595" t="s" s="0">
        <v>81</v>
      </c>
      <c r="M595" t="s" s="0">
        <v>81</v>
      </c>
      <c r="N595" t="s" s="0">
        <v>81</v>
      </c>
      <c r="O595" t="s" s="0">
        <v>13212</v>
      </c>
      <c r="P595" t="s" s="0">
        <v>13213</v>
      </c>
      <c r="Q595" t="s" s="0">
        <v>87</v>
      </c>
      <c r="R595" t="s" s="0">
        <v>81</v>
      </c>
      <c r="S595" t="s" s="0">
        <v>81</v>
      </c>
      <c r="T595" t="s" s="0">
        <v>81</v>
      </c>
      <c r="U595" t="s" s="0">
        <v>81</v>
      </c>
      <c r="V595" t="s" s="0">
        <v>13214</v>
      </c>
      <c r="W595" t="s" s="0">
        <v>13215</v>
      </c>
      <c r="X595" t="s" s="0">
        <v>81</v>
      </c>
      <c r="Y595" t="s" s="0">
        <v>81</v>
      </c>
      <c r="Z595" t="s" s="0">
        <v>90</v>
      </c>
      <c r="AA595" t="s" s="0">
        <v>91</v>
      </c>
      <c r="AB595" t="s" s="0">
        <v>81</v>
      </c>
      <c r="AC595" t="s" s="0">
        <v>81</v>
      </c>
      <c r="AD595" t="s" s="0">
        <v>81</v>
      </c>
      <c r="AE595" t="s" s="0">
        <v>81</v>
      </c>
      <c r="AF595" t="s" s="0">
        <v>81</v>
      </c>
      <c r="AG595" t="s" s="0">
        <v>81</v>
      </c>
      <c r="AH595" t="s" s="0">
        <v>81</v>
      </c>
      <c r="AI595" t="s" s="0">
        <v>13216</v>
      </c>
      <c r="AJ595" t="s" s="0">
        <v>13217</v>
      </c>
      <c r="AK595" t="s" s="0">
        <v>81</v>
      </c>
      <c r="AL595" t="s" s="0">
        <v>228</v>
      </c>
      <c r="AM595" t="s" s="0">
        <v>671</v>
      </c>
      <c r="AN595" t="s" s="0">
        <v>176</v>
      </c>
      <c r="AO595" t="s" s="0">
        <v>175</v>
      </c>
      <c r="AP595" t="s" s="0">
        <v>109</v>
      </c>
      <c r="AQ595" t="s" s="0">
        <v>3016</v>
      </c>
      <c r="AR595" t="s" s="0">
        <v>546</v>
      </c>
      <c r="AS595" t="s" s="0">
        <v>3017</v>
      </c>
      <c r="AT595" t="s" s="0">
        <v>13218</v>
      </c>
      <c r="AU595" t="s" s="0">
        <v>13219</v>
      </c>
      <c r="AV595" t="s" s="0">
        <v>81</v>
      </c>
      <c r="AW595" t="s" s="0">
        <v>13220</v>
      </c>
      <c r="AX595" t="s" s="0">
        <v>13221</v>
      </c>
      <c r="AY595" t="s" s="0">
        <v>13222</v>
      </c>
      <c r="AZ595" t="s" s="0">
        <v>290</v>
      </c>
      <c r="BA595" t="s" s="0">
        <v>12620</v>
      </c>
      <c r="BB595" t="s" s="0">
        <v>97</v>
      </c>
      <c r="BC595" t="s" s="0">
        <v>81</v>
      </c>
      <c r="BD595" t="s" s="0">
        <v>81</v>
      </c>
      <c r="BE595" t="s" s="0">
        <v>81</v>
      </c>
      <c r="BF595" t="s" s="0">
        <v>81</v>
      </c>
      <c r="BG595" t="s" s="0">
        <v>405</v>
      </c>
      <c r="BH595" t="s" s="0">
        <v>914</v>
      </c>
      <c r="BI595" t="s" s="0">
        <v>81</v>
      </c>
      <c r="BJ595" t="s" s="0">
        <v>13223</v>
      </c>
      <c r="BK595" t="s" s="1181">
        <f>HYPERLINK("http://dx.doi.org/10.1038/s41415-024-7788-7","http://dx.doi.org/10.1038/s41415-024-7788-7")</f>
        <v>13224</v>
      </c>
      <c r="BL595" t="s" s="0">
        <v>81</v>
      </c>
      <c r="BM595" t="s" s="0">
        <v>81</v>
      </c>
      <c r="BN595" t="s" s="0">
        <v>175</v>
      </c>
      <c r="BO595" t="s" s="0">
        <v>5166</v>
      </c>
      <c r="BP595" t="s" s="0">
        <v>5166</v>
      </c>
      <c r="BQ595" t="s" s="0">
        <v>13225</v>
      </c>
      <c r="BR595" t="s" s="0">
        <v>13226</v>
      </c>
      <c r="BS595" t="s" s="0">
        <v>13227</v>
      </c>
      <c r="BT595" t="s" s="1182">
        <f>HYPERLINK("https://www.webofscience.com/wos/woscc/full-record/WOS:001403163700031","View Record in Web of Science")</f>
        <v>114</v>
      </c>
      <c r="BU595" t="s" s="0">
        <v>155</v>
      </c>
      <c r="BV595" t="s" s="0">
        <v>81</v>
      </c>
      <c r="BW595" t="s" s="0">
        <v>81</v>
      </c>
      <c r="BX595" t="s" s="0">
        <v>116</v>
      </c>
    </row>
    <row r="596">
      <c r="A596" t="s" s="0">
        <v>77</v>
      </c>
      <c r="B596" t="s" s="0">
        <v>77</v>
      </c>
      <c r="C596" t="s" s="0">
        <v>97</v>
      </c>
      <c r="D596" t="s" s="0">
        <v>77</v>
      </c>
      <c r="E596" t="s" s="0">
        <v>13228</v>
      </c>
      <c r="F596" t="s" s="0">
        <v>13229</v>
      </c>
      <c r="G596" t="s" s="0">
        <v>13230</v>
      </c>
      <c r="H596" t="s" s="0">
        <v>81</v>
      </c>
      <c r="I596" t="s" s="0">
        <v>82</v>
      </c>
      <c r="J596" t="s" s="0">
        <v>13231</v>
      </c>
      <c r="K596" t="s" s="0">
        <v>13232</v>
      </c>
      <c r="L596" t="s" s="0">
        <v>13233</v>
      </c>
      <c r="M596" t="s" s="0">
        <v>6733</v>
      </c>
      <c r="N596" t="s" s="0">
        <v>13234</v>
      </c>
      <c r="O596" t="s" s="0">
        <v>13235</v>
      </c>
      <c r="P596" t="s" s="0">
        <v>13236</v>
      </c>
      <c r="Q596" t="s" s="0">
        <v>87</v>
      </c>
      <c r="R596" t="s" s="0">
        <v>81</v>
      </c>
      <c r="S596" t="s" s="0">
        <v>81</v>
      </c>
      <c r="T596" t="s" s="0">
        <v>81</v>
      </c>
      <c r="U596" t="s" s="0">
        <v>81</v>
      </c>
      <c r="V596" t="s" s="0">
        <v>13237</v>
      </c>
      <c r="W596" t="s" s="0">
        <v>1602</v>
      </c>
      <c r="X596" t="s" s="0">
        <v>81</v>
      </c>
      <c r="Y596" t="s" s="0">
        <v>81</v>
      </c>
      <c r="Z596" t="s" s="0">
        <v>90</v>
      </c>
      <c r="AA596" t="s" s="0">
        <v>91</v>
      </c>
      <c r="AB596" t="s" s="0">
        <v>81</v>
      </c>
      <c r="AC596" t="s" s="0">
        <v>81</v>
      </c>
      <c r="AD596" t="s" s="0">
        <v>81</v>
      </c>
      <c r="AE596" t="s" s="0">
        <v>81</v>
      </c>
      <c r="AF596" t="s" s="0">
        <v>81</v>
      </c>
      <c r="AG596" t="s" s="0">
        <v>13238</v>
      </c>
      <c r="AH596" t="s" s="0">
        <v>13239</v>
      </c>
      <c r="AI596" t="s" s="0">
        <v>13240</v>
      </c>
      <c r="AJ596" t="s" s="0">
        <v>13241</v>
      </c>
      <c r="AK596" t="s" s="0">
        <v>81</v>
      </c>
      <c r="AL596" t="s" s="0">
        <v>1883</v>
      </c>
      <c r="AM596" t="s" s="0">
        <v>97</v>
      </c>
      <c r="AN596" t="s" s="0">
        <v>97</v>
      </c>
      <c r="AO596" t="s" s="0">
        <v>97</v>
      </c>
      <c r="AP596" t="s" s="0">
        <v>175</v>
      </c>
      <c r="AQ596" t="s" s="0">
        <v>1608</v>
      </c>
      <c r="AR596" t="s" s="0">
        <v>1609</v>
      </c>
      <c r="AS596" t="s" s="0">
        <v>1610</v>
      </c>
      <c r="AT596" t="s" s="0">
        <v>1611</v>
      </c>
      <c r="AU596" t="s" s="0">
        <v>1612</v>
      </c>
      <c r="AV596" t="s" s="0">
        <v>81</v>
      </c>
      <c r="AW596" t="s" s="0">
        <v>1613</v>
      </c>
      <c r="AX596" t="s" s="0">
        <v>1614</v>
      </c>
      <c r="AY596" t="s" s="0">
        <v>1940</v>
      </c>
      <c r="AZ596" t="s" s="0">
        <v>103</v>
      </c>
      <c r="BA596" t="s" s="0">
        <v>11555</v>
      </c>
      <c r="BB596" t="s" s="0">
        <v>81</v>
      </c>
      <c r="BC596" t="s" s="0">
        <v>81</v>
      </c>
      <c r="BD596" t="s" s="0">
        <v>81</v>
      </c>
      <c r="BE596" t="s" s="0">
        <v>81</v>
      </c>
      <c r="BF596" t="s" s="0">
        <v>81</v>
      </c>
      <c r="BG596" t="s" s="0">
        <v>81</v>
      </c>
      <c r="BH596" t="s" s="0">
        <v>81</v>
      </c>
      <c r="BI596" t="s" s="0">
        <v>13242</v>
      </c>
      <c r="BJ596" t="s" s="0">
        <v>13243</v>
      </c>
      <c r="BK596" t="s" s="1183">
        <f>HYPERLINK("http://dx.doi.org/10.1016/j.ijmedinf.2025.106125","http://dx.doi.org/10.1016/j.ijmedinf.2025.106125")</f>
        <v>13244</v>
      </c>
      <c r="BL596" t="s" s="0">
        <v>81</v>
      </c>
      <c r="BM596" t="s" s="0">
        <v>149</v>
      </c>
      <c r="BN596" t="s" s="0">
        <v>134</v>
      </c>
      <c r="BO596" t="s" s="0">
        <v>1619</v>
      </c>
      <c r="BP596" t="s" s="0">
        <v>1620</v>
      </c>
      <c r="BQ596" t="s" s="0">
        <v>13245</v>
      </c>
      <c r="BR596" t="s" s="0">
        <v>13246</v>
      </c>
      <c r="BS596" t="s" s="0">
        <v>13247</v>
      </c>
      <c r="BT596" t="s" s="1184">
        <f>HYPERLINK("https://www.webofscience.com/wos/woscc/full-record/WOS:001593323500001","View Record in Web of Science")</f>
        <v>114</v>
      </c>
      <c r="BU596" t="s" s="0">
        <v>81</v>
      </c>
      <c r="BV596" t="s" s="0">
        <v>81</v>
      </c>
      <c r="BW596" t="s" s="0">
        <v>81</v>
      </c>
      <c r="BX596" t="s" s="0">
        <v>116</v>
      </c>
    </row>
    <row r="597">
      <c r="A597" t="s" s="0">
        <v>77</v>
      </c>
      <c r="B597" t="s" s="0">
        <v>77</v>
      </c>
      <c r="C597" t="s" s="0">
        <v>77</v>
      </c>
      <c r="D597" t="s" s="0">
        <v>77</v>
      </c>
      <c r="E597" t="s" s="0">
        <v>13248</v>
      </c>
      <c r="F597" t="s" s="0">
        <v>13249</v>
      </c>
      <c r="G597" t="s" s="0">
        <v>13250</v>
      </c>
      <c r="H597" t="s" s="0">
        <v>81</v>
      </c>
      <c r="I597" t="s" s="0">
        <v>238</v>
      </c>
      <c r="J597" t="s" s="0">
        <v>13251</v>
      </c>
      <c r="K597" t="s" s="0">
        <v>13252</v>
      </c>
      <c r="L597" t="s" s="0">
        <v>81</v>
      </c>
      <c r="M597" t="s" s="0">
        <v>81</v>
      </c>
      <c r="N597" t="s" s="0">
        <v>81</v>
      </c>
      <c r="O597" t="s" s="0">
        <v>13253</v>
      </c>
      <c r="P597" t="s" s="0">
        <v>13254</v>
      </c>
      <c r="Q597" t="s" s="0">
        <v>87</v>
      </c>
      <c r="R597" t="s" s="0">
        <v>81</v>
      </c>
      <c r="S597" t="s" s="0">
        <v>81</v>
      </c>
      <c r="T597" t="s" s="0">
        <v>81</v>
      </c>
      <c r="U597" t="s" s="0">
        <v>81</v>
      </c>
      <c r="V597" t="s" s="0">
        <v>13255</v>
      </c>
      <c r="W597" t="s" s="0">
        <v>13256</v>
      </c>
      <c r="X597" t="s" s="0">
        <v>81</v>
      </c>
      <c r="Y597" t="s" s="0">
        <v>81</v>
      </c>
      <c r="Z597" t="s" s="0">
        <v>90</v>
      </c>
      <c r="AA597" t="s" s="0">
        <v>91</v>
      </c>
      <c r="AB597" t="s" s="0">
        <v>81</v>
      </c>
      <c r="AC597" t="s" s="0">
        <v>81</v>
      </c>
      <c r="AD597" t="s" s="0">
        <v>81</v>
      </c>
      <c r="AE597" t="s" s="0">
        <v>81</v>
      </c>
      <c r="AF597" t="s" s="0">
        <v>81</v>
      </c>
      <c r="AG597" t="s" s="0">
        <v>13257</v>
      </c>
      <c r="AH597" t="s" s="0">
        <v>13258</v>
      </c>
      <c r="AI597" t="s" s="0">
        <v>13259</v>
      </c>
      <c r="AJ597" t="s" s="0">
        <v>81</v>
      </c>
      <c r="AK597" t="s" s="0">
        <v>81</v>
      </c>
      <c r="AL597" t="s" s="0">
        <v>542</v>
      </c>
      <c r="AM597" t="s" s="0">
        <v>97</v>
      </c>
      <c r="AN597" t="s" s="0">
        <v>97</v>
      </c>
      <c r="AO597" t="s" s="0">
        <v>97</v>
      </c>
      <c r="AP597" t="s" s="0">
        <v>97</v>
      </c>
      <c r="AQ597" t="s" s="0">
        <v>3061</v>
      </c>
      <c r="AR597" t="s" s="0">
        <v>3062</v>
      </c>
      <c r="AS597" t="s" s="0">
        <v>3063</v>
      </c>
      <c r="AT597" t="s" s="0">
        <v>81</v>
      </c>
      <c r="AU597" t="s" s="0">
        <v>13260</v>
      </c>
      <c r="AV597" t="s" s="0">
        <v>81</v>
      </c>
      <c r="AW597" t="s" s="0">
        <v>13256</v>
      </c>
      <c r="AX597" t="s" s="0">
        <v>13256</v>
      </c>
      <c r="AY597" t="s" s="0">
        <v>103</v>
      </c>
      <c r="AZ597" t="s" s="0">
        <v>103</v>
      </c>
      <c r="BA597" t="s" s="0">
        <v>133</v>
      </c>
      <c r="BB597" t="s" s="0">
        <v>81</v>
      </c>
      <c r="BC597" t="s" s="0">
        <v>81</v>
      </c>
      <c r="BD597" t="s" s="0">
        <v>81</v>
      </c>
      <c r="BE597" t="s" s="0">
        <v>81</v>
      </c>
      <c r="BF597" t="s" s="0">
        <v>81</v>
      </c>
      <c r="BG597" t="s" s="0">
        <v>81</v>
      </c>
      <c r="BH597" t="s" s="0">
        <v>81</v>
      </c>
      <c r="BI597" t="s" s="0">
        <v>13261</v>
      </c>
      <c r="BJ597" t="s" s="0">
        <v>13262</v>
      </c>
      <c r="BK597" t="s" s="1185">
        <f>HYPERLINK("http://dx.doi.org/10.2196/68196","http://dx.doi.org/10.2196/68196")</f>
        <v>13263</v>
      </c>
      <c r="BL597" t="s" s="0">
        <v>81</v>
      </c>
      <c r="BM597" t="s" s="0">
        <v>81</v>
      </c>
      <c r="BN597" t="s" s="0">
        <v>210</v>
      </c>
      <c r="BO597" t="s" s="0">
        <v>792</v>
      </c>
      <c r="BP597" t="s" s="0">
        <v>792</v>
      </c>
      <c r="BQ597" t="s" s="0">
        <v>13264</v>
      </c>
      <c r="BR597" t="s" s="0">
        <v>13265</v>
      </c>
      <c r="BS597" t="s" s="0">
        <v>13266</v>
      </c>
      <c r="BT597" t="s" s="1186">
        <f>HYPERLINK("https://www.webofscience.com/wos/woscc/full-record/WOS:001699397000001","View Record in Web of Science")</f>
        <v>114</v>
      </c>
      <c r="BU597" t="s" s="0">
        <v>301</v>
      </c>
      <c r="BV597" t="s" s="0">
        <v>81</v>
      </c>
      <c r="BW597" t="s" s="0">
        <v>81</v>
      </c>
      <c r="BX597" t="s" s="0">
        <v>116</v>
      </c>
    </row>
    <row r="598">
      <c r="A598" t="s" s="0">
        <v>77</v>
      </c>
      <c r="B598" t="s" s="0">
        <v>77</v>
      </c>
      <c r="C598" t="s" s="0">
        <v>77</v>
      </c>
      <c r="D598" t="s" s="0">
        <v>77</v>
      </c>
      <c r="E598" t="s" s="0">
        <v>13267</v>
      </c>
      <c r="F598" t="s" s="0">
        <v>13268</v>
      </c>
      <c r="G598" t="s" s="0">
        <v>13269</v>
      </c>
      <c r="H598" t="s" s="0">
        <v>81</v>
      </c>
      <c r="I598" t="s" s="0">
        <v>82</v>
      </c>
      <c r="J598" t="s" s="0">
        <v>13270</v>
      </c>
      <c r="K598" t="s" s="0">
        <v>13271</v>
      </c>
      <c r="L598" t="s" s="0">
        <v>13272</v>
      </c>
      <c r="M598" t="s" s="0">
        <v>13272</v>
      </c>
      <c r="N598" t="s" s="0">
        <v>13273</v>
      </c>
      <c r="O598" t="s" s="0">
        <v>13274</v>
      </c>
      <c r="P598" t="s" s="0">
        <v>13275</v>
      </c>
      <c r="Q598" t="s" s="0">
        <v>87</v>
      </c>
      <c r="R598" t="s" s="0">
        <v>81</v>
      </c>
      <c r="S598" t="s" s="0">
        <v>81</v>
      </c>
      <c r="T598" t="s" s="0">
        <v>81</v>
      </c>
      <c r="U598" t="s" s="0">
        <v>81</v>
      </c>
      <c r="V598" t="s" s="0">
        <v>13276</v>
      </c>
      <c r="W598" t="s" s="0">
        <v>89</v>
      </c>
      <c r="X598" t="s" s="0">
        <v>81</v>
      </c>
      <c r="Y598" t="s" s="0">
        <v>81</v>
      </c>
      <c r="Z598" t="s" s="0">
        <v>90</v>
      </c>
      <c r="AA598" t="s" s="0">
        <v>91</v>
      </c>
      <c r="AB598" t="s" s="0">
        <v>81</v>
      </c>
      <c r="AC598" t="s" s="0">
        <v>81</v>
      </c>
      <c r="AD598" t="s" s="0">
        <v>81</v>
      </c>
      <c r="AE598" t="s" s="0">
        <v>81</v>
      </c>
      <c r="AF598" t="s" s="0">
        <v>81</v>
      </c>
      <c r="AG598" t="s" s="0">
        <v>13277</v>
      </c>
      <c r="AH598" t="s" s="0">
        <v>13278</v>
      </c>
      <c r="AI598" t="s" s="0">
        <v>13279</v>
      </c>
      <c r="AJ598" t="s" s="0">
        <v>81</v>
      </c>
      <c r="AK598" t="s" s="0">
        <v>81</v>
      </c>
      <c r="AL598" t="s" s="0">
        <v>783</v>
      </c>
      <c r="AM598" t="s" s="0">
        <v>156</v>
      </c>
      <c r="AN598" t="s" s="0">
        <v>156</v>
      </c>
      <c r="AO598" t="s" s="0">
        <v>77</v>
      </c>
      <c r="AP598" t="s" s="0">
        <v>77</v>
      </c>
      <c r="AQ598" t="s" s="0">
        <v>98</v>
      </c>
      <c r="AR598" t="s" s="0">
        <v>99</v>
      </c>
      <c r="AS598" t="s" s="0">
        <v>100</v>
      </c>
      <c r="AT598" t="s" s="0">
        <v>101</v>
      </c>
      <c r="AU598" t="s" s="0">
        <v>81</v>
      </c>
      <c r="AV598" t="s" s="0">
        <v>81</v>
      </c>
      <c r="AW598" t="s" s="0">
        <v>89</v>
      </c>
      <c r="AX598" t="s" s="0">
        <v>102</v>
      </c>
      <c r="AY598" t="s" s="0">
        <v>290</v>
      </c>
      <c r="AZ598" t="s" s="0">
        <v>290</v>
      </c>
      <c r="BA598" t="s" s="0">
        <v>486</v>
      </c>
      <c r="BB598" t="s" s="0">
        <v>81</v>
      </c>
      <c r="BC598" t="s" s="0">
        <v>81</v>
      </c>
      <c r="BD598" t="s" s="0">
        <v>81</v>
      </c>
      <c r="BE598" t="s" s="0">
        <v>81</v>
      </c>
      <c r="BF598" t="s" s="0">
        <v>81</v>
      </c>
      <c r="BG598" t="s" s="0">
        <v>13280</v>
      </c>
      <c r="BH598" t="s" s="0">
        <v>13281</v>
      </c>
      <c r="BI598" t="s" s="0">
        <v>81</v>
      </c>
      <c r="BJ598" t="s" s="0">
        <v>13282</v>
      </c>
      <c r="BK598" t="s" s="1187">
        <f>HYPERLINK("http://dx.doi.org/10.1109/ACCESS.2025.3631544","http://dx.doi.org/10.1109/ACCESS.2025.3631544")</f>
        <v>13283</v>
      </c>
      <c r="BL598" t="s" s="0">
        <v>81</v>
      </c>
      <c r="BM598" t="s" s="0">
        <v>81</v>
      </c>
      <c r="BN598" t="s" s="0">
        <v>543</v>
      </c>
      <c r="BO598" t="s" s="0">
        <v>110</v>
      </c>
      <c r="BP598" t="s" s="0">
        <v>111</v>
      </c>
      <c r="BQ598" t="s" s="0">
        <v>13284</v>
      </c>
      <c r="BR598" t="s" s="0">
        <v>81</v>
      </c>
      <c r="BS598" t="s" s="0">
        <v>13285</v>
      </c>
      <c r="BT598" t="s" s="1188">
        <f>HYPERLINK("https://www.webofscience.com/wos/woscc/full-record/WOS:001631894000029","View Record in Web of Science")</f>
        <v>114</v>
      </c>
      <c r="BU598" t="s" s="0">
        <v>301</v>
      </c>
      <c r="BV598" t="s" s="0">
        <v>81</v>
      </c>
      <c r="BW598" t="s" s="0">
        <v>81</v>
      </c>
      <c r="BX598" t="s" s="0">
        <v>116</v>
      </c>
    </row>
    <row r="599">
      <c r="A599" t="s" s="0">
        <v>77</v>
      </c>
      <c r="B599" t="s" s="0">
        <v>77</v>
      </c>
      <c r="C599" t="s" s="0">
        <v>77</v>
      </c>
      <c r="D599" t="s" s="0">
        <v>77</v>
      </c>
      <c r="E599" t="s" s="0">
        <v>13286</v>
      </c>
      <c r="F599" t="s" s="0">
        <v>13287</v>
      </c>
      <c r="G599" t="s" s="0">
        <v>13288</v>
      </c>
      <c r="H599" t="s" s="0">
        <v>81</v>
      </c>
      <c r="I599" t="s" s="0">
        <v>82</v>
      </c>
      <c r="J599" t="s" s="0">
        <v>13289</v>
      </c>
      <c r="K599" t="s" s="0">
        <v>13290</v>
      </c>
      <c r="L599" t="s" s="0">
        <v>81</v>
      </c>
      <c r="M599" t="s" s="0">
        <v>81</v>
      </c>
      <c r="N599" t="s" s="0">
        <v>81</v>
      </c>
      <c r="O599" t="s" s="0">
        <v>13291</v>
      </c>
      <c r="P599" t="s" s="0">
        <v>13292</v>
      </c>
      <c r="Q599" t="s" s="0">
        <v>87</v>
      </c>
      <c r="R599" t="s" s="0">
        <v>81</v>
      </c>
      <c r="S599" t="s" s="0">
        <v>81</v>
      </c>
      <c r="T599" t="s" s="0">
        <v>81</v>
      </c>
      <c r="U599" t="s" s="0">
        <v>81</v>
      </c>
      <c r="V599" t="s" s="0">
        <v>13293</v>
      </c>
      <c r="W599" t="s" s="0">
        <v>13294</v>
      </c>
      <c r="X599" t="s" s="0">
        <v>81</v>
      </c>
      <c r="Y599" t="s" s="0">
        <v>81</v>
      </c>
      <c r="Z599" t="s" s="0">
        <v>90</v>
      </c>
      <c r="AA599" t="s" s="0">
        <v>91</v>
      </c>
      <c r="AB599" t="s" s="0">
        <v>81</v>
      </c>
      <c r="AC599" t="s" s="0">
        <v>81</v>
      </c>
      <c r="AD599" t="s" s="0">
        <v>81</v>
      </c>
      <c r="AE599" t="s" s="0">
        <v>81</v>
      </c>
      <c r="AF599" t="s" s="0">
        <v>81</v>
      </c>
      <c r="AG599" t="s" s="0">
        <v>13295</v>
      </c>
      <c r="AH599" t="s" s="0">
        <v>81</v>
      </c>
      <c r="AI599" t="s" s="0">
        <v>81</v>
      </c>
      <c r="AJ599" t="s" s="0">
        <v>13296</v>
      </c>
      <c r="AK599" t="s" s="0">
        <v>81</v>
      </c>
      <c r="AL599" t="s" s="0">
        <v>150</v>
      </c>
      <c r="AM599" t="s" s="0">
        <v>77</v>
      </c>
      <c r="AN599" t="s" s="0">
        <v>77</v>
      </c>
      <c r="AO599" t="s" s="0">
        <v>97</v>
      </c>
      <c r="AP599" t="s" s="0">
        <v>97</v>
      </c>
      <c r="AQ599" t="s" s="0">
        <v>212</v>
      </c>
      <c r="AR599" t="s" s="0">
        <v>429</v>
      </c>
      <c r="AS599" t="s" s="0">
        <v>784</v>
      </c>
      <c r="AT599" t="s" s="0">
        <v>13297</v>
      </c>
      <c r="AU599" t="s" s="0">
        <v>13298</v>
      </c>
      <c r="AV599" t="s" s="0">
        <v>81</v>
      </c>
      <c r="AW599" t="s" s="0">
        <v>13299</v>
      </c>
      <c r="AX599" t="s" s="0">
        <v>13300</v>
      </c>
      <c r="AY599" t="s" s="0">
        <v>1465</v>
      </c>
      <c r="AZ599" t="s" s="0">
        <v>103</v>
      </c>
      <c r="BA599" t="s" s="0">
        <v>890</v>
      </c>
      <c r="BB599" t="s" s="0">
        <v>97</v>
      </c>
      <c r="BC599" t="s" s="0">
        <v>81</v>
      </c>
      <c r="BD599" t="s" s="0">
        <v>81</v>
      </c>
      <c r="BE599" t="s" s="0">
        <v>81</v>
      </c>
      <c r="BF599" t="s" s="0">
        <v>81</v>
      </c>
      <c r="BG599" t="s" s="0">
        <v>81</v>
      </c>
      <c r="BH599" t="s" s="0">
        <v>81</v>
      </c>
      <c r="BI599" t="s" s="0">
        <v>508</v>
      </c>
      <c r="BJ599" t="s" s="0">
        <v>13301</v>
      </c>
      <c r="BK599" t="s" s="1189">
        <f>HYPERLINK("http://dx.doi.org/10.1007/s10044-026-01633-y","http://dx.doi.org/10.1007/s10044-026-01633-y")</f>
        <v>13302</v>
      </c>
      <c r="BL599" t="s" s="0">
        <v>81</v>
      </c>
      <c r="BM599" t="s" s="0">
        <v>81</v>
      </c>
      <c r="BN599" t="s" s="0">
        <v>367</v>
      </c>
      <c r="BO599" t="s" s="0">
        <v>409</v>
      </c>
      <c r="BP599" t="s" s="0">
        <v>152</v>
      </c>
      <c r="BQ599" t="s" s="0">
        <v>13303</v>
      </c>
      <c r="BR599" t="s" s="0">
        <v>81</v>
      </c>
      <c r="BS599" t="s" s="0">
        <v>13304</v>
      </c>
      <c r="BT599" t="s" s="1190">
        <f>HYPERLINK("https://www.webofscience.com/wos/woscc/full-record/WOS:001693238800005","View Record in Web of Science")</f>
        <v>114</v>
      </c>
      <c r="BU599" t="s" s="0">
        <v>81</v>
      </c>
      <c r="BV599" t="s" s="0">
        <v>81</v>
      </c>
      <c r="BW599" t="s" s="0">
        <v>81</v>
      </c>
      <c r="BX599" t="s" s="0">
        <v>116</v>
      </c>
    </row>
    <row r="600">
      <c r="A600" t="s" s="0">
        <v>77</v>
      </c>
      <c r="B600" t="s" s="0">
        <v>77</v>
      </c>
      <c r="C600" t="s" s="0">
        <v>77</v>
      </c>
      <c r="D600" t="s" s="0">
        <v>77</v>
      </c>
      <c r="E600" t="s" s="0">
        <v>13305</v>
      </c>
      <c r="F600" t="s" s="0">
        <v>13306</v>
      </c>
      <c r="G600" t="s" s="0">
        <v>13307</v>
      </c>
      <c r="H600" t="s" s="0">
        <v>81</v>
      </c>
      <c r="I600" t="s" s="0">
        <v>82</v>
      </c>
      <c r="J600" t="s" s="0">
        <v>13308</v>
      </c>
      <c r="K600" t="s" s="0">
        <v>13309</v>
      </c>
      <c r="L600" t="s" s="0">
        <v>81</v>
      </c>
      <c r="M600" t="s" s="0">
        <v>81</v>
      </c>
      <c r="N600" t="s" s="0">
        <v>81</v>
      </c>
      <c r="O600" t="s" s="0">
        <v>13310</v>
      </c>
      <c r="P600" t="s" s="0">
        <v>6162</v>
      </c>
      <c r="Q600" t="s" s="0">
        <v>87</v>
      </c>
      <c r="R600" t="s" s="0">
        <v>81</v>
      </c>
      <c r="S600" t="s" s="0">
        <v>81</v>
      </c>
      <c r="T600" t="s" s="0">
        <v>81</v>
      </c>
      <c r="U600" t="s" s="0">
        <v>81</v>
      </c>
      <c r="V600" t="s" s="0">
        <v>13311</v>
      </c>
      <c r="W600" t="s" s="0">
        <v>2070</v>
      </c>
      <c r="X600" t="s" s="0">
        <v>81</v>
      </c>
      <c r="Y600" t="s" s="0">
        <v>81</v>
      </c>
      <c r="Z600" t="s" s="0">
        <v>90</v>
      </c>
      <c r="AA600" t="s" s="0">
        <v>91</v>
      </c>
      <c r="AB600" t="s" s="0">
        <v>81</v>
      </c>
      <c r="AC600" t="s" s="0">
        <v>81</v>
      </c>
      <c r="AD600" t="s" s="0">
        <v>81</v>
      </c>
      <c r="AE600" t="s" s="0">
        <v>81</v>
      </c>
      <c r="AF600" t="s" s="0">
        <v>81</v>
      </c>
      <c r="AG600" t="s" s="0">
        <v>13312</v>
      </c>
      <c r="AH600" t="s" s="0">
        <v>81</v>
      </c>
      <c r="AI600" t="s" s="0">
        <v>13313</v>
      </c>
      <c r="AJ600" t="s" s="0">
        <v>13314</v>
      </c>
      <c r="AK600" t="s" s="0">
        <v>81</v>
      </c>
      <c r="AL600" t="s" s="0">
        <v>756</v>
      </c>
      <c r="AM600" t="s" s="0">
        <v>196</v>
      </c>
      <c r="AN600" t="s" s="0">
        <v>196</v>
      </c>
      <c r="AO600" t="s" s="0">
        <v>77</v>
      </c>
      <c r="AP600" t="s" s="0">
        <v>156</v>
      </c>
      <c r="AQ600" t="s" s="0">
        <v>177</v>
      </c>
      <c r="AR600" t="s" s="0">
        <v>178</v>
      </c>
      <c r="AS600" t="s" s="0">
        <v>179</v>
      </c>
      <c r="AT600" t="s" s="0">
        <v>2073</v>
      </c>
      <c r="AU600" t="s" s="0">
        <v>2074</v>
      </c>
      <c r="AV600" t="s" s="0">
        <v>81</v>
      </c>
      <c r="AW600" t="s" s="0">
        <v>2075</v>
      </c>
      <c r="AX600" t="s" s="0">
        <v>2076</v>
      </c>
      <c r="AY600" t="s" s="0">
        <v>2353</v>
      </c>
      <c r="AZ600" t="s" s="0">
        <v>290</v>
      </c>
      <c r="BA600" t="s" s="0">
        <v>13315</v>
      </c>
      <c r="BB600" t="s" s="0">
        <v>81</v>
      </c>
      <c r="BC600" t="s" s="0">
        <v>81</v>
      </c>
      <c r="BD600" t="s" s="0">
        <v>2974</v>
      </c>
      <c r="BE600" t="s" s="0">
        <v>81</v>
      </c>
      <c r="BF600" t="s" s="0">
        <v>81</v>
      </c>
      <c r="BG600" t="s" s="0">
        <v>81</v>
      </c>
      <c r="BH600" t="s" s="0">
        <v>81</v>
      </c>
      <c r="BI600" t="s" s="0">
        <v>13316</v>
      </c>
      <c r="BJ600" t="s" s="0">
        <v>13317</v>
      </c>
      <c r="BK600" t="s" s="1191">
        <f>HYPERLINK("http://dx.doi.org/10.1016/j.bspc.2025.108210","http://dx.doi.org/10.1016/j.bspc.2025.108210")</f>
        <v>13318</v>
      </c>
      <c r="BL600" t="s" s="0">
        <v>81</v>
      </c>
      <c r="BM600" t="s" s="0">
        <v>552</v>
      </c>
      <c r="BN600" t="s" s="0">
        <v>210</v>
      </c>
      <c r="BO600" t="s" s="0">
        <v>2082</v>
      </c>
      <c r="BP600" t="s" s="0">
        <v>1003</v>
      </c>
      <c r="BQ600" t="s" s="0">
        <v>13319</v>
      </c>
      <c r="BR600" t="s" s="0">
        <v>81</v>
      </c>
      <c r="BS600" t="s" s="0">
        <v>13320</v>
      </c>
      <c r="BT600" t="s" s="1192">
        <f>HYPERLINK("https://www.webofscience.com/wos/woscc/full-record/WOS:001513617800005","View Record in Web of Science")</f>
        <v>114</v>
      </c>
      <c r="BU600" t="s" s="0">
        <v>1055</v>
      </c>
      <c r="BV600" t="s" s="0">
        <v>81</v>
      </c>
      <c r="BW600" t="s" s="0">
        <v>81</v>
      </c>
      <c r="BX600" t="s" s="0">
        <v>116</v>
      </c>
    </row>
    <row r="601">
      <c r="A601" t="s" s="0">
        <v>77</v>
      </c>
      <c r="B601" t="s" s="0">
        <v>77</v>
      </c>
      <c r="C601" t="s" s="0">
        <v>77</v>
      </c>
      <c r="D601" t="s" s="0">
        <v>77</v>
      </c>
      <c r="E601" t="s" s="0">
        <v>13321</v>
      </c>
      <c r="F601" t="s" s="0">
        <v>13322</v>
      </c>
      <c r="G601" t="s" s="0">
        <v>13323</v>
      </c>
      <c r="H601" t="s" s="0">
        <v>81</v>
      </c>
      <c r="I601" t="s" s="0">
        <v>82</v>
      </c>
      <c r="J601" t="s" s="0">
        <v>13324</v>
      </c>
      <c r="K601" t="s" s="0">
        <v>13325</v>
      </c>
      <c r="L601" t="s" s="0">
        <v>81</v>
      </c>
      <c r="M601" t="s" s="0">
        <v>81</v>
      </c>
      <c r="N601" t="s" s="0">
        <v>81</v>
      </c>
      <c r="O601" t="s" s="0">
        <v>13326</v>
      </c>
      <c r="P601" t="s" s="0">
        <v>13327</v>
      </c>
      <c r="Q601" t="s" s="0">
        <v>87</v>
      </c>
      <c r="R601" t="s" s="0">
        <v>81</v>
      </c>
      <c r="S601" t="s" s="0">
        <v>81</v>
      </c>
      <c r="T601" t="s" s="0">
        <v>81</v>
      </c>
      <c r="U601" t="s" s="0">
        <v>81</v>
      </c>
      <c r="V601" t="s" s="0">
        <v>13328</v>
      </c>
      <c r="W601" t="s" s="0">
        <v>2293</v>
      </c>
      <c r="X601" t="s" s="0">
        <v>81</v>
      </c>
      <c r="Y601" t="s" s="0">
        <v>81</v>
      </c>
      <c r="Z601" t="s" s="0">
        <v>90</v>
      </c>
      <c r="AA601" t="s" s="0">
        <v>91</v>
      </c>
      <c r="AB601" t="s" s="0">
        <v>81</v>
      </c>
      <c r="AC601" t="s" s="0">
        <v>81</v>
      </c>
      <c r="AD601" t="s" s="0">
        <v>81</v>
      </c>
      <c r="AE601" t="s" s="0">
        <v>81</v>
      </c>
      <c r="AF601" t="s" s="0">
        <v>81</v>
      </c>
      <c r="AG601" t="s" s="0">
        <v>13329</v>
      </c>
      <c r="AH601" t="s" s="0">
        <v>13330</v>
      </c>
      <c r="AI601" t="s" s="0">
        <v>81</v>
      </c>
      <c r="AJ601" t="s" s="0">
        <v>13331</v>
      </c>
      <c r="AK601" t="s" s="0">
        <v>81</v>
      </c>
      <c r="AL601" t="s" s="0">
        <v>315</v>
      </c>
      <c r="AM601" t="s" s="0">
        <v>196</v>
      </c>
      <c r="AN601" t="s" s="0">
        <v>196</v>
      </c>
      <c r="AO601" t="s" s="0">
        <v>77</v>
      </c>
      <c r="AP601" t="s" s="0">
        <v>316</v>
      </c>
      <c r="AQ601" t="s" s="0">
        <v>136</v>
      </c>
      <c r="AR601" t="s" s="0">
        <v>137</v>
      </c>
      <c r="AS601" t="s" s="0">
        <v>138</v>
      </c>
      <c r="AT601" t="s" s="0">
        <v>2297</v>
      </c>
      <c r="AU601" t="s" s="0">
        <v>2298</v>
      </c>
      <c r="AV601" t="s" s="0">
        <v>81</v>
      </c>
      <c r="AW601" t="s" s="0">
        <v>2299</v>
      </c>
      <c r="AX601" t="s" s="0">
        <v>2300</v>
      </c>
      <c r="AY601" t="s" s="0">
        <v>2108</v>
      </c>
      <c r="AZ601" t="s" s="0">
        <v>103</v>
      </c>
      <c r="BA601" t="s" s="0">
        <v>2880</v>
      </c>
      <c r="BB601" t="s" s="0">
        <v>81</v>
      </c>
      <c r="BC601" t="s" s="0">
        <v>81</v>
      </c>
      <c r="BD601" t="s" s="0">
        <v>81</v>
      </c>
      <c r="BE601" t="s" s="0">
        <v>81</v>
      </c>
      <c r="BF601" t="s" s="0">
        <v>81</v>
      </c>
      <c r="BG601" t="s" s="0">
        <v>81</v>
      </c>
      <c r="BH601" t="s" s="0">
        <v>81</v>
      </c>
      <c r="BI601" t="s" s="0">
        <v>13332</v>
      </c>
      <c r="BJ601" t="s" s="0">
        <v>13333</v>
      </c>
      <c r="BK601" t="s" s="1193">
        <f>HYPERLINK("http://dx.doi.org/10.1016/j.media.2025.103856","http://dx.doi.org/10.1016/j.media.2025.103856")</f>
        <v>13334</v>
      </c>
      <c r="BL601" t="s" s="0">
        <v>81</v>
      </c>
      <c r="BM601" t="s" s="0">
        <v>289</v>
      </c>
      <c r="BN601" t="s" s="0">
        <v>134</v>
      </c>
      <c r="BO601" t="s" s="0">
        <v>2306</v>
      </c>
      <c r="BP601" t="s" s="0">
        <v>2307</v>
      </c>
      <c r="BQ601" t="s" s="0">
        <v>13335</v>
      </c>
      <c r="BR601" t="s" s="0">
        <v>13336</v>
      </c>
      <c r="BS601" t="s" s="0">
        <v>13337</v>
      </c>
      <c r="BT601" t="s" s="1194">
        <f>HYPERLINK("https://www.webofscience.com/wos/woscc/full-record/WOS:001619272900002","View Record in Web of Science")</f>
        <v>114</v>
      </c>
      <c r="BU601" t="s" s="0">
        <v>81</v>
      </c>
      <c r="BV601" t="s" s="0">
        <v>81</v>
      </c>
      <c r="BW601" t="s" s="0">
        <v>81</v>
      </c>
      <c r="BX601" t="s" s="0">
        <v>116</v>
      </c>
    </row>
    <row r="602">
      <c r="A602" t="s" s="0">
        <v>77</v>
      </c>
      <c r="B602" t="s" s="0">
        <v>77</v>
      </c>
      <c r="C602" t="s" s="0">
        <v>77</v>
      </c>
      <c r="D602" t="s" s="0">
        <v>77</v>
      </c>
      <c r="E602" t="s" s="0">
        <v>13338</v>
      </c>
      <c r="F602" t="s" s="0">
        <v>13339</v>
      </c>
      <c r="G602" t="s" s="0">
        <v>13340</v>
      </c>
      <c r="H602" t="s" s="0">
        <v>81</v>
      </c>
      <c r="I602" t="s" s="0">
        <v>238</v>
      </c>
      <c r="J602" t="s" s="0">
        <v>13341</v>
      </c>
      <c r="K602" t="s" s="0">
        <v>13342</v>
      </c>
      <c r="L602" t="s" s="0">
        <v>81</v>
      </c>
      <c r="M602" t="s" s="0">
        <v>81</v>
      </c>
      <c r="N602" t="s" s="0">
        <v>3193</v>
      </c>
      <c r="O602" t="s" s="0">
        <v>13343</v>
      </c>
      <c r="P602" t="s" s="0">
        <v>13344</v>
      </c>
      <c r="Q602" t="s" s="0">
        <v>87</v>
      </c>
      <c r="R602" t="s" s="0">
        <v>81</v>
      </c>
      <c r="S602" t="s" s="0">
        <v>81</v>
      </c>
      <c r="T602" t="s" s="0">
        <v>81</v>
      </c>
      <c r="U602" t="s" s="0">
        <v>81</v>
      </c>
      <c r="V602" t="s" s="0">
        <v>13345</v>
      </c>
      <c r="W602" t="s" s="0">
        <v>1482</v>
      </c>
      <c r="X602" t="s" s="0">
        <v>81</v>
      </c>
      <c r="Y602" t="s" s="0">
        <v>81</v>
      </c>
      <c r="Z602" t="s" s="0">
        <v>90</v>
      </c>
      <c r="AA602" t="s" s="0">
        <v>91</v>
      </c>
      <c r="AB602" t="s" s="0">
        <v>81</v>
      </c>
      <c r="AC602" t="s" s="0">
        <v>81</v>
      </c>
      <c r="AD602" t="s" s="0">
        <v>81</v>
      </c>
      <c r="AE602" t="s" s="0">
        <v>81</v>
      </c>
      <c r="AF602" t="s" s="0">
        <v>81</v>
      </c>
      <c r="AG602" t="s" s="0">
        <v>13346</v>
      </c>
      <c r="AH602" t="s" s="0">
        <v>13347</v>
      </c>
      <c r="AI602" t="s" s="0">
        <v>13348</v>
      </c>
      <c r="AJ602" t="s" s="0">
        <v>81</v>
      </c>
      <c r="AK602" t="s" s="0">
        <v>81</v>
      </c>
      <c r="AL602" t="s" s="0">
        <v>664</v>
      </c>
      <c r="AM602" t="s" s="0">
        <v>97</v>
      </c>
      <c r="AN602" t="s" s="0">
        <v>156</v>
      </c>
      <c r="AO602" t="s" s="0">
        <v>77</v>
      </c>
      <c r="AP602" t="s" s="0">
        <v>77</v>
      </c>
      <c r="AQ602" t="s" s="0">
        <v>284</v>
      </c>
      <c r="AR602" t="s" s="0">
        <v>285</v>
      </c>
      <c r="AS602" t="s" s="0">
        <v>286</v>
      </c>
      <c r="AT602" t="s" s="0">
        <v>1487</v>
      </c>
      <c r="AU602" t="s" s="0">
        <v>81</v>
      </c>
      <c r="AV602" t="s" s="0">
        <v>81</v>
      </c>
      <c r="AW602" t="s" s="0">
        <v>1482</v>
      </c>
      <c r="AX602" t="s" s="0">
        <v>1488</v>
      </c>
      <c r="AY602" t="s" s="0">
        <v>3443</v>
      </c>
      <c r="AZ602" t="s" s="0">
        <v>103</v>
      </c>
      <c r="BA602" t="s" s="0">
        <v>291</v>
      </c>
      <c r="BB602" t="s" s="0">
        <v>316</v>
      </c>
      <c r="BC602" t="s" s="0">
        <v>81</v>
      </c>
      <c r="BD602" t="s" s="0">
        <v>81</v>
      </c>
      <c r="BE602" t="s" s="0">
        <v>81</v>
      </c>
      <c r="BF602" t="s" s="0">
        <v>81</v>
      </c>
      <c r="BG602" t="s" s="0">
        <v>81</v>
      </c>
      <c r="BH602" t="s" s="0">
        <v>81</v>
      </c>
      <c r="BI602" t="s" s="0">
        <v>9044</v>
      </c>
      <c r="BJ602" t="s" s="0">
        <v>13349</v>
      </c>
      <c r="BK602" t="s" s="1195">
        <f>HYPERLINK("http://dx.doi.org/10.3390/computers15060361","http://dx.doi.org/10.3390/computers15060361")</f>
        <v>13350</v>
      </c>
      <c r="BL602" t="s" s="0">
        <v>81</v>
      </c>
      <c r="BM602" t="s" s="0">
        <v>849</v>
      </c>
      <c r="BN602" t="s" s="0">
        <v>174</v>
      </c>
      <c r="BO602" t="s" s="0">
        <v>1493</v>
      </c>
      <c r="BP602" t="s" s="0">
        <v>152</v>
      </c>
      <c r="BQ602" t="s" s="0">
        <v>13351</v>
      </c>
      <c r="BR602" t="s" s="0">
        <v>81</v>
      </c>
      <c r="BS602" t="s" s="0">
        <v>13352</v>
      </c>
      <c r="BT602" t="s" s="1196">
        <f>HYPERLINK("https://www.webofscience.com/wos/woscc/full-record/WOS:001802023700001","View Record in Web of Science")</f>
        <v>114</v>
      </c>
      <c r="BU602" t="s" s="0">
        <v>115</v>
      </c>
      <c r="BV602" t="s" s="0">
        <v>81</v>
      </c>
      <c r="BW602" t="s" s="0">
        <v>81</v>
      </c>
      <c r="BX602" t="s" s="0">
        <v>116</v>
      </c>
    </row>
    <row r="603">
      <c r="A603" t="s" s="0">
        <v>97</v>
      </c>
      <c r="B603" t="s" s="0">
        <v>77</v>
      </c>
      <c r="C603" t="s" s="0">
        <v>77</v>
      </c>
      <c r="D603" t="s" s="0">
        <v>77</v>
      </c>
      <c r="E603" t="s" s="0">
        <v>13353</v>
      </c>
      <c r="F603" t="s" s="0">
        <v>13354</v>
      </c>
      <c r="G603" t="s" s="0">
        <v>13355</v>
      </c>
      <c r="H603" t="s" s="0">
        <v>81</v>
      </c>
      <c r="I603" t="s" s="0">
        <v>82</v>
      </c>
      <c r="J603" t="s" s="0">
        <v>13356</v>
      </c>
      <c r="K603" t="s" s="0">
        <v>13357</v>
      </c>
      <c r="L603" t="s" s="0">
        <v>13358</v>
      </c>
      <c r="M603" t="s" s="0">
        <v>13359</v>
      </c>
      <c r="N603" t="s" s="0">
        <v>13360</v>
      </c>
      <c r="O603" t="s" s="0">
        <v>13361</v>
      </c>
      <c r="P603" t="s" s="0">
        <v>13362</v>
      </c>
      <c r="Q603" t="s" s="0">
        <v>87</v>
      </c>
      <c r="R603" t="s" s="0">
        <v>81</v>
      </c>
      <c r="S603" t="s" s="0">
        <v>81</v>
      </c>
      <c r="T603" t="s" s="0">
        <v>81</v>
      </c>
      <c r="U603" t="s" s="0">
        <v>81</v>
      </c>
      <c r="V603" t="s" s="0">
        <v>13363</v>
      </c>
      <c r="W603" t="s" s="0">
        <v>2369</v>
      </c>
      <c r="X603" t="s" s="0">
        <v>81</v>
      </c>
      <c r="Y603" t="s" s="0">
        <v>81</v>
      </c>
      <c r="Z603" t="s" s="0">
        <v>90</v>
      </c>
      <c r="AA603" t="s" s="0">
        <v>91</v>
      </c>
      <c r="AB603" t="s" s="0">
        <v>81</v>
      </c>
      <c r="AC603" t="s" s="0">
        <v>81</v>
      </c>
      <c r="AD603" t="s" s="0">
        <v>81</v>
      </c>
      <c r="AE603" t="s" s="0">
        <v>81</v>
      </c>
      <c r="AF603" t="s" s="0">
        <v>81</v>
      </c>
      <c r="AG603" t="s" s="0">
        <v>13364</v>
      </c>
      <c r="AH603" t="s" s="0">
        <v>13365</v>
      </c>
      <c r="AI603" t="s" s="0">
        <v>13366</v>
      </c>
      <c r="AJ603" t="s" s="0">
        <v>13367</v>
      </c>
      <c r="AK603" t="s" s="0">
        <v>81</v>
      </c>
      <c r="AL603" t="s" s="0">
        <v>672</v>
      </c>
      <c r="AM603" t="s" s="0">
        <v>13368</v>
      </c>
      <c r="AN603" t="s" s="0">
        <v>13369</v>
      </c>
      <c r="AO603" t="s" s="0">
        <v>261</v>
      </c>
      <c r="AP603" t="s" s="0">
        <v>13370</v>
      </c>
      <c r="AQ603" t="s" s="0">
        <v>98</v>
      </c>
      <c r="AR603" t="s" s="0">
        <v>99</v>
      </c>
      <c r="AS603" t="s" s="0">
        <v>100</v>
      </c>
      <c r="AT603" t="s" s="0">
        <v>2371</v>
      </c>
      <c r="AU603" t="s" s="0">
        <v>81</v>
      </c>
      <c r="AV603" t="s" s="0">
        <v>81</v>
      </c>
      <c r="AW603" t="s" s="0">
        <v>2372</v>
      </c>
      <c r="AX603" t="s" s="0">
        <v>2373</v>
      </c>
      <c r="AY603" t="s" s="0">
        <v>13371</v>
      </c>
      <c r="AZ603" t="s" s="0">
        <v>260</v>
      </c>
      <c r="BA603" t="s" s="0">
        <v>211</v>
      </c>
      <c r="BB603" t="s" s="0">
        <v>133</v>
      </c>
      <c r="BC603" t="s" s="0">
        <v>81</v>
      </c>
      <c r="BD603" t="s" s="0">
        <v>81</v>
      </c>
      <c r="BE603" t="s" s="0">
        <v>81</v>
      </c>
      <c r="BF603" t="s" s="0">
        <v>81</v>
      </c>
      <c r="BG603" t="s" s="0">
        <v>13372</v>
      </c>
      <c r="BH603" t="s" s="0">
        <v>13373</v>
      </c>
      <c r="BI603" t="s" s="0">
        <v>81</v>
      </c>
      <c r="BJ603" t="s" s="0">
        <v>13374</v>
      </c>
      <c r="BK603" t="s" s="1197">
        <f>HYPERLINK("http://dx.doi.org/10.1109/JIOT.2022.3203249","http://dx.doi.org/10.1109/JIOT.2022.3203249")</f>
        <v>13375</v>
      </c>
      <c r="BL603" t="s" s="0">
        <v>81</v>
      </c>
      <c r="BM603" t="s" s="0">
        <v>81</v>
      </c>
      <c r="BN603" t="s" s="0">
        <v>150</v>
      </c>
      <c r="BO603" t="s" s="0">
        <v>110</v>
      </c>
      <c r="BP603" t="s" s="0">
        <v>111</v>
      </c>
      <c r="BQ603" t="s" s="0">
        <v>13376</v>
      </c>
      <c r="BR603" t="s" s="0">
        <v>81</v>
      </c>
      <c r="BS603" t="s" s="0">
        <v>13377</v>
      </c>
      <c r="BT603" t="s" s="1198">
        <f>HYPERLINK("https://www.webofscience.com/wos/woscc/full-record/WOS:000966879600001","View Record in Web of Science")</f>
        <v>114</v>
      </c>
      <c r="BU603" t="s" s="0">
        <v>81</v>
      </c>
      <c r="BV603" t="s" s="0">
        <v>2886</v>
      </c>
      <c r="BW603" t="s" s="0">
        <v>2887</v>
      </c>
      <c r="BX603" t="s" s="0">
        <v>116</v>
      </c>
    </row>
    <row r="604">
      <c r="A604" t="s" s="0">
        <v>77</v>
      </c>
      <c r="B604" t="s" s="0">
        <v>77</v>
      </c>
      <c r="C604" t="s" s="0">
        <v>77</v>
      </c>
      <c r="D604" t="s" s="0">
        <v>77</v>
      </c>
      <c r="E604" t="s" s="0">
        <v>13378</v>
      </c>
      <c r="F604" t="s" s="0">
        <v>13379</v>
      </c>
      <c r="G604" t="s" s="0">
        <v>13380</v>
      </c>
      <c r="H604" t="s" s="0">
        <v>81</v>
      </c>
      <c r="I604" t="s" s="0">
        <v>528</v>
      </c>
      <c r="J604" t="s" s="0">
        <v>13381</v>
      </c>
      <c r="K604" t="s" s="0">
        <v>13382</v>
      </c>
      <c r="L604" t="s" s="0">
        <v>13383</v>
      </c>
      <c r="M604" t="s" s="0">
        <v>13384</v>
      </c>
      <c r="N604" t="s" s="0">
        <v>13385</v>
      </c>
      <c r="O604" t="s" s="0">
        <v>13386</v>
      </c>
      <c r="P604" t="s" s="0">
        <v>13387</v>
      </c>
      <c r="Q604" t="s" s="0">
        <v>87</v>
      </c>
      <c r="R604" t="s" s="0">
        <v>81</v>
      </c>
      <c r="S604" t="s" s="0">
        <v>81</v>
      </c>
      <c r="T604" t="s" s="0">
        <v>81</v>
      </c>
      <c r="U604" t="s" s="0">
        <v>81</v>
      </c>
      <c r="V604" t="s" s="0">
        <v>13388</v>
      </c>
      <c r="W604" t="s" s="0">
        <v>9822</v>
      </c>
      <c r="X604" t="s" s="0">
        <v>81</v>
      </c>
      <c r="Y604" t="s" s="0">
        <v>81</v>
      </c>
      <c r="Z604" t="s" s="0">
        <v>90</v>
      </c>
      <c r="AA604" t="s" s="0">
        <v>91</v>
      </c>
      <c r="AB604" t="s" s="0">
        <v>81</v>
      </c>
      <c r="AC604" t="s" s="0">
        <v>81</v>
      </c>
      <c r="AD604" t="s" s="0">
        <v>81</v>
      </c>
      <c r="AE604" t="s" s="0">
        <v>81</v>
      </c>
      <c r="AF604" t="s" s="0">
        <v>81</v>
      </c>
      <c r="AG604" t="s" s="0">
        <v>13389</v>
      </c>
      <c r="AH604" t="s" s="0">
        <v>13390</v>
      </c>
      <c r="AI604" t="s" s="0">
        <v>13391</v>
      </c>
      <c r="AJ604" t="s" s="0">
        <v>13392</v>
      </c>
      <c r="AK604" t="s" s="0">
        <v>81</v>
      </c>
      <c r="AL604" t="s" s="0">
        <v>2447</v>
      </c>
      <c r="AM604" t="s" s="0">
        <v>97</v>
      </c>
      <c r="AN604" t="s" s="0">
        <v>97</v>
      </c>
      <c r="AO604" t="s" s="0">
        <v>104</v>
      </c>
      <c r="AP604" t="s" s="0">
        <v>104</v>
      </c>
      <c r="AQ604" t="s" s="0">
        <v>9827</v>
      </c>
      <c r="AR604" t="s" s="0">
        <v>546</v>
      </c>
      <c r="AS604" t="s" s="0">
        <v>9828</v>
      </c>
      <c r="AT604" t="s" s="0">
        <v>9829</v>
      </c>
      <c r="AU604" t="s" s="0">
        <v>81</v>
      </c>
      <c r="AV604" t="s" s="0">
        <v>81</v>
      </c>
      <c r="AW604" t="s" s="0">
        <v>9830</v>
      </c>
      <c r="AX604" t="s" s="0">
        <v>9831</v>
      </c>
      <c r="AY604" t="s" s="0">
        <v>103</v>
      </c>
      <c r="AZ604" t="s" s="0">
        <v>103</v>
      </c>
      <c r="BA604" t="s" s="0">
        <v>134</v>
      </c>
      <c r="BB604" t="s" s="0">
        <v>81</v>
      </c>
      <c r="BC604" t="s" s="0">
        <v>81</v>
      </c>
      <c r="BD604" t="s" s="0">
        <v>81</v>
      </c>
      <c r="BE604" t="s" s="0">
        <v>81</v>
      </c>
      <c r="BF604" t="s" s="0">
        <v>81</v>
      </c>
      <c r="BG604" t="s" s="0">
        <v>81</v>
      </c>
      <c r="BH604" t="s" s="0">
        <v>81</v>
      </c>
      <c r="BI604" t="s" s="0">
        <v>13393</v>
      </c>
      <c r="BJ604" t="s" s="0">
        <v>13394</v>
      </c>
      <c r="BK604" t="s" s="1199">
        <f>HYPERLINK("http://dx.doi.org/10.1177/20552076261429671","http://dx.doi.org/10.1177/20552076261429671")</f>
        <v>13395</v>
      </c>
      <c r="BL604" t="s" s="0">
        <v>81</v>
      </c>
      <c r="BM604" t="s" s="0">
        <v>81</v>
      </c>
      <c r="BN604" t="s" s="0">
        <v>367</v>
      </c>
      <c r="BO604" t="s" s="0">
        <v>9835</v>
      </c>
      <c r="BP604" t="s" s="0">
        <v>9836</v>
      </c>
      <c r="BQ604" t="s" s="0">
        <v>13396</v>
      </c>
      <c r="BR604" t="s" s="0">
        <v>13397</v>
      </c>
      <c r="BS604" t="s" s="0">
        <v>13398</v>
      </c>
      <c r="BT604" t="s" s="1200">
        <f>HYPERLINK("https://www.webofscience.com/wos/woscc/full-record/WOS:001704427100001","View Record in Web of Science")</f>
        <v>114</v>
      </c>
      <c r="BU604" t="s" s="0">
        <v>301</v>
      </c>
      <c r="BV604" t="s" s="0">
        <v>81</v>
      </c>
      <c r="BW604" t="s" s="0">
        <v>81</v>
      </c>
      <c r="BX604" t="s" s="0">
        <v>116</v>
      </c>
    </row>
    <row r="605">
      <c r="A605" t="s" s="0">
        <v>77</v>
      </c>
      <c r="B605" t="s" s="0">
        <v>77</v>
      </c>
      <c r="C605" t="s" s="0">
        <v>77</v>
      </c>
      <c r="D605" t="s" s="0">
        <v>77</v>
      </c>
      <c r="E605" t="s" s="0">
        <v>13399</v>
      </c>
      <c r="F605" t="s" s="0">
        <v>13400</v>
      </c>
      <c r="G605" t="s" s="0">
        <v>13401</v>
      </c>
      <c r="H605" t="s" s="0">
        <v>81</v>
      </c>
      <c r="I605" t="s" s="0">
        <v>82</v>
      </c>
      <c r="J605" t="s" s="0">
        <v>13402</v>
      </c>
      <c r="K605" t="s" s="0">
        <v>13403</v>
      </c>
      <c r="L605" t="s" s="0">
        <v>13404</v>
      </c>
      <c r="M605" t="s" s="0">
        <v>13405</v>
      </c>
      <c r="N605" t="s" s="0">
        <v>13406</v>
      </c>
      <c r="O605" t="s" s="0">
        <v>13407</v>
      </c>
      <c r="P605" t="s" s="0">
        <v>81</v>
      </c>
      <c r="Q605" t="s" s="0">
        <v>87</v>
      </c>
      <c r="R605" t="s" s="0">
        <v>81</v>
      </c>
      <c r="S605" t="s" s="0">
        <v>81</v>
      </c>
      <c r="T605" t="s" s="0">
        <v>81</v>
      </c>
      <c r="U605" t="s" s="0">
        <v>81</v>
      </c>
      <c r="V605" t="s" s="0">
        <v>13408</v>
      </c>
      <c r="W605" t="s" s="0">
        <v>13409</v>
      </c>
      <c r="X605" t="s" s="0">
        <v>81</v>
      </c>
      <c r="Y605" t="s" s="0">
        <v>81</v>
      </c>
      <c r="Z605" t="s" s="0">
        <v>90</v>
      </c>
      <c r="AA605" t="s" s="0">
        <v>91</v>
      </c>
      <c r="AB605" t="s" s="0">
        <v>81</v>
      </c>
      <c r="AC605" t="s" s="0">
        <v>81</v>
      </c>
      <c r="AD605" t="s" s="0">
        <v>81</v>
      </c>
      <c r="AE605" t="s" s="0">
        <v>81</v>
      </c>
      <c r="AF605" t="s" s="0">
        <v>81</v>
      </c>
      <c r="AG605" t="s" s="0">
        <v>13410</v>
      </c>
      <c r="AH605" t="s" s="0">
        <v>13411</v>
      </c>
      <c r="AI605" t="s" s="0">
        <v>81</v>
      </c>
      <c r="AJ605" t="s" s="0">
        <v>81</v>
      </c>
      <c r="AK605" t="s" s="0">
        <v>81</v>
      </c>
      <c r="AL605" t="s" s="0">
        <v>150</v>
      </c>
      <c r="AM605" t="s" s="0">
        <v>77</v>
      </c>
      <c r="AN605" t="s" s="0">
        <v>77</v>
      </c>
      <c r="AO605" t="s" s="0">
        <v>77</v>
      </c>
      <c r="AP605" t="s" s="0">
        <v>77</v>
      </c>
      <c r="AQ605" t="s" s="0">
        <v>2208</v>
      </c>
      <c r="AR605" t="s" s="0">
        <v>2209</v>
      </c>
      <c r="AS605" t="s" s="0">
        <v>2252</v>
      </c>
      <c r="AT605" t="s" s="0">
        <v>13412</v>
      </c>
      <c r="AU605" t="s" s="0">
        <v>13413</v>
      </c>
      <c r="AV605" t="s" s="0">
        <v>81</v>
      </c>
      <c r="AW605" t="s" s="0">
        <v>13414</v>
      </c>
      <c r="AX605" t="s" s="0">
        <v>13415</v>
      </c>
      <c r="AY605" t="s" s="0">
        <v>13416</v>
      </c>
      <c r="AZ605" t="s" s="0">
        <v>103</v>
      </c>
      <c r="BA605" t="s" s="0">
        <v>13417</v>
      </c>
      <c r="BB605" t="s" s="0">
        <v>261</v>
      </c>
      <c r="BC605" t="s" s="0">
        <v>81</v>
      </c>
      <c r="BD605" t="s" s="0">
        <v>81</v>
      </c>
      <c r="BE605" t="s" s="0">
        <v>81</v>
      </c>
      <c r="BF605" t="s" s="0">
        <v>81</v>
      </c>
      <c r="BG605" t="s" s="0">
        <v>81</v>
      </c>
      <c r="BH605" t="s" s="0">
        <v>81</v>
      </c>
      <c r="BI605" t="s" s="0">
        <v>13418</v>
      </c>
      <c r="BJ605" t="s" s="0">
        <v>13419</v>
      </c>
      <c r="BK605" t="s" s="1201">
        <f>HYPERLINK("http://dx.doi.org/10.1007/s00203-026-05005-2","http://dx.doi.org/10.1007/s00203-026-05005-2")</f>
        <v>13420</v>
      </c>
      <c r="BL605" t="s" s="0">
        <v>81</v>
      </c>
      <c r="BM605" t="s" s="0">
        <v>849</v>
      </c>
      <c r="BN605" t="s" s="0">
        <v>295</v>
      </c>
      <c r="BO605" t="s" s="0">
        <v>13421</v>
      </c>
      <c r="BP605" t="s" s="0">
        <v>13421</v>
      </c>
      <c r="BQ605" t="s" s="0">
        <v>13422</v>
      </c>
      <c r="BR605" t="s" s="0">
        <v>13423</v>
      </c>
      <c r="BS605" t="s" s="0">
        <v>13424</v>
      </c>
      <c r="BT605" t="s" s="1202">
        <f>HYPERLINK("https://www.webofscience.com/wos/woscc/full-record/WOS:001799940700005","View Record in Web of Science")</f>
        <v>114</v>
      </c>
      <c r="BU605" t="s" s="0">
        <v>81</v>
      </c>
      <c r="BV605" t="s" s="0">
        <v>81</v>
      </c>
      <c r="BW605" t="s" s="0">
        <v>81</v>
      </c>
      <c r="BX605" t="s" s="0">
        <v>116</v>
      </c>
    </row>
    <row r="606">
      <c r="A606" t="s" s="0">
        <v>77</v>
      </c>
      <c r="B606" t="s" s="0">
        <v>77</v>
      </c>
      <c r="C606" t="s" s="0">
        <v>77</v>
      </c>
      <c r="D606" t="s" s="0">
        <v>77</v>
      </c>
      <c r="E606" t="s" s="0">
        <v>13425</v>
      </c>
      <c r="F606" t="s" s="0">
        <v>13426</v>
      </c>
      <c r="G606" t="s" s="0">
        <v>13427</v>
      </c>
      <c r="H606" t="s" s="0">
        <v>81</v>
      </c>
      <c r="I606" t="s" s="0">
        <v>82</v>
      </c>
      <c r="J606" t="s" s="0">
        <v>13428</v>
      </c>
      <c r="K606" t="s" s="0">
        <v>13429</v>
      </c>
      <c r="L606" t="s" s="0">
        <v>81</v>
      </c>
      <c r="M606" t="s" s="0">
        <v>81</v>
      </c>
      <c r="N606" t="s" s="0">
        <v>81</v>
      </c>
      <c r="O606" t="s" s="0">
        <v>13430</v>
      </c>
      <c r="P606" t="s" s="0">
        <v>13431</v>
      </c>
      <c r="Q606" t="s" s="0">
        <v>87</v>
      </c>
      <c r="R606" t="s" s="0">
        <v>81</v>
      </c>
      <c r="S606" t="s" s="0">
        <v>81</v>
      </c>
      <c r="T606" t="s" s="0">
        <v>81</v>
      </c>
      <c r="U606" t="s" s="0">
        <v>81</v>
      </c>
      <c r="V606" t="s" s="0">
        <v>13432</v>
      </c>
      <c r="W606" t="s" s="0">
        <v>13433</v>
      </c>
      <c r="X606" t="s" s="0">
        <v>81</v>
      </c>
      <c r="Y606" t="s" s="0">
        <v>81</v>
      </c>
      <c r="Z606" t="s" s="0">
        <v>90</v>
      </c>
      <c r="AA606" t="s" s="0">
        <v>1581</v>
      </c>
      <c r="AB606" t="s" s="0">
        <v>81</v>
      </c>
      <c r="AC606" t="s" s="0">
        <v>81</v>
      </c>
      <c r="AD606" t="s" s="0">
        <v>81</v>
      </c>
      <c r="AE606" t="s" s="0">
        <v>81</v>
      </c>
      <c r="AF606" t="s" s="0">
        <v>81</v>
      </c>
      <c r="AG606" t="s" s="0">
        <v>13434</v>
      </c>
      <c r="AH606" t="s" s="0">
        <v>81</v>
      </c>
      <c r="AI606" t="s" s="0">
        <v>13435</v>
      </c>
      <c r="AJ606" t="s" s="0">
        <v>81</v>
      </c>
      <c r="AK606" t="s" s="0">
        <v>81</v>
      </c>
      <c r="AL606" t="s" s="0">
        <v>174</v>
      </c>
      <c r="AM606" t="s" s="0">
        <v>77</v>
      </c>
      <c r="AN606" t="s" s="0">
        <v>77</v>
      </c>
      <c r="AO606" t="s" s="0">
        <v>156</v>
      </c>
      <c r="AP606" t="s" s="0">
        <v>156</v>
      </c>
      <c r="AQ606" t="s" s="0">
        <v>2208</v>
      </c>
      <c r="AR606" t="s" s="0">
        <v>2209</v>
      </c>
      <c r="AS606" t="s" s="0">
        <v>2210</v>
      </c>
      <c r="AT606" t="s" s="0">
        <v>13436</v>
      </c>
      <c r="AU606" t="s" s="0">
        <v>13437</v>
      </c>
      <c r="AV606" t="s" s="0">
        <v>81</v>
      </c>
      <c r="AW606" t="s" s="0">
        <v>13438</v>
      </c>
      <c r="AX606" t="s" s="0">
        <v>13439</v>
      </c>
      <c r="AY606" t="s" s="0">
        <v>81</v>
      </c>
      <c r="AZ606" t="s" s="0">
        <v>103</v>
      </c>
      <c r="BA606" t="s" s="0">
        <v>81</v>
      </c>
      <c r="BB606" t="s" s="0">
        <v>81</v>
      </c>
      <c r="BC606" t="s" s="0">
        <v>81</v>
      </c>
      <c r="BD606" t="s" s="0">
        <v>81</v>
      </c>
      <c r="BE606" t="s" s="0">
        <v>81</v>
      </c>
      <c r="BF606" t="s" s="0">
        <v>81</v>
      </c>
      <c r="BG606" t="s" s="0">
        <v>81</v>
      </c>
      <c r="BH606" t="s" s="0">
        <v>81</v>
      </c>
      <c r="BI606" t="s" s="0">
        <v>81</v>
      </c>
      <c r="BJ606" t="s" s="0">
        <v>13440</v>
      </c>
      <c r="BK606" t="s" s="1203">
        <f>HYPERLINK("http://dx.doi.org/10.1007/s13369-026-11350-7","http://dx.doi.org/10.1007/s13369-026-11350-7")</f>
        <v>13441</v>
      </c>
      <c r="BL606" t="s" s="0">
        <v>81</v>
      </c>
      <c r="BM606" t="s" s="0">
        <v>675</v>
      </c>
      <c r="BN606" t="s" s="0">
        <v>485</v>
      </c>
      <c r="BO606" t="s" s="0">
        <v>926</v>
      </c>
      <c r="BP606" t="s" s="0">
        <v>927</v>
      </c>
      <c r="BQ606" t="s" s="0">
        <v>13442</v>
      </c>
      <c r="BR606" t="s" s="0">
        <v>81</v>
      </c>
      <c r="BS606" t="s" s="0">
        <v>13443</v>
      </c>
      <c r="BT606" t="s" s="1204">
        <f>HYPERLINK("https://www.webofscience.com/wos/woscc/full-record/WOS:001762590400001","View Record in Web of Science")</f>
        <v>114</v>
      </c>
      <c r="BU606" t="s" s="0">
        <v>81</v>
      </c>
      <c r="BV606" t="s" s="0">
        <v>81</v>
      </c>
      <c r="BW606" t="s" s="0">
        <v>81</v>
      </c>
      <c r="BX606" t="s" s="0">
        <v>116</v>
      </c>
    </row>
    <row r="607">
      <c r="A607" t="s" s="0">
        <v>97</v>
      </c>
      <c r="B607" t="s" s="0">
        <v>77</v>
      </c>
      <c r="C607" t="s" s="0">
        <v>222</v>
      </c>
      <c r="D607" t="s" s="0">
        <v>77</v>
      </c>
      <c r="E607" t="s" s="0">
        <v>13444</v>
      </c>
      <c r="F607" t="s" s="0">
        <v>13445</v>
      </c>
      <c r="G607" t="s" s="0">
        <v>13446</v>
      </c>
      <c r="H607" t="s" s="0">
        <v>81</v>
      </c>
      <c r="I607" t="s" s="0">
        <v>82</v>
      </c>
      <c r="J607" t="s" s="0">
        <v>13447</v>
      </c>
      <c r="K607" t="s" s="0">
        <v>13448</v>
      </c>
      <c r="L607" t="s" s="0">
        <v>13449</v>
      </c>
      <c r="M607" t="s" s="0">
        <v>13450</v>
      </c>
      <c r="N607" t="s" s="0">
        <v>13451</v>
      </c>
      <c r="O607" t="s" s="0">
        <v>13452</v>
      </c>
      <c r="P607" t="s" s="0">
        <v>13453</v>
      </c>
      <c r="Q607" t="s" s="0">
        <v>87</v>
      </c>
      <c r="R607" t="s" s="0">
        <v>81</v>
      </c>
      <c r="S607" t="s" s="0">
        <v>81</v>
      </c>
      <c r="T607" t="s" s="0">
        <v>81</v>
      </c>
      <c r="U607" t="s" s="0">
        <v>81</v>
      </c>
      <c r="V607" t="s" s="0">
        <v>13454</v>
      </c>
      <c r="W607" t="s" s="0">
        <v>910</v>
      </c>
      <c r="X607" t="s" s="0">
        <v>81</v>
      </c>
      <c r="Y607" t="s" s="0">
        <v>81</v>
      </c>
      <c r="Z607" t="s" s="0">
        <v>90</v>
      </c>
      <c r="AA607" t="s" s="0">
        <v>91</v>
      </c>
      <c r="AB607" t="s" s="0">
        <v>81</v>
      </c>
      <c r="AC607" t="s" s="0">
        <v>81</v>
      </c>
      <c r="AD607" t="s" s="0">
        <v>81</v>
      </c>
      <c r="AE607" t="s" s="0">
        <v>81</v>
      </c>
      <c r="AF607" t="s" s="0">
        <v>81</v>
      </c>
      <c r="AG607" t="s" s="0">
        <v>81</v>
      </c>
      <c r="AH607" t="s" s="0">
        <v>13455</v>
      </c>
      <c r="AI607" t="s" s="0">
        <v>13456</v>
      </c>
      <c r="AJ607" t="s" s="0">
        <v>13457</v>
      </c>
      <c r="AK607" t="s" s="0">
        <v>81</v>
      </c>
      <c r="AL607" t="s" s="0">
        <v>96</v>
      </c>
      <c r="AM607" t="s" s="0">
        <v>914</v>
      </c>
      <c r="AN607" t="s" s="0">
        <v>5451</v>
      </c>
      <c r="AO607" t="s" s="0">
        <v>175</v>
      </c>
      <c r="AP607" t="s" s="0">
        <v>543</v>
      </c>
      <c r="AQ607" t="s" s="0">
        <v>915</v>
      </c>
      <c r="AR607" t="s" s="0">
        <v>916</v>
      </c>
      <c r="AS607" t="s" s="0">
        <v>917</v>
      </c>
      <c r="AT607" t="s" s="0">
        <v>918</v>
      </c>
      <c r="AU607" t="s" s="0">
        <v>81</v>
      </c>
      <c r="AV607" t="s" s="0">
        <v>81</v>
      </c>
      <c r="AW607" t="s" s="0">
        <v>919</v>
      </c>
      <c r="AX607" t="s" s="0">
        <v>920</v>
      </c>
      <c r="AY607" t="s" s="0">
        <v>13458</v>
      </c>
      <c r="AZ607" t="s" s="0">
        <v>185</v>
      </c>
      <c r="BA607" t="s" s="0">
        <v>104</v>
      </c>
      <c r="BB607" t="s" s="0">
        <v>97</v>
      </c>
      <c r="BC607" t="s" s="0">
        <v>81</v>
      </c>
      <c r="BD607" t="s" s="0">
        <v>81</v>
      </c>
      <c r="BE607" t="s" s="0">
        <v>81</v>
      </c>
      <c r="BF607" t="s" s="0">
        <v>81</v>
      </c>
      <c r="BG607" t="s" s="0">
        <v>81</v>
      </c>
      <c r="BH607" t="s" s="0">
        <v>81</v>
      </c>
      <c r="BI607" t="s" s="0">
        <v>13459</v>
      </c>
      <c r="BJ607" t="s" s="0">
        <v>13460</v>
      </c>
      <c r="BK607" t="s" s="1205">
        <f>HYPERLINK("http://dx.doi.org/10.1038/s41598-024-70165-4","http://dx.doi.org/10.1038/s41598-024-70165-4")</f>
        <v>13461</v>
      </c>
      <c r="BL607" t="s" s="0">
        <v>81</v>
      </c>
      <c r="BM607" t="s" s="0">
        <v>81</v>
      </c>
      <c r="BN607" t="s" s="0">
        <v>367</v>
      </c>
      <c r="BO607" t="s" s="0">
        <v>926</v>
      </c>
      <c r="BP607" t="s" s="0">
        <v>927</v>
      </c>
      <c r="BQ607" t="s" s="0">
        <v>13462</v>
      </c>
      <c r="BR607" t="s" s="0">
        <v>13463</v>
      </c>
      <c r="BS607" t="s" s="0">
        <v>13464</v>
      </c>
      <c r="BT607" t="s" s="1206">
        <f>HYPERLINK("https://www.webofscience.com/wos/woscc/full-record/WOS:001334500800020","View Record in Web of Science")</f>
        <v>114</v>
      </c>
      <c r="BU607" t="s" s="0">
        <v>301</v>
      </c>
      <c r="BV607" t="s" s="0">
        <v>81</v>
      </c>
      <c r="BW607" t="s" s="0">
        <v>81</v>
      </c>
      <c r="BX607" t="s" s="0">
        <v>116</v>
      </c>
    </row>
    <row r="608">
      <c r="A608" t="s" s="0">
        <v>77</v>
      </c>
      <c r="B608" t="s" s="0">
        <v>77</v>
      </c>
      <c r="C608" t="s" s="0">
        <v>175</v>
      </c>
      <c r="D608" t="s" s="0">
        <v>77</v>
      </c>
      <c r="E608" t="s" s="0">
        <v>13465</v>
      </c>
      <c r="F608" t="s" s="0">
        <v>13466</v>
      </c>
      <c r="G608" t="s" s="0">
        <v>13467</v>
      </c>
      <c r="H608" t="s" s="0">
        <v>81</v>
      </c>
      <c r="I608" t="s" s="0">
        <v>82</v>
      </c>
      <c r="J608" t="s" s="0">
        <v>13468</v>
      </c>
      <c r="K608" t="s" s="0">
        <v>2748</v>
      </c>
      <c r="L608" t="s" s="0">
        <v>2749</v>
      </c>
      <c r="M608" t="s" s="0">
        <v>2750</v>
      </c>
      <c r="N608" t="s" s="0">
        <v>13469</v>
      </c>
      <c r="O608" t="s" s="0">
        <v>13470</v>
      </c>
      <c r="P608" t="s" s="0">
        <v>13471</v>
      </c>
      <c r="Q608" t="s" s="0">
        <v>87</v>
      </c>
      <c r="R608" t="s" s="0">
        <v>81</v>
      </c>
      <c r="S608" t="s" s="0">
        <v>81</v>
      </c>
      <c r="T608" t="s" s="0">
        <v>81</v>
      </c>
      <c r="U608" t="s" s="0">
        <v>81</v>
      </c>
      <c r="V608" t="s" s="0">
        <v>13472</v>
      </c>
      <c r="W608" t="s" s="0">
        <v>13473</v>
      </c>
      <c r="X608" t="s" s="0">
        <v>81</v>
      </c>
      <c r="Y608" t="s" s="0">
        <v>81</v>
      </c>
      <c r="Z608" t="s" s="0">
        <v>90</v>
      </c>
      <c r="AA608" t="s" s="0">
        <v>91</v>
      </c>
      <c r="AB608" t="s" s="0">
        <v>81</v>
      </c>
      <c r="AC608" t="s" s="0">
        <v>81</v>
      </c>
      <c r="AD608" t="s" s="0">
        <v>81</v>
      </c>
      <c r="AE608" t="s" s="0">
        <v>81</v>
      </c>
      <c r="AF608" t="s" s="0">
        <v>81</v>
      </c>
      <c r="AG608" t="s" s="0">
        <v>13474</v>
      </c>
      <c r="AH608" t="s" s="0">
        <v>7735</v>
      </c>
      <c r="AI608" t="s" s="0">
        <v>13475</v>
      </c>
      <c r="AJ608" t="s" s="0">
        <v>13476</v>
      </c>
      <c r="AK608" t="s" s="0">
        <v>81</v>
      </c>
      <c r="AL608" t="s" s="0">
        <v>399</v>
      </c>
      <c r="AM608" t="s" s="0">
        <v>486</v>
      </c>
      <c r="AN608" t="s" s="0">
        <v>104</v>
      </c>
      <c r="AO608" t="s" s="0">
        <v>77</v>
      </c>
      <c r="AP608" t="s" s="0">
        <v>133</v>
      </c>
      <c r="AQ608" t="s" s="0">
        <v>665</v>
      </c>
      <c r="AR608" t="s" s="0">
        <v>546</v>
      </c>
      <c r="AS608" t="s" s="0">
        <v>666</v>
      </c>
      <c r="AT608" t="s" s="0">
        <v>81</v>
      </c>
      <c r="AU608" t="s" s="0">
        <v>13477</v>
      </c>
      <c r="AV608" t="s" s="0">
        <v>81</v>
      </c>
      <c r="AW608" t="s" s="0">
        <v>13478</v>
      </c>
      <c r="AX608" t="s" s="0">
        <v>13479</v>
      </c>
      <c r="AY608" t="s" s="0">
        <v>13480</v>
      </c>
      <c r="AZ608" t="s" s="0">
        <v>185</v>
      </c>
      <c r="BA608" t="s" s="0">
        <v>434</v>
      </c>
      <c r="BB608" t="s" s="0">
        <v>97</v>
      </c>
      <c r="BC608" t="s" s="0">
        <v>81</v>
      </c>
      <c r="BD608" t="s" s="0">
        <v>81</v>
      </c>
      <c r="BE608" t="s" s="0">
        <v>81</v>
      </c>
      <c r="BF608" t="s" s="0">
        <v>81</v>
      </c>
      <c r="BG608" t="s" s="0">
        <v>81</v>
      </c>
      <c r="BH608" t="s" s="0">
        <v>81</v>
      </c>
      <c r="BI608" t="s" s="0">
        <v>5424</v>
      </c>
      <c r="BJ608" t="s" s="0">
        <v>13481</v>
      </c>
      <c r="BK608" t="s" s="1207">
        <f>HYPERLINK("http://dx.doi.org/10.1186/s12874-024-02231-4","http://dx.doi.org/10.1186/s12874-024-02231-4")</f>
        <v>13482</v>
      </c>
      <c r="BL608" t="s" s="0">
        <v>81</v>
      </c>
      <c r="BM608" t="s" s="0">
        <v>81</v>
      </c>
      <c r="BN608" t="s" s="0">
        <v>222</v>
      </c>
      <c r="BO608" t="s" s="0">
        <v>4482</v>
      </c>
      <c r="BP608" t="s" s="0">
        <v>4482</v>
      </c>
      <c r="BQ608" t="s" s="0">
        <v>13483</v>
      </c>
      <c r="BR608" t="s" s="0">
        <v>13484</v>
      </c>
      <c r="BS608" t="s" s="0">
        <v>13485</v>
      </c>
      <c r="BT608" t="s" s="1208">
        <f>HYPERLINK("https://www.webofscience.com/wos/woscc/full-record/WOS:001227040500001","View Record in Web of Science")</f>
        <v>114</v>
      </c>
      <c r="BU608" t="s" s="0">
        <v>301</v>
      </c>
      <c r="BV608" t="s" s="0">
        <v>81</v>
      </c>
      <c r="BW608" t="s" s="0">
        <v>81</v>
      </c>
      <c r="BX608" t="s" s="0">
        <v>116</v>
      </c>
    </row>
    <row r="609">
      <c r="A609" t="s" s="0">
        <v>77</v>
      </c>
      <c r="B609" t="s" s="0">
        <v>77</v>
      </c>
      <c r="C609" t="s" s="0">
        <v>77</v>
      </c>
      <c r="D609" t="s" s="0">
        <v>77</v>
      </c>
      <c r="E609" t="s" s="0">
        <v>13486</v>
      </c>
      <c r="F609" t="s" s="0">
        <v>13487</v>
      </c>
      <c r="G609" t="s" s="0">
        <v>13488</v>
      </c>
      <c r="H609" t="s" s="0">
        <v>81</v>
      </c>
      <c r="I609" t="s" s="0">
        <v>238</v>
      </c>
      <c r="J609" t="s" s="0">
        <v>13489</v>
      </c>
      <c r="K609" t="s" s="0">
        <v>13490</v>
      </c>
      <c r="L609" t="s" s="0">
        <v>81</v>
      </c>
      <c r="M609" t="s" s="0">
        <v>81</v>
      </c>
      <c r="N609" t="s" s="0">
        <v>81</v>
      </c>
      <c r="O609" t="s" s="0">
        <v>13491</v>
      </c>
      <c r="P609" t="s" s="0">
        <v>81</v>
      </c>
      <c r="Q609" t="s" s="0">
        <v>87</v>
      </c>
      <c r="R609" t="s" s="0">
        <v>81</v>
      </c>
      <c r="S609" t="s" s="0">
        <v>81</v>
      </c>
      <c r="T609" t="s" s="0">
        <v>81</v>
      </c>
      <c r="U609" t="s" s="0">
        <v>81</v>
      </c>
      <c r="V609" t="s" s="0">
        <v>13492</v>
      </c>
      <c r="W609" t="s" s="0">
        <v>13493</v>
      </c>
      <c r="X609" t="s" s="0">
        <v>81</v>
      </c>
      <c r="Y609" t="s" s="0">
        <v>81</v>
      </c>
      <c r="Z609" t="s" s="0">
        <v>90</v>
      </c>
      <c r="AA609" t="s" s="0">
        <v>91</v>
      </c>
      <c r="AB609" t="s" s="0">
        <v>81</v>
      </c>
      <c r="AC609" t="s" s="0">
        <v>81</v>
      </c>
      <c r="AD609" t="s" s="0">
        <v>81</v>
      </c>
      <c r="AE609" t="s" s="0">
        <v>81</v>
      </c>
      <c r="AF609" t="s" s="0">
        <v>81</v>
      </c>
      <c r="AG609" t="s" s="0">
        <v>13494</v>
      </c>
      <c r="AH609" t="s" s="0">
        <v>81</v>
      </c>
      <c r="AI609" t="s" s="0">
        <v>81</v>
      </c>
      <c r="AJ609" t="s" s="0">
        <v>13495</v>
      </c>
      <c r="AK609" t="s" s="0">
        <v>81</v>
      </c>
      <c r="AL609" t="s" s="0">
        <v>135</v>
      </c>
      <c r="AM609" t="s" s="0">
        <v>196</v>
      </c>
      <c r="AN609" t="s" s="0">
        <v>196</v>
      </c>
      <c r="AO609" t="s" s="0">
        <v>77</v>
      </c>
      <c r="AP609" t="s" s="0">
        <v>133</v>
      </c>
      <c r="AQ609" t="s" s="0">
        <v>13496</v>
      </c>
      <c r="AR609" t="s" s="0">
        <v>13497</v>
      </c>
      <c r="AS609" t="s" s="0">
        <v>13498</v>
      </c>
      <c r="AT609" t="s" s="0">
        <v>13499</v>
      </c>
      <c r="AU609" t="s" s="0">
        <v>13500</v>
      </c>
      <c r="AV609" t="s" s="0">
        <v>81</v>
      </c>
      <c r="AW609" t="s" s="0">
        <v>13501</v>
      </c>
      <c r="AX609" t="s" s="0">
        <v>13502</v>
      </c>
      <c r="AY609" t="s" s="0">
        <v>13503</v>
      </c>
      <c r="AZ609" t="s" s="0">
        <v>290</v>
      </c>
      <c r="BA609" t="s" s="0">
        <v>252</v>
      </c>
      <c r="BB609" t="s" s="0">
        <v>97</v>
      </c>
      <c r="BC609" t="s" s="0">
        <v>81</v>
      </c>
      <c r="BD609" t="s" s="0">
        <v>81</v>
      </c>
      <c r="BE609" t="s" s="0">
        <v>81</v>
      </c>
      <c r="BF609" t="s" s="0">
        <v>81</v>
      </c>
      <c r="BG609" t="s" s="0">
        <v>134</v>
      </c>
      <c r="BH609" t="s" s="0">
        <v>295</v>
      </c>
      <c r="BI609" t="s" s="0">
        <v>81</v>
      </c>
      <c r="BJ609" t="s" s="0">
        <v>13504</v>
      </c>
      <c r="BK609" t="s" s="1209">
        <f>HYPERLINK("http://dx.doi.org/10.2478/acss-2025-0002","http://dx.doi.org/10.2478/acss-2025-0002")</f>
        <v>13505</v>
      </c>
      <c r="BL609" t="s" s="0">
        <v>81</v>
      </c>
      <c r="BM609" t="s" s="0">
        <v>81</v>
      </c>
      <c r="BN609" t="s" s="0">
        <v>261</v>
      </c>
      <c r="BO609" t="s" s="0">
        <v>1895</v>
      </c>
      <c r="BP609" t="s" s="0">
        <v>152</v>
      </c>
      <c r="BQ609" t="s" s="0">
        <v>13506</v>
      </c>
      <c r="BR609" t="s" s="0">
        <v>81</v>
      </c>
      <c r="BS609" t="s" s="0">
        <v>13507</v>
      </c>
      <c r="BT609" t="s" s="1210">
        <f>HYPERLINK("https://www.webofscience.com/wos/woscc/full-record/WOS:001400893000001","View Record in Web of Science")</f>
        <v>114</v>
      </c>
      <c r="BU609" t="s" s="0">
        <v>301</v>
      </c>
      <c r="BV609" t="s" s="0">
        <v>81</v>
      </c>
      <c r="BW609" t="s" s="0">
        <v>81</v>
      </c>
      <c r="BX609" t="s" s="0">
        <v>116</v>
      </c>
    </row>
    <row r="610">
      <c r="A610" t="s" s="0">
        <v>77</v>
      </c>
      <c r="B610" t="s" s="0">
        <v>77</v>
      </c>
      <c r="C610" t="s" s="0">
        <v>77</v>
      </c>
      <c r="D610" t="s" s="0">
        <v>77</v>
      </c>
      <c r="E610" t="s" s="0">
        <v>13508</v>
      </c>
      <c r="F610" t="s" s="0">
        <v>13509</v>
      </c>
      <c r="G610" t="s" s="0">
        <v>13510</v>
      </c>
      <c r="H610" t="s" s="0">
        <v>81</v>
      </c>
      <c r="I610" t="s" s="0">
        <v>82</v>
      </c>
      <c r="J610" t="s" s="0">
        <v>13511</v>
      </c>
      <c r="K610" t="s" s="0">
        <v>13512</v>
      </c>
      <c r="L610" t="s" s="0">
        <v>13513</v>
      </c>
      <c r="M610" t="s" s="0">
        <v>13514</v>
      </c>
      <c r="N610" t="s" s="0">
        <v>13515</v>
      </c>
      <c r="O610" t="s" s="0">
        <v>13516</v>
      </c>
      <c r="P610" t="s" s="0">
        <v>13517</v>
      </c>
      <c r="Q610" t="s" s="0">
        <v>87</v>
      </c>
      <c r="R610" t="s" s="0">
        <v>81</v>
      </c>
      <c r="S610" t="s" s="0">
        <v>81</v>
      </c>
      <c r="T610" t="s" s="0">
        <v>81</v>
      </c>
      <c r="U610" t="s" s="0">
        <v>81</v>
      </c>
      <c r="V610" t="s" s="0">
        <v>13518</v>
      </c>
      <c r="W610" t="s" s="0">
        <v>13519</v>
      </c>
      <c r="X610" t="s" s="0">
        <v>81</v>
      </c>
      <c r="Y610" t="s" s="0">
        <v>81</v>
      </c>
      <c r="Z610" t="s" s="0">
        <v>90</v>
      </c>
      <c r="AA610" t="s" s="0">
        <v>91</v>
      </c>
      <c r="AB610" t="s" s="0">
        <v>81</v>
      </c>
      <c r="AC610" t="s" s="0">
        <v>81</v>
      </c>
      <c r="AD610" t="s" s="0">
        <v>81</v>
      </c>
      <c r="AE610" t="s" s="0">
        <v>81</v>
      </c>
      <c r="AF610" t="s" s="0">
        <v>81</v>
      </c>
      <c r="AG610" t="s" s="0">
        <v>13520</v>
      </c>
      <c r="AH610" t="s" s="0">
        <v>13521</v>
      </c>
      <c r="AI610" t="s" s="0">
        <v>13522</v>
      </c>
      <c r="AJ610" t="s" s="0">
        <v>13523</v>
      </c>
      <c r="AK610" t="s" s="0">
        <v>81</v>
      </c>
      <c r="AL610" t="s" s="0">
        <v>1883</v>
      </c>
      <c r="AM610" t="s" s="0">
        <v>77</v>
      </c>
      <c r="AN610" t="s" s="0">
        <v>77</v>
      </c>
      <c r="AO610" t="s" s="0">
        <v>156</v>
      </c>
      <c r="AP610" t="s" s="0">
        <v>156</v>
      </c>
      <c r="AQ610" t="s" s="0">
        <v>545</v>
      </c>
      <c r="AR610" t="s" s="0">
        <v>546</v>
      </c>
      <c r="AS610" t="s" s="0">
        <v>547</v>
      </c>
      <c r="AT610" t="s" s="0">
        <v>13524</v>
      </c>
      <c r="AU610" t="s" s="0">
        <v>81</v>
      </c>
      <c r="AV610" t="s" s="0">
        <v>81</v>
      </c>
      <c r="AW610" t="s" s="0">
        <v>13519</v>
      </c>
      <c r="AX610" t="s" s="0">
        <v>13525</v>
      </c>
      <c r="AY610" t="s" s="0">
        <v>13526</v>
      </c>
      <c r="AZ610" t="s" s="0">
        <v>290</v>
      </c>
      <c r="BA610" t="s" s="0">
        <v>291</v>
      </c>
      <c r="BB610" t="s" s="0">
        <v>191</v>
      </c>
      <c r="BC610" t="s" s="0">
        <v>81</v>
      </c>
      <c r="BD610" t="s" s="0">
        <v>81</v>
      </c>
      <c r="BE610" t="s" s="0">
        <v>81</v>
      </c>
      <c r="BF610" t="s" s="0">
        <v>81</v>
      </c>
      <c r="BG610" t="s" s="0">
        <v>81</v>
      </c>
      <c r="BH610" t="s" s="0">
        <v>81</v>
      </c>
      <c r="BI610" t="s" s="0">
        <v>13527</v>
      </c>
      <c r="BJ610" t="s" s="0">
        <v>13528</v>
      </c>
      <c r="BK610" t="s" s="1211">
        <f>HYPERLINK("http://dx.doi.org/10.1136/bmjopen-2025-101921","http://dx.doi.org/10.1136/bmjopen-2025-101921")</f>
        <v>13529</v>
      </c>
      <c r="BL610" t="s" s="0">
        <v>81</v>
      </c>
      <c r="BM610" t="s" s="0">
        <v>81</v>
      </c>
      <c r="BN610" t="s" s="0">
        <v>211</v>
      </c>
      <c r="BO610" t="s" s="0">
        <v>296</v>
      </c>
      <c r="BP610" t="s" s="0">
        <v>297</v>
      </c>
      <c r="BQ610" t="s" s="0">
        <v>13530</v>
      </c>
      <c r="BR610" t="s" s="0">
        <v>13531</v>
      </c>
      <c r="BS610" t="s" s="0">
        <v>13532</v>
      </c>
      <c r="BT610" t="s" s="1212">
        <f>HYPERLINK("https://www.webofscience.com/wos/woscc/full-record/WOS:001609397100001","View Record in Web of Science")</f>
        <v>114</v>
      </c>
      <c r="BU610" t="s" s="0">
        <v>301</v>
      </c>
      <c r="BV610" t="s" s="0">
        <v>81</v>
      </c>
      <c r="BW610" t="s" s="0">
        <v>81</v>
      </c>
      <c r="BX610" t="s" s="0">
        <v>116</v>
      </c>
    </row>
    <row r="611">
      <c r="A611" t="s" s="0">
        <v>77</v>
      </c>
      <c r="B611" t="s" s="0">
        <v>77</v>
      </c>
      <c r="C611" t="s" s="0">
        <v>196</v>
      </c>
      <c r="D611" t="s" s="0">
        <v>77</v>
      </c>
      <c r="E611" t="s" s="0">
        <v>13533</v>
      </c>
      <c r="F611" t="s" s="0">
        <v>13534</v>
      </c>
      <c r="G611" t="s" s="0">
        <v>13535</v>
      </c>
      <c r="H611" t="s" s="0">
        <v>81</v>
      </c>
      <c r="I611" t="s" s="0">
        <v>238</v>
      </c>
      <c r="J611" t="s" s="0">
        <v>13536</v>
      </c>
      <c r="K611" t="s" s="0">
        <v>13537</v>
      </c>
      <c r="L611" t="s" s="0">
        <v>81</v>
      </c>
      <c r="M611" t="s" s="0">
        <v>81</v>
      </c>
      <c r="N611" t="s" s="0">
        <v>81</v>
      </c>
      <c r="O611" t="s" s="0">
        <v>13538</v>
      </c>
      <c r="P611" t="s" s="0">
        <v>13539</v>
      </c>
      <c r="Q611" t="s" s="0">
        <v>87</v>
      </c>
      <c r="R611" t="s" s="0">
        <v>81</v>
      </c>
      <c r="S611" t="s" s="0">
        <v>81</v>
      </c>
      <c r="T611" t="s" s="0">
        <v>81</v>
      </c>
      <c r="U611" t="s" s="0">
        <v>81</v>
      </c>
      <c r="V611" t="s" s="0">
        <v>13540</v>
      </c>
      <c r="W611" t="s" s="0">
        <v>886</v>
      </c>
      <c r="X611" t="s" s="0">
        <v>81</v>
      </c>
      <c r="Y611" t="s" s="0">
        <v>81</v>
      </c>
      <c r="Z611" t="s" s="0">
        <v>90</v>
      </c>
      <c r="AA611" t="s" s="0">
        <v>91</v>
      </c>
      <c r="AB611" t="s" s="0">
        <v>81</v>
      </c>
      <c r="AC611" t="s" s="0">
        <v>81</v>
      </c>
      <c r="AD611" t="s" s="0">
        <v>81</v>
      </c>
      <c r="AE611" t="s" s="0">
        <v>81</v>
      </c>
      <c r="AF611" t="s" s="0">
        <v>81</v>
      </c>
      <c r="AG611" t="s" s="0">
        <v>13541</v>
      </c>
      <c r="AH611" t="s" s="0">
        <v>13542</v>
      </c>
      <c r="AI611" t="s" s="0">
        <v>13543</v>
      </c>
      <c r="AJ611" t="s" s="0">
        <v>13544</v>
      </c>
      <c r="AK611" t="s" s="0">
        <v>81</v>
      </c>
      <c r="AL611" t="s" s="0">
        <v>13545</v>
      </c>
      <c r="AM611" t="s" s="0">
        <v>191</v>
      </c>
      <c r="AN611" t="s" s="0">
        <v>222</v>
      </c>
      <c r="AO611" t="s" s="0">
        <v>234</v>
      </c>
      <c r="AP611" t="s" s="0">
        <v>104</v>
      </c>
      <c r="AQ611" t="s" s="0">
        <v>368</v>
      </c>
      <c r="AR611" t="s" s="0">
        <v>369</v>
      </c>
      <c r="AS611" t="s" s="0">
        <v>370</v>
      </c>
      <c r="AT611" t="s" s="0">
        <v>81</v>
      </c>
      <c r="AU611" t="s" s="0">
        <v>891</v>
      </c>
      <c r="AV611" t="s" s="0">
        <v>81</v>
      </c>
      <c r="AW611" t="s" s="0">
        <v>892</v>
      </c>
      <c r="AX611" t="s" s="0">
        <v>893</v>
      </c>
      <c r="AY611" t="s" s="0">
        <v>13546</v>
      </c>
      <c r="AZ611" t="s" s="0">
        <v>290</v>
      </c>
      <c r="BA611" t="s" s="0">
        <v>381</v>
      </c>
      <c r="BB611" t="s" s="0">
        <v>81</v>
      </c>
      <c r="BC611" t="s" s="0">
        <v>81</v>
      </c>
      <c r="BD611" t="s" s="0">
        <v>81</v>
      </c>
      <c r="BE611" t="s" s="0">
        <v>81</v>
      </c>
      <c r="BF611" t="s" s="0">
        <v>81</v>
      </c>
      <c r="BG611" t="s" s="0">
        <v>81</v>
      </c>
      <c r="BH611" t="s" s="0">
        <v>81</v>
      </c>
      <c r="BI611" t="s" s="0">
        <v>13547</v>
      </c>
      <c r="BJ611" t="s" s="0">
        <v>13548</v>
      </c>
      <c r="BK611" t="s" s="1213">
        <f>HYPERLINK("http://dx.doi.org/10.3389/frai.2025.1627078","http://dx.doi.org/10.3389/frai.2025.1627078")</f>
        <v>13549</v>
      </c>
      <c r="BL611" t="s" s="0">
        <v>81</v>
      </c>
      <c r="BM611" t="s" s="0">
        <v>81</v>
      </c>
      <c r="BN611" t="s" s="0">
        <v>485</v>
      </c>
      <c r="BO611" t="s" s="0">
        <v>898</v>
      </c>
      <c r="BP611" t="s" s="0">
        <v>152</v>
      </c>
      <c r="BQ611" t="s" s="0">
        <v>13550</v>
      </c>
      <c r="BR611" t="s" s="0">
        <v>13551</v>
      </c>
      <c r="BS611" t="s" s="0">
        <v>13552</v>
      </c>
      <c r="BT611" t="s" s="1214">
        <f>HYPERLINK("https://www.webofscience.com/wos/woscc/full-record/WOS:001578227800001","View Record in Web of Science")</f>
        <v>114</v>
      </c>
      <c r="BU611" t="s" s="0">
        <v>6488</v>
      </c>
      <c r="BV611" t="s" s="0">
        <v>81</v>
      </c>
      <c r="BW611" t="s" s="0">
        <v>81</v>
      </c>
      <c r="BX611" t="s" s="0">
        <v>116</v>
      </c>
    </row>
    <row r="612">
      <c r="A612" t="s" s="0">
        <v>77</v>
      </c>
      <c r="B612" t="s" s="0">
        <v>77</v>
      </c>
      <c r="C612" t="s" s="0">
        <v>77</v>
      </c>
      <c r="D612" t="s" s="0">
        <v>77</v>
      </c>
      <c r="E612" t="s" s="0">
        <v>13553</v>
      </c>
      <c r="F612" t="s" s="0">
        <v>13554</v>
      </c>
      <c r="G612" t="s" s="0">
        <v>13555</v>
      </c>
      <c r="H612" t="s" s="0">
        <v>81</v>
      </c>
      <c r="I612" t="s" s="0">
        <v>238</v>
      </c>
      <c r="J612" t="s" s="0">
        <v>13556</v>
      </c>
      <c r="K612" t="s" s="0">
        <v>13557</v>
      </c>
      <c r="L612" t="s" s="0">
        <v>13558</v>
      </c>
      <c r="M612" t="s" s="0">
        <v>8781</v>
      </c>
      <c r="N612" t="s" s="0">
        <v>13559</v>
      </c>
      <c r="O612" t="s" s="0">
        <v>13560</v>
      </c>
      <c r="P612" t="s" s="0">
        <v>13561</v>
      </c>
      <c r="Q612" t="s" s="0">
        <v>87</v>
      </c>
      <c r="R612" t="s" s="0">
        <v>81</v>
      </c>
      <c r="S612" t="s" s="0">
        <v>81</v>
      </c>
      <c r="T612" t="s" s="0">
        <v>81</v>
      </c>
      <c r="U612" t="s" s="0">
        <v>81</v>
      </c>
      <c r="V612" t="s" s="0">
        <v>13562</v>
      </c>
      <c r="W612" t="s" s="0">
        <v>11457</v>
      </c>
      <c r="X612" t="s" s="0">
        <v>81</v>
      </c>
      <c r="Y612" t="s" s="0">
        <v>81</v>
      </c>
      <c r="Z612" t="s" s="0">
        <v>90</v>
      </c>
      <c r="AA612" t="s" s="0">
        <v>91</v>
      </c>
      <c r="AB612" t="s" s="0">
        <v>81</v>
      </c>
      <c r="AC612" t="s" s="0">
        <v>81</v>
      </c>
      <c r="AD612" t="s" s="0">
        <v>81</v>
      </c>
      <c r="AE612" t="s" s="0">
        <v>81</v>
      </c>
      <c r="AF612" t="s" s="0">
        <v>81</v>
      </c>
      <c r="AG612" t="s" s="0">
        <v>13563</v>
      </c>
      <c r="AH612" t="s" s="0">
        <v>13564</v>
      </c>
      <c r="AI612" t="s" s="0">
        <v>13565</v>
      </c>
      <c r="AJ612" t="s" s="0">
        <v>13566</v>
      </c>
      <c r="AK612" t="s" s="0">
        <v>81</v>
      </c>
      <c r="AL612" t="s" s="0">
        <v>399</v>
      </c>
      <c r="AM612" t="s" s="0">
        <v>191</v>
      </c>
      <c r="AN612" t="s" s="0">
        <v>191</v>
      </c>
      <c r="AO612" t="s" s="0">
        <v>77</v>
      </c>
      <c r="AP612" t="s" s="0">
        <v>133</v>
      </c>
      <c r="AQ612" t="s" s="0">
        <v>212</v>
      </c>
      <c r="AR612" t="s" s="0">
        <v>429</v>
      </c>
      <c r="AS612" t="s" s="0">
        <v>784</v>
      </c>
      <c r="AT612" t="s" s="0">
        <v>81</v>
      </c>
      <c r="AU612" t="s" s="0">
        <v>11461</v>
      </c>
      <c r="AV612" t="s" s="0">
        <v>81</v>
      </c>
      <c r="AW612" t="s" s="0">
        <v>11462</v>
      </c>
      <c r="AX612" t="s" s="0">
        <v>11463</v>
      </c>
      <c r="AY612" t="s" s="0">
        <v>13567</v>
      </c>
      <c r="AZ612" t="s" s="0">
        <v>290</v>
      </c>
      <c r="BA612" t="s" s="0">
        <v>234</v>
      </c>
      <c r="BB612" t="s" s="0">
        <v>133</v>
      </c>
      <c r="BC612" t="s" s="0">
        <v>81</v>
      </c>
      <c r="BD612" t="s" s="0">
        <v>81</v>
      </c>
      <c r="BE612" t="s" s="0">
        <v>81</v>
      </c>
      <c r="BF612" t="s" s="0">
        <v>81</v>
      </c>
      <c r="BG612" t="s" s="0">
        <v>81</v>
      </c>
      <c r="BH612" t="s" s="0">
        <v>81</v>
      </c>
      <c r="BI612" t="s" s="0">
        <v>13568</v>
      </c>
      <c r="BJ612" t="s" s="0">
        <v>13569</v>
      </c>
      <c r="BK612" t="s" s="1215">
        <f>HYPERLINK("http://dx.doi.org/10.1007/s42452-025-07071-5","http://dx.doi.org/10.1007/s42452-025-07071-5")</f>
        <v>13570</v>
      </c>
      <c r="BL612" t="s" s="0">
        <v>81</v>
      </c>
      <c r="BM612" t="s" s="0">
        <v>81</v>
      </c>
      <c r="BN612" t="s" s="0">
        <v>104</v>
      </c>
      <c r="BO612" t="s" s="0">
        <v>926</v>
      </c>
      <c r="BP612" t="s" s="0">
        <v>927</v>
      </c>
      <c r="BQ612" t="s" s="0">
        <v>13571</v>
      </c>
      <c r="BR612" t="s" s="0">
        <v>81</v>
      </c>
      <c r="BS612" t="s" s="0">
        <v>13572</v>
      </c>
      <c r="BT612" t="s" s="1216">
        <f>HYPERLINK("https://www.webofscience.com/wos/woscc/full-record/WOS:001487375600003","View Record in Web of Science")</f>
        <v>114</v>
      </c>
      <c r="BU612" t="s" s="0">
        <v>301</v>
      </c>
      <c r="BV612" t="s" s="0">
        <v>81</v>
      </c>
      <c r="BW612" t="s" s="0">
        <v>81</v>
      </c>
      <c r="BX612" t="s" s="0">
        <v>116</v>
      </c>
    </row>
    <row r="613">
      <c r="A613" t="s" s="0">
        <v>77</v>
      </c>
      <c r="B613" t="s" s="0">
        <v>77</v>
      </c>
      <c r="C613" t="s" s="0">
        <v>77</v>
      </c>
      <c r="D613" t="s" s="0">
        <v>77</v>
      </c>
      <c r="E613" t="s" s="0">
        <v>13573</v>
      </c>
      <c r="F613" t="s" s="0">
        <v>13574</v>
      </c>
      <c r="G613" t="s" s="0">
        <v>13575</v>
      </c>
      <c r="H613" t="s" s="0">
        <v>81</v>
      </c>
      <c r="I613" t="s" s="0">
        <v>82</v>
      </c>
      <c r="J613" t="s" s="0">
        <v>13576</v>
      </c>
      <c r="K613" t="s" s="0">
        <v>13577</v>
      </c>
      <c r="L613" t="s" s="0">
        <v>81</v>
      </c>
      <c r="M613" t="s" s="0">
        <v>81</v>
      </c>
      <c r="N613" t="s" s="0">
        <v>81</v>
      </c>
      <c r="O613" t="s" s="0">
        <v>13578</v>
      </c>
      <c r="P613" t="s" s="0">
        <v>13579</v>
      </c>
      <c r="Q613" t="s" s="0">
        <v>87</v>
      </c>
      <c r="R613" t="s" s="0">
        <v>81</v>
      </c>
      <c r="S613" t="s" s="0">
        <v>81</v>
      </c>
      <c r="T613" t="s" s="0">
        <v>81</v>
      </c>
      <c r="U613" t="s" s="0">
        <v>81</v>
      </c>
      <c r="V613" t="s" s="0">
        <v>13580</v>
      </c>
      <c r="W613" t="s" s="0">
        <v>89</v>
      </c>
      <c r="X613" t="s" s="0">
        <v>81</v>
      </c>
      <c r="Y613" t="s" s="0">
        <v>81</v>
      </c>
      <c r="Z613" t="s" s="0">
        <v>90</v>
      </c>
      <c r="AA613" t="s" s="0">
        <v>91</v>
      </c>
      <c r="AB613" t="s" s="0">
        <v>81</v>
      </c>
      <c r="AC613" t="s" s="0">
        <v>81</v>
      </c>
      <c r="AD613" t="s" s="0">
        <v>81</v>
      </c>
      <c r="AE613" t="s" s="0">
        <v>81</v>
      </c>
      <c r="AF613" t="s" s="0">
        <v>81</v>
      </c>
      <c r="AG613" t="s" s="0">
        <v>13581</v>
      </c>
      <c r="AH613" t="s" s="0">
        <v>13582</v>
      </c>
      <c r="AI613" t="s" s="0">
        <v>13583</v>
      </c>
      <c r="AJ613" t="s" s="0">
        <v>81</v>
      </c>
      <c r="AK613" t="s" s="0">
        <v>81</v>
      </c>
      <c r="AL613" t="s" s="0">
        <v>2447</v>
      </c>
      <c r="AM613" t="s" s="0">
        <v>77</v>
      </c>
      <c r="AN613" t="s" s="0">
        <v>77</v>
      </c>
      <c r="AO613" t="s" s="0">
        <v>156</v>
      </c>
      <c r="AP613" t="s" s="0">
        <v>156</v>
      </c>
      <c r="AQ613" t="s" s="0">
        <v>98</v>
      </c>
      <c r="AR613" t="s" s="0">
        <v>99</v>
      </c>
      <c r="AS613" t="s" s="0">
        <v>100</v>
      </c>
      <c r="AT613" t="s" s="0">
        <v>101</v>
      </c>
      <c r="AU613" t="s" s="0">
        <v>81</v>
      </c>
      <c r="AV613" t="s" s="0">
        <v>81</v>
      </c>
      <c r="AW613" t="s" s="0">
        <v>89</v>
      </c>
      <c r="AX613" t="s" s="0">
        <v>102</v>
      </c>
      <c r="AY613" t="s" s="0">
        <v>103</v>
      </c>
      <c r="AZ613" t="s" s="0">
        <v>103</v>
      </c>
      <c r="BA613" t="s" s="0">
        <v>104</v>
      </c>
      <c r="BB613" t="s" s="0">
        <v>81</v>
      </c>
      <c r="BC613" t="s" s="0">
        <v>81</v>
      </c>
      <c r="BD613" t="s" s="0">
        <v>81</v>
      </c>
      <c r="BE613" t="s" s="0">
        <v>81</v>
      </c>
      <c r="BF613" t="s" s="0">
        <v>81</v>
      </c>
      <c r="BG613" t="s" s="0">
        <v>13584</v>
      </c>
      <c r="BH613" t="s" s="0">
        <v>13585</v>
      </c>
      <c r="BI613" t="s" s="0">
        <v>81</v>
      </c>
      <c r="BJ613" t="s" s="0">
        <v>13586</v>
      </c>
      <c r="BK613" t="s" s="1217">
        <f>HYPERLINK("http://dx.doi.org/10.1109/ACCESS.2026.3688620","http://dx.doi.org/10.1109/ACCESS.2026.3688620")</f>
        <v>13587</v>
      </c>
      <c r="BL613" t="s" s="0">
        <v>81</v>
      </c>
      <c r="BM613" t="s" s="0">
        <v>81</v>
      </c>
      <c r="BN613" t="s" s="0">
        <v>222</v>
      </c>
      <c r="BO613" t="s" s="0">
        <v>110</v>
      </c>
      <c r="BP613" t="s" s="0">
        <v>111</v>
      </c>
      <c r="BQ613" t="s" s="0">
        <v>13588</v>
      </c>
      <c r="BR613" t="s" s="0">
        <v>81</v>
      </c>
      <c r="BS613" t="s" s="0">
        <v>13589</v>
      </c>
      <c r="BT613" t="s" s="1218">
        <f>HYPERLINK("https://www.webofscience.com/wos/woscc/full-record/WOS:001758066600010","View Record in Web of Science")</f>
        <v>114</v>
      </c>
      <c r="BU613" t="s" s="0">
        <v>301</v>
      </c>
      <c r="BV613" t="s" s="0">
        <v>81</v>
      </c>
      <c r="BW613" t="s" s="0">
        <v>81</v>
      </c>
      <c r="BX613" t="s" s="0">
        <v>116</v>
      </c>
    </row>
    <row r="614">
      <c r="A614" t="s" s="0">
        <v>77</v>
      </c>
      <c r="B614" t="s" s="0">
        <v>77</v>
      </c>
      <c r="C614" t="s" s="0">
        <v>77</v>
      </c>
      <c r="D614" t="s" s="0">
        <v>77</v>
      </c>
      <c r="E614" t="s" s="0">
        <v>13590</v>
      </c>
      <c r="F614" t="s" s="0">
        <v>13591</v>
      </c>
      <c r="G614" t="s" s="0">
        <v>13592</v>
      </c>
      <c r="H614" t="s" s="0">
        <v>81</v>
      </c>
      <c r="I614" t="s" s="0">
        <v>238</v>
      </c>
      <c r="J614" t="s" s="0">
        <v>13593</v>
      </c>
      <c r="K614" t="s" s="0">
        <v>13594</v>
      </c>
      <c r="L614" t="s" s="0">
        <v>81</v>
      </c>
      <c r="M614" t="s" s="0">
        <v>81</v>
      </c>
      <c r="N614" t="s" s="0">
        <v>81</v>
      </c>
      <c r="O614" t="s" s="0">
        <v>13595</v>
      </c>
      <c r="P614" t="s" s="0">
        <v>13596</v>
      </c>
      <c r="Q614" t="s" s="0">
        <v>87</v>
      </c>
      <c r="R614" t="s" s="0">
        <v>81</v>
      </c>
      <c r="S614" t="s" s="0">
        <v>81</v>
      </c>
      <c r="T614" t="s" s="0">
        <v>81</v>
      </c>
      <c r="U614" t="s" s="0">
        <v>81</v>
      </c>
      <c r="V614" t="s" s="0">
        <v>13597</v>
      </c>
      <c r="W614" t="s" s="0">
        <v>13598</v>
      </c>
      <c r="X614" t="s" s="0">
        <v>81</v>
      </c>
      <c r="Y614" t="s" s="0">
        <v>81</v>
      </c>
      <c r="Z614" t="s" s="0">
        <v>90</v>
      </c>
      <c r="AA614" t="s" s="0">
        <v>91</v>
      </c>
      <c r="AB614" t="s" s="0">
        <v>81</v>
      </c>
      <c r="AC614" t="s" s="0">
        <v>81</v>
      </c>
      <c r="AD614" t="s" s="0">
        <v>81</v>
      </c>
      <c r="AE614" t="s" s="0">
        <v>81</v>
      </c>
      <c r="AF614" t="s" s="0">
        <v>81</v>
      </c>
      <c r="AG614" t="s" s="0">
        <v>13599</v>
      </c>
      <c r="AH614" t="s" s="0">
        <v>81</v>
      </c>
      <c r="AI614" t="s" s="0">
        <v>13600</v>
      </c>
      <c r="AJ614" t="s" s="0">
        <v>13601</v>
      </c>
      <c r="AK614" t="s" s="0">
        <v>81</v>
      </c>
      <c r="AL614" t="s" s="0">
        <v>1047</v>
      </c>
      <c r="AM614" t="s" s="0">
        <v>196</v>
      </c>
      <c r="AN614" t="s" s="0">
        <v>196</v>
      </c>
      <c r="AO614" t="s" s="0">
        <v>234</v>
      </c>
      <c r="AP614" t="s" s="0">
        <v>234</v>
      </c>
      <c r="AQ614" t="s" s="0">
        <v>284</v>
      </c>
      <c r="AR614" t="s" s="0">
        <v>285</v>
      </c>
      <c r="AS614" t="s" s="0">
        <v>286</v>
      </c>
      <c r="AT614" t="s" s="0">
        <v>81</v>
      </c>
      <c r="AU614" t="s" s="0">
        <v>13602</v>
      </c>
      <c r="AV614" t="s" s="0">
        <v>81</v>
      </c>
      <c r="AW614" t="s" s="0">
        <v>13603</v>
      </c>
      <c r="AX614" t="s" s="0">
        <v>13604</v>
      </c>
      <c r="AY614" t="s" s="0">
        <v>13605</v>
      </c>
      <c r="AZ614" t="s" s="0">
        <v>290</v>
      </c>
      <c r="BA614" t="s" s="0">
        <v>234</v>
      </c>
      <c r="BB614" t="s" s="0">
        <v>175</v>
      </c>
      <c r="BC614" t="s" s="0">
        <v>81</v>
      </c>
      <c r="BD614" t="s" s="0">
        <v>81</v>
      </c>
      <c r="BE614" t="s" s="0">
        <v>81</v>
      </c>
      <c r="BF614" t="s" s="0">
        <v>81</v>
      </c>
      <c r="BG614" t="s" s="0">
        <v>81</v>
      </c>
      <c r="BH614" t="s" s="0">
        <v>81</v>
      </c>
      <c r="BI614" t="s" s="0">
        <v>221</v>
      </c>
      <c r="BJ614" t="s" s="0">
        <v>13606</v>
      </c>
      <c r="BK614" t="s" s="1219">
        <f>HYPERLINK("http://dx.doi.org/10.3390/forecast7040078","http://dx.doi.org/10.3390/forecast7040078")</f>
        <v>13607</v>
      </c>
      <c r="BL614" t="s" s="0">
        <v>81</v>
      </c>
      <c r="BM614" t="s" s="0">
        <v>81</v>
      </c>
      <c r="BN614" t="s" s="0">
        <v>109</v>
      </c>
      <c r="BO614" t="s" s="0">
        <v>926</v>
      </c>
      <c r="BP614" t="s" s="0">
        <v>927</v>
      </c>
      <c r="BQ614" t="s" s="0">
        <v>13608</v>
      </c>
      <c r="BR614" t="s" s="0">
        <v>81</v>
      </c>
      <c r="BS614" t="s" s="0">
        <v>13609</v>
      </c>
      <c r="BT614" t="s" s="1220">
        <f>HYPERLINK("https://www.webofscience.com/wos/woscc/full-record/WOS:001647241000001","View Record in Web of Science")</f>
        <v>114</v>
      </c>
      <c r="BU614" t="s" s="0">
        <v>301</v>
      </c>
      <c r="BV614" t="s" s="0">
        <v>81</v>
      </c>
      <c r="BW614" t="s" s="0">
        <v>81</v>
      </c>
      <c r="BX614" t="s" s="0">
        <v>116</v>
      </c>
    </row>
    <row r="615">
      <c r="A615" t="s" s="0">
        <v>77</v>
      </c>
      <c r="B615" t="s" s="0">
        <v>77</v>
      </c>
      <c r="C615" t="s" s="0">
        <v>77</v>
      </c>
      <c r="D615" t="s" s="0">
        <v>77</v>
      </c>
      <c r="E615" t="s" s="0">
        <v>13610</v>
      </c>
      <c r="F615" t="s" s="0">
        <v>13611</v>
      </c>
      <c r="G615" t="s" s="0">
        <v>13612</v>
      </c>
      <c r="H615" t="s" s="0">
        <v>81</v>
      </c>
      <c r="I615" t="s" s="0">
        <v>82</v>
      </c>
      <c r="J615" t="s" s="0">
        <v>13613</v>
      </c>
      <c r="K615" t="s" s="0">
        <v>13614</v>
      </c>
      <c r="L615" t="s" s="0">
        <v>81</v>
      </c>
      <c r="M615" t="s" s="0">
        <v>81</v>
      </c>
      <c r="N615" t="s" s="0">
        <v>81</v>
      </c>
      <c r="O615" t="s" s="0">
        <v>13615</v>
      </c>
      <c r="P615" t="s" s="0">
        <v>13616</v>
      </c>
      <c r="Q615" t="s" s="0">
        <v>87</v>
      </c>
      <c r="R615" t="s" s="0">
        <v>81</v>
      </c>
      <c r="S615" t="s" s="0">
        <v>81</v>
      </c>
      <c r="T615" t="s" s="0">
        <v>81</v>
      </c>
      <c r="U615" t="s" s="0">
        <v>81</v>
      </c>
      <c r="V615" t="s" s="0">
        <v>13617</v>
      </c>
      <c r="W615" t="s" s="0">
        <v>1602</v>
      </c>
      <c r="X615" t="s" s="0">
        <v>81</v>
      </c>
      <c r="Y615" t="s" s="0">
        <v>81</v>
      </c>
      <c r="Z615" t="s" s="0">
        <v>90</v>
      </c>
      <c r="AA615" t="s" s="0">
        <v>91</v>
      </c>
      <c r="AB615" t="s" s="0">
        <v>81</v>
      </c>
      <c r="AC615" t="s" s="0">
        <v>81</v>
      </c>
      <c r="AD615" t="s" s="0">
        <v>81</v>
      </c>
      <c r="AE615" t="s" s="0">
        <v>81</v>
      </c>
      <c r="AF615" t="s" s="0">
        <v>81</v>
      </c>
      <c r="AG615" t="s" s="0">
        <v>13618</v>
      </c>
      <c r="AH615" t="s" s="0">
        <v>13619</v>
      </c>
      <c r="AI615" t="s" s="0">
        <v>81</v>
      </c>
      <c r="AJ615" t="s" s="0">
        <v>13620</v>
      </c>
      <c r="AK615" t="s" s="0">
        <v>81</v>
      </c>
      <c r="AL615" t="s" s="0">
        <v>664</v>
      </c>
      <c r="AM615" t="s" s="0">
        <v>77</v>
      </c>
      <c r="AN615" t="s" s="0">
        <v>77</v>
      </c>
      <c r="AO615" t="s" s="0">
        <v>196</v>
      </c>
      <c r="AP615" t="s" s="0">
        <v>196</v>
      </c>
      <c r="AQ615" t="s" s="0">
        <v>1608</v>
      </c>
      <c r="AR615" t="s" s="0">
        <v>1609</v>
      </c>
      <c r="AS615" t="s" s="0">
        <v>1610</v>
      </c>
      <c r="AT615" t="s" s="0">
        <v>1611</v>
      </c>
      <c r="AU615" t="s" s="0">
        <v>1612</v>
      </c>
      <c r="AV615" t="s" s="0">
        <v>81</v>
      </c>
      <c r="AW615" t="s" s="0">
        <v>1613</v>
      </c>
      <c r="AX615" t="s" s="0">
        <v>1614</v>
      </c>
      <c r="AY615" t="s" s="0">
        <v>6101</v>
      </c>
      <c r="AZ615" t="s" s="0">
        <v>103</v>
      </c>
      <c r="BA615" t="s" s="0">
        <v>12162</v>
      </c>
      <c r="BB615" t="s" s="0">
        <v>81</v>
      </c>
      <c r="BC615" t="s" s="0">
        <v>81</v>
      </c>
      <c r="BD615" t="s" s="0">
        <v>81</v>
      </c>
      <c r="BE615" t="s" s="0">
        <v>81</v>
      </c>
      <c r="BF615" t="s" s="0">
        <v>81</v>
      </c>
      <c r="BG615" t="s" s="0">
        <v>81</v>
      </c>
      <c r="BH615" t="s" s="0">
        <v>81</v>
      </c>
      <c r="BI615" t="s" s="0">
        <v>13621</v>
      </c>
      <c r="BJ615" t="s" s="0">
        <v>13622</v>
      </c>
      <c r="BK615" t="s" s="1221">
        <f>HYPERLINK("http://dx.doi.org/10.1016/j.ijmedinf.2026.106476","http://dx.doi.org/10.1016/j.ijmedinf.2026.106476")</f>
        <v>13623</v>
      </c>
      <c r="BL615" t="s" s="0">
        <v>81</v>
      </c>
      <c r="BM615" t="s" s="0">
        <v>675</v>
      </c>
      <c r="BN615" t="s" s="0">
        <v>381</v>
      </c>
      <c r="BO615" t="s" s="0">
        <v>1619</v>
      </c>
      <c r="BP615" t="s" s="0">
        <v>1620</v>
      </c>
      <c r="BQ615" t="s" s="0">
        <v>13624</v>
      </c>
      <c r="BR615" t="s" s="0">
        <v>13625</v>
      </c>
      <c r="BS615" t="s" s="0">
        <v>13626</v>
      </c>
      <c r="BT615" t="s" s="1222">
        <f>HYPERLINK("https://www.webofscience.com/wos/woscc/full-record/WOS:001768905600001","View Record in Web of Science")</f>
        <v>114</v>
      </c>
      <c r="BU615" t="s" s="0">
        <v>1055</v>
      </c>
      <c r="BV615" t="s" s="0">
        <v>81</v>
      </c>
      <c r="BW615" t="s" s="0">
        <v>81</v>
      </c>
      <c r="BX615" t="s" s="0">
        <v>116</v>
      </c>
    </row>
    <row r="616">
      <c r="A616" t="s" s="0">
        <v>77</v>
      </c>
      <c r="B616" t="s" s="0">
        <v>77</v>
      </c>
      <c r="C616" t="s" s="0">
        <v>77</v>
      </c>
      <c r="D616" t="s" s="0">
        <v>77</v>
      </c>
      <c r="E616" t="s" s="0">
        <v>13627</v>
      </c>
      <c r="F616" t="s" s="0">
        <v>13628</v>
      </c>
      <c r="G616" t="s" s="0">
        <v>13629</v>
      </c>
      <c r="H616" t="s" s="0">
        <v>81</v>
      </c>
      <c r="I616" t="s" s="0">
        <v>238</v>
      </c>
      <c r="J616" t="s" s="0">
        <v>13630</v>
      </c>
      <c r="K616" t="s" s="0">
        <v>13631</v>
      </c>
      <c r="L616" t="s" s="0">
        <v>81</v>
      </c>
      <c r="M616" t="s" s="0">
        <v>81</v>
      </c>
      <c r="N616" t="s" s="0">
        <v>81</v>
      </c>
      <c r="O616" t="s" s="0">
        <v>13632</v>
      </c>
      <c r="P616" t="s" s="0">
        <v>13633</v>
      </c>
      <c r="Q616" t="s" s="0">
        <v>87</v>
      </c>
      <c r="R616" t="s" s="0">
        <v>81</v>
      </c>
      <c r="S616" t="s" s="0">
        <v>81</v>
      </c>
      <c r="T616" t="s" s="0">
        <v>81</v>
      </c>
      <c r="U616" t="s" s="0">
        <v>81</v>
      </c>
      <c r="V616" t="s" s="0">
        <v>13634</v>
      </c>
      <c r="W616" t="s" s="0">
        <v>2988</v>
      </c>
      <c r="X616" t="s" s="0">
        <v>81</v>
      </c>
      <c r="Y616" t="s" s="0">
        <v>81</v>
      </c>
      <c r="Z616" t="s" s="0">
        <v>90</v>
      </c>
      <c r="AA616" t="s" s="0">
        <v>91</v>
      </c>
      <c r="AB616" t="s" s="0">
        <v>81</v>
      </c>
      <c r="AC616" t="s" s="0">
        <v>81</v>
      </c>
      <c r="AD616" t="s" s="0">
        <v>81</v>
      </c>
      <c r="AE616" t="s" s="0">
        <v>81</v>
      </c>
      <c r="AF616" t="s" s="0">
        <v>81</v>
      </c>
      <c r="AG616" t="s" s="0">
        <v>13635</v>
      </c>
      <c r="AH616" t="s" s="0">
        <v>81</v>
      </c>
      <c r="AI616" t="s" s="0">
        <v>13636</v>
      </c>
      <c r="AJ616" t="s" s="0">
        <v>13637</v>
      </c>
      <c r="AK616" t="s" s="0">
        <v>81</v>
      </c>
      <c r="AL616" t="s" s="0">
        <v>874</v>
      </c>
      <c r="AM616" t="s" s="0">
        <v>77</v>
      </c>
      <c r="AN616" t="s" s="0">
        <v>77</v>
      </c>
      <c r="AO616" t="s" s="0">
        <v>156</v>
      </c>
      <c r="AP616" t="s" s="0">
        <v>156</v>
      </c>
      <c r="AQ616" t="s" s="0">
        <v>136</v>
      </c>
      <c r="AR616" t="s" s="0">
        <v>137</v>
      </c>
      <c r="AS616" t="s" s="0">
        <v>138</v>
      </c>
      <c r="AT616" t="s" s="0">
        <v>81</v>
      </c>
      <c r="AU616" t="s" s="0">
        <v>2992</v>
      </c>
      <c r="AV616" t="s" s="0">
        <v>81</v>
      </c>
      <c r="AW616" t="s" s="0">
        <v>2988</v>
      </c>
      <c r="AX616" t="s" s="0">
        <v>2993</v>
      </c>
      <c r="AY616" t="s" s="0">
        <v>2353</v>
      </c>
      <c r="AZ616" t="s" s="0">
        <v>290</v>
      </c>
      <c r="BA616" t="s" s="0">
        <v>291</v>
      </c>
      <c r="BB616" t="s" s="0">
        <v>81</v>
      </c>
      <c r="BC616" t="s" s="0">
        <v>81</v>
      </c>
      <c r="BD616" t="s" s="0">
        <v>81</v>
      </c>
      <c r="BE616" t="s" s="0">
        <v>81</v>
      </c>
      <c r="BF616" t="s" s="0">
        <v>81</v>
      </c>
      <c r="BG616" t="s" s="0">
        <v>81</v>
      </c>
      <c r="BH616" t="s" s="0">
        <v>81</v>
      </c>
      <c r="BI616" t="s" s="0">
        <v>13638</v>
      </c>
      <c r="BJ616" t="s" s="0">
        <v>13639</v>
      </c>
      <c r="BK616" t="s" s="1223">
        <f>HYPERLINK("http://dx.doi.org/10.1016/j.mex.2025.103744","http://dx.doi.org/10.1016/j.mex.2025.103744")</f>
        <v>13640</v>
      </c>
      <c r="BL616" t="s" s="0">
        <v>81</v>
      </c>
      <c r="BM616" t="s" s="0">
        <v>2353</v>
      </c>
      <c r="BN616" t="s" s="0">
        <v>316</v>
      </c>
      <c r="BO616" t="s" s="0">
        <v>926</v>
      </c>
      <c r="BP616" t="s" s="0">
        <v>927</v>
      </c>
      <c r="BQ616" t="s" s="0">
        <v>13641</v>
      </c>
      <c r="BR616" t="s" s="0">
        <v>13642</v>
      </c>
      <c r="BS616" t="s" s="0">
        <v>13643</v>
      </c>
      <c r="BT616" t="s" s="1224">
        <f>HYPERLINK("https://www.webofscience.com/wos/woscc/full-record/WOS:001634474000002","View Record in Web of Science")</f>
        <v>114</v>
      </c>
      <c r="BU616" t="s" s="0">
        <v>301</v>
      </c>
      <c r="BV616" t="s" s="0">
        <v>81</v>
      </c>
      <c r="BW616" t="s" s="0">
        <v>81</v>
      </c>
      <c r="BX616" t="s" s="0">
        <v>116</v>
      </c>
    </row>
    <row r="617">
      <c r="A617" t="s" s="0">
        <v>156</v>
      </c>
      <c r="B617" t="s" s="0">
        <v>77</v>
      </c>
      <c r="C617" t="s" s="0">
        <v>156</v>
      </c>
      <c r="D617" t="s" s="0">
        <v>97</v>
      </c>
      <c r="E617" t="s" s="0">
        <v>13644</v>
      </c>
      <c r="F617" t="s" s="0">
        <v>13645</v>
      </c>
      <c r="G617" t="s" s="0">
        <v>13646</v>
      </c>
      <c r="H617" t="s" s="0">
        <v>81</v>
      </c>
      <c r="I617" t="s" s="0">
        <v>82</v>
      </c>
      <c r="J617" t="s" s="0">
        <v>13647</v>
      </c>
      <c r="K617" t="s" s="0">
        <v>2560</v>
      </c>
      <c r="L617" t="s" s="0">
        <v>81</v>
      </c>
      <c r="M617" t="s" s="0">
        <v>81</v>
      </c>
      <c r="N617" t="s" s="0">
        <v>81</v>
      </c>
      <c r="O617" t="s" s="0">
        <v>13648</v>
      </c>
      <c r="P617" t="s" s="0">
        <v>13649</v>
      </c>
      <c r="Q617" t="s" s="0">
        <v>87</v>
      </c>
      <c r="R617" t="s" s="0">
        <v>81</v>
      </c>
      <c r="S617" t="s" s="0">
        <v>81</v>
      </c>
      <c r="T617" t="s" s="0">
        <v>81</v>
      </c>
      <c r="U617" t="s" s="0">
        <v>81</v>
      </c>
      <c r="V617" t="s" s="0">
        <v>13650</v>
      </c>
      <c r="W617" t="s" s="0">
        <v>279</v>
      </c>
      <c r="X617" t="s" s="0">
        <v>81</v>
      </c>
      <c r="Y617" t="s" s="0">
        <v>81</v>
      </c>
      <c r="Z617" t="s" s="0">
        <v>90</v>
      </c>
      <c r="AA617" t="s" s="0">
        <v>91</v>
      </c>
      <c r="AB617" t="s" s="0">
        <v>81</v>
      </c>
      <c r="AC617" t="s" s="0">
        <v>81</v>
      </c>
      <c r="AD617" t="s" s="0">
        <v>81</v>
      </c>
      <c r="AE617" t="s" s="0">
        <v>81</v>
      </c>
      <c r="AF617" t="s" s="0">
        <v>81</v>
      </c>
      <c r="AG617" t="s" s="0">
        <v>13651</v>
      </c>
      <c r="AH617" t="s" s="0">
        <v>13652</v>
      </c>
      <c r="AI617" t="s" s="0">
        <v>13653</v>
      </c>
      <c r="AJ617" t="s" s="0">
        <v>13654</v>
      </c>
      <c r="AK617" t="s" s="0">
        <v>81</v>
      </c>
      <c r="AL617" t="s" s="0">
        <v>783</v>
      </c>
      <c r="AM617" t="s" s="0">
        <v>251</v>
      </c>
      <c r="AN617" t="s" s="0">
        <v>1184</v>
      </c>
      <c r="AO617" t="s" s="0">
        <v>97</v>
      </c>
      <c r="AP617" t="s" s="0">
        <v>252</v>
      </c>
      <c r="AQ617" t="s" s="0">
        <v>284</v>
      </c>
      <c r="AR617" t="s" s="0">
        <v>285</v>
      </c>
      <c r="AS617" t="s" s="0">
        <v>317</v>
      </c>
      <c r="AT617" t="s" s="0">
        <v>81</v>
      </c>
      <c r="AU617" t="s" s="0">
        <v>287</v>
      </c>
      <c r="AV617" t="s" s="0">
        <v>81</v>
      </c>
      <c r="AW617" t="s" s="0">
        <v>279</v>
      </c>
      <c r="AX617" t="s" s="0">
        <v>288</v>
      </c>
      <c r="AY617" t="s" s="0">
        <v>5575</v>
      </c>
      <c r="AZ617" t="s" s="0">
        <v>220</v>
      </c>
      <c r="BA617" t="s" s="0">
        <v>134</v>
      </c>
      <c r="BB617" t="s" s="0">
        <v>261</v>
      </c>
      <c r="BC617" t="s" s="0">
        <v>81</v>
      </c>
      <c r="BD617" t="s" s="0">
        <v>81</v>
      </c>
      <c r="BE617" t="s" s="0">
        <v>81</v>
      </c>
      <c r="BF617" t="s" s="0">
        <v>81</v>
      </c>
      <c r="BG617" t="s" s="0">
        <v>81</v>
      </c>
      <c r="BH617" t="s" s="0">
        <v>81</v>
      </c>
      <c r="BI617" t="s" s="0">
        <v>13655</v>
      </c>
      <c r="BJ617" t="s" s="0">
        <v>13656</v>
      </c>
      <c r="BK617" t="s" s="1225">
        <f>HYPERLINK("http://dx.doi.org/10.3390/diagnostics12092132","http://dx.doi.org/10.3390/diagnostics12092132")</f>
        <v>13657</v>
      </c>
      <c r="BL617" t="s" s="0">
        <v>81</v>
      </c>
      <c r="BM617" t="s" s="0">
        <v>81</v>
      </c>
      <c r="BN617" t="s" s="0">
        <v>1912</v>
      </c>
      <c r="BO617" t="s" s="0">
        <v>296</v>
      </c>
      <c r="BP617" t="s" s="0">
        <v>297</v>
      </c>
      <c r="BQ617" t="s" s="0">
        <v>13658</v>
      </c>
      <c r="BR617" t="s" s="0">
        <v>13659</v>
      </c>
      <c r="BS617" t="s" s="0">
        <v>13660</v>
      </c>
      <c r="BT617" t="s" s="1226">
        <f>HYPERLINK("https://www.webofscience.com/wos/woscc/full-record/WOS:000856328000001","View Record in Web of Science")</f>
        <v>114</v>
      </c>
      <c r="BU617" t="s" s="0">
        <v>301</v>
      </c>
      <c r="BV617" t="s" s="0">
        <v>81</v>
      </c>
      <c r="BW617" t="s" s="0">
        <v>81</v>
      </c>
      <c r="BX617" t="s" s="0">
        <v>116</v>
      </c>
    </row>
    <row r="618">
      <c r="A618" t="s" s="0">
        <v>77</v>
      </c>
      <c r="B618" t="s" s="0">
        <v>77</v>
      </c>
      <c r="C618" t="s" s="0">
        <v>77</v>
      </c>
      <c r="D618" t="s" s="0">
        <v>77</v>
      </c>
      <c r="E618" t="s" s="0">
        <v>13661</v>
      </c>
      <c r="F618" t="s" s="0">
        <v>13662</v>
      </c>
      <c r="G618" t="s" s="0">
        <v>13663</v>
      </c>
      <c r="H618" t="s" s="0">
        <v>81</v>
      </c>
      <c r="I618" t="s" s="0">
        <v>82</v>
      </c>
      <c r="J618" t="s" s="0">
        <v>13664</v>
      </c>
      <c r="K618" t="s" s="0">
        <v>13665</v>
      </c>
      <c r="L618" t="s" s="0">
        <v>13666</v>
      </c>
      <c r="M618" t="s" s="0">
        <v>13667</v>
      </c>
      <c r="N618" t="s" s="0">
        <v>13668</v>
      </c>
      <c r="O618" t="s" s="0">
        <v>13669</v>
      </c>
      <c r="P618" t="s" s="0">
        <v>13670</v>
      </c>
      <c r="Q618" t="s" s="0">
        <v>87</v>
      </c>
      <c r="R618" t="s" s="0">
        <v>81</v>
      </c>
      <c r="S618" t="s" s="0">
        <v>81</v>
      </c>
      <c r="T618" t="s" s="0">
        <v>81</v>
      </c>
      <c r="U618" t="s" s="0">
        <v>81</v>
      </c>
      <c r="V618" t="s" s="0">
        <v>13671</v>
      </c>
      <c r="W618" t="s" s="0">
        <v>13672</v>
      </c>
      <c r="X618" t="s" s="0">
        <v>81</v>
      </c>
      <c r="Y618" t="s" s="0">
        <v>81</v>
      </c>
      <c r="Z618" t="s" s="0">
        <v>90</v>
      </c>
      <c r="AA618" t="s" s="0">
        <v>91</v>
      </c>
      <c r="AB618" t="s" s="0">
        <v>81</v>
      </c>
      <c r="AC618" t="s" s="0">
        <v>81</v>
      </c>
      <c r="AD618" t="s" s="0">
        <v>81</v>
      </c>
      <c r="AE618" t="s" s="0">
        <v>81</v>
      </c>
      <c r="AF618" t="s" s="0">
        <v>81</v>
      </c>
      <c r="AG618" t="s" s="0">
        <v>13673</v>
      </c>
      <c r="AH618" t="s" s="0">
        <v>81</v>
      </c>
      <c r="AI618" t="s" s="0">
        <v>13674</v>
      </c>
      <c r="AJ618" t="s" s="0">
        <v>81</v>
      </c>
      <c r="AK618" t="s" s="0">
        <v>81</v>
      </c>
      <c r="AL618" t="s" s="0">
        <v>344</v>
      </c>
      <c r="AM618" t="s" s="0">
        <v>77</v>
      </c>
      <c r="AN618" t="s" s="0">
        <v>77</v>
      </c>
      <c r="AO618" t="s" s="0">
        <v>77</v>
      </c>
      <c r="AP618" t="s" s="0">
        <v>77</v>
      </c>
      <c r="AQ618" t="s" s="0">
        <v>2208</v>
      </c>
      <c r="AR618" t="s" s="0">
        <v>2209</v>
      </c>
      <c r="AS618" t="s" s="0">
        <v>2252</v>
      </c>
      <c r="AT618" t="s" s="0">
        <v>13675</v>
      </c>
      <c r="AU618" t="s" s="0">
        <v>13676</v>
      </c>
      <c r="AV618" t="s" s="0">
        <v>81</v>
      </c>
      <c r="AW618" t="s" s="0">
        <v>13677</v>
      </c>
      <c r="AX618" t="s" s="0">
        <v>13678</v>
      </c>
      <c r="AY618" t="s" s="0">
        <v>849</v>
      </c>
      <c r="AZ618" t="s" s="0">
        <v>103</v>
      </c>
      <c r="BA618" t="s" s="0">
        <v>874</v>
      </c>
      <c r="BB618" t="s" s="0">
        <v>316</v>
      </c>
      <c r="BC618" t="s" s="0">
        <v>4172</v>
      </c>
      <c r="BD618" t="s" s="0">
        <v>81</v>
      </c>
      <c r="BE618" t="s" s="0">
        <v>81</v>
      </c>
      <c r="BF618" t="s" s="0">
        <v>81</v>
      </c>
      <c r="BG618" t="s" s="0">
        <v>13679</v>
      </c>
      <c r="BH618" t="s" s="0">
        <v>13680</v>
      </c>
      <c r="BI618" t="s" s="0">
        <v>81</v>
      </c>
      <c r="BJ618" t="s" s="0">
        <v>13681</v>
      </c>
      <c r="BK618" t="s" s="1227">
        <f>HYPERLINK("http://dx.doi.org/10.1007/s11548-026-03694-0","http://dx.doi.org/10.1007/s11548-026-03694-0")</f>
        <v>13682</v>
      </c>
      <c r="BL618" t="s" s="0">
        <v>81</v>
      </c>
      <c r="BM618" t="s" s="0">
        <v>675</v>
      </c>
      <c r="BN618" t="s" s="0">
        <v>381</v>
      </c>
      <c r="BO618" t="s" s="0">
        <v>13683</v>
      </c>
      <c r="BP618" t="s" s="0">
        <v>13684</v>
      </c>
      <c r="BQ618" t="s" s="0">
        <v>13685</v>
      </c>
      <c r="BR618" t="s" s="0">
        <v>13686</v>
      </c>
      <c r="BS618" t="s" s="0">
        <v>13687</v>
      </c>
      <c r="BT618" t="s" s="1228">
        <f>HYPERLINK("https://www.webofscience.com/wos/woscc/full-record/WOS:001767376800001","View Record in Web of Science")</f>
        <v>114</v>
      </c>
      <c r="BU618" t="s" s="0">
        <v>81</v>
      </c>
      <c r="BV618" t="s" s="0">
        <v>81</v>
      </c>
      <c r="BW618" t="s" s="0">
        <v>81</v>
      </c>
      <c r="BX618" t="s" s="0">
        <v>116</v>
      </c>
    </row>
    <row r="619">
      <c r="A619" t="s" s="0">
        <v>77</v>
      </c>
      <c r="B619" t="s" s="0">
        <v>77</v>
      </c>
      <c r="C619" t="s" s="0">
        <v>77</v>
      </c>
      <c r="D619" t="s" s="0">
        <v>77</v>
      </c>
      <c r="E619" t="s" s="0">
        <v>13688</v>
      </c>
      <c r="F619" t="s" s="0">
        <v>13689</v>
      </c>
      <c r="G619" t="s" s="0">
        <v>13690</v>
      </c>
      <c r="H619" t="s" s="0">
        <v>81</v>
      </c>
      <c r="I619" t="s" s="0">
        <v>82</v>
      </c>
      <c r="J619" t="s" s="0">
        <v>13691</v>
      </c>
      <c r="K619" t="s" s="0">
        <v>13692</v>
      </c>
      <c r="L619" t="s" s="0">
        <v>13693</v>
      </c>
      <c r="M619" t="s" s="0">
        <v>13693</v>
      </c>
      <c r="N619" t="s" s="0">
        <v>13694</v>
      </c>
      <c r="O619" t="s" s="0">
        <v>13695</v>
      </c>
      <c r="P619" t="s" s="0">
        <v>13696</v>
      </c>
      <c r="Q619" t="s" s="0">
        <v>87</v>
      </c>
      <c r="R619" t="s" s="0">
        <v>81</v>
      </c>
      <c r="S619" t="s" s="0">
        <v>81</v>
      </c>
      <c r="T619" t="s" s="0">
        <v>81</v>
      </c>
      <c r="U619" t="s" s="0">
        <v>81</v>
      </c>
      <c r="V619" t="s" s="0">
        <v>13697</v>
      </c>
      <c r="W619" t="s" s="0">
        <v>910</v>
      </c>
      <c r="X619" t="s" s="0">
        <v>81</v>
      </c>
      <c r="Y619" t="s" s="0">
        <v>81</v>
      </c>
      <c r="Z619" t="s" s="0">
        <v>90</v>
      </c>
      <c r="AA619" t="s" s="0">
        <v>91</v>
      </c>
      <c r="AB619" t="s" s="0">
        <v>81</v>
      </c>
      <c r="AC619" t="s" s="0">
        <v>81</v>
      </c>
      <c r="AD619" t="s" s="0">
        <v>81</v>
      </c>
      <c r="AE619" t="s" s="0">
        <v>81</v>
      </c>
      <c r="AF619" t="s" s="0">
        <v>81</v>
      </c>
      <c r="AG619" t="s" s="0">
        <v>13698</v>
      </c>
      <c r="AH619" t="s" s="0">
        <v>13699</v>
      </c>
      <c r="AI619" t="s" s="0">
        <v>13700</v>
      </c>
      <c r="AJ619" t="s" s="0">
        <v>81</v>
      </c>
      <c r="AK619" t="s" s="0">
        <v>81</v>
      </c>
      <c r="AL619" t="s" s="0">
        <v>1686</v>
      </c>
      <c r="AM619" t="s" s="0">
        <v>77</v>
      </c>
      <c r="AN619" t="s" s="0">
        <v>77</v>
      </c>
      <c r="AO619" t="s" s="0">
        <v>97</v>
      </c>
      <c r="AP619" t="s" s="0">
        <v>97</v>
      </c>
      <c r="AQ619" t="s" s="0">
        <v>915</v>
      </c>
      <c r="AR619" t="s" s="0">
        <v>916</v>
      </c>
      <c r="AS619" t="s" s="0">
        <v>917</v>
      </c>
      <c r="AT619" t="s" s="0">
        <v>918</v>
      </c>
      <c r="AU619" t="s" s="0">
        <v>81</v>
      </c>
      <c r="AV619" t="s" s="0">
        <v>81</v>
      </c>
      <c r="AW619" t="s" s="0">
        <v>919</v>
      </c>
      <c r="AX619" t="s" s="0">
        <v>920</v>
      </c>
      <c r="AY619" t="s" s="0">
        <v>13701</v>
      </c>
      <c r="AZ619" t="s" s="0">
        <v>103</v>
      </c>
      <c r="BA619" t="s" s="0">
        <v>925</v>
      </c>
      <c r="BB619" t="s" s="0">
        <v>97</v>
      </c>
      <c r="BC619" t="s" s="0">
        <v>81</v>
      </c>
      <c r="BD619" t="s" s="0">
        <v>81</v>
      </c>
      <c r="BE619" t="s" s="0">
        <v>81</v>
      </c>
      <c r="BF619" t="s" s="0">
        <v>81</v>
      </c>
      <c r="BG619" t="s" s="0">
        <v>81</v>
      </c>
      <c r="BH619" t="s" s="0">
        <v>81</v>
      </c>
      <c r="BI619" t="s" s="0">
        <v>13702</v>
      </c>
      <c r="BJ619" t="s" s="0">
        <v>13703</v>
      </c>
      <c r="BK619" t="s" s="1229">
        <f>HYPERLINK("http://dx.doi.org/10.1038/s41598-026-47815-w","http://dx.doi.org/10.1038/s41598-026-47815-w")</f>
        <v>13704</v>
      </c>
      <c r="BL619" t="s" s="0">
        <v>81</v>
      </c>
      <c r="BM619" t="s" s="0">
        <v>948</v>
      </c>
      <c r="BN619" t="s" s="0">
        <v>434</v>
      </c>
      <c r="BO619" t="s" s="0">
        <v>926</v>
      </c>
      <c r="BP619" t="s" s="0">
        <v>927</v>
      </c>
      <c r="BQ619" t="s" s="0">
        <v>13705</v>
      </c>
      <c r="BR619" t="s" s="0">
        <v>13706</v>
      </c>
      <c r="BS619" t="s" s="0">
        <v>13707</v>
      </c>
      <c r="BT619" t="s" s="1230">
        <f>HYPERLINK("https://www.webofscience.com/wos/woscc/full-record/WOS:001789003100028","View Record in Web of Science")</f>
        <v>114</v>
      </c>
      <c r="BU619" t="s" s="0">
        <v>301</v>
      </c>
      <c r="BV619" t="s" s="0">
        <v>81</v>
      </c>
      <c r="BW619" t="s" s="0">
        <v>81</v>
      </c>
      <c r="BX619" t="s" s="0">
        <v>116</v>
      </c>
    </row>
    <row r="620">
      <c r="A620" t="s" s="0">
        <v>156</v>
      </c>
      <c r="B620" t="s" s="0">
        <v>77</v>
      </c>
      <c r="C620" t="s" s="0">
        <v>97</v>
      </c>
      <c r="D620" t="s" s="0">
        <v>77</v>
      </c>
      <c r="E620" t="s" s="0">
        <v>13708</v>
      </c>
      <c r="F620" t="s" s="0">
        <v>13709</v>
      </c>
      <c r="G620" t="s" s="0">
        <v>13710</v>
      </c>
      <c r="H620" t="s" s="0">
        <v>81</v>
      </c>
      <c r="I620" t="s" s="0">
        <v>82</v>
      </c>
      <c r="J620" t="s" s="0">
        <v>13711</v>
      </c>
      <c r="K620" t="s" s="0">
        <v>81</v>
      </c>
      <c r="L620" t="s" s="0">
        <v>13712</v>
      </c>
      <c r="M620" t="s" s="0">
        <v>13713</v>
      </c>
      <c r="N620" t="s" s="0">
        <v>13714</v>
      </c>
      <c r="O620" t="s" s="0">
        <v>13715</v>
      </c>
      <c r="P620" t="s" s="0">
        <v>13716</v>
      </c>
      <c r="Q620" t="s" s="0">
        <v>87</v>
      </c>
      <c r="R620" t="s" s="0">
        <v>81</v>
      </c>
      <c r="S620" t="s" s="0">
        <v>81</v>
      </c>
      <c r="T620" t="s" s="0">
        <v>81</v>
      </c>
      <c r="U620" t="s" s="0">
        <v>81</v>
      </c>
      <c r="V620" t="s" s="0">
        <v>13717</v>
      </c>
      <c r="W620" t="s" s="0">
        <v>2492</v>
      </c>
      <c r="X620" t="s" s="0">
        <v>81</v>
      </c>
      <c r="Y620" t="s" s="0">
        <v>81</v>
      </c>
      <c r="Z620" t="s" s="0">
        <v>90</v>
      </c>
      <c r="AA620" t="s" s="0">
        <v>91</v>
      </c>
      <c r="AB620" t="s" s="0">
        <v>81</v>
      </c>
      <c r="AC620" t="s" s="0">
        <v>81</v>
      </c>
      <c r="AD620" t="s" s="0">
        <v>81</v>
      </c>
      <c r="AE620" t="s" s="0">
        <v>81</v>
      </c>
      <c r="AF620" t="s" s="0">
        <v>81</v>
      </c>
      <c r="AG620" t="s" s="0">
        <v>81</v>
      </c>
      <c r="AH620" t="s" s="0">
        <v>13718</v>
      </c>
      <c r="AI620" t="s" s="0">
        <v>13719</v>
      </c>
      <c r="AJ620" t="s" s="0">
        <v>13720</v>
      </c>
      <c r="AK620" t="s" s="0">
        <v>81</v>
      </c>
      <c r="AL620" t="s" s="0">
        <v>697</v>
      </c>
      <c r="AM620" t="s" s="0">
        <v>925</v>
      </c>
      <c r="AN620" t="s" s="0">
        <v>295</v>
      </c>
      <c r="AO620" t="s" s="0">
        <v>196</v>
      </c>
      <c r="AP620" t="s" s="0">
        <v>295</v>
      </c>
      <c r="AQ620" t="s" s="0">
        <v>177</v>
      </c>
      <c r="AR620" t="s" s="0">
        <v>178</v>
      </c>
      <c r="AS620" t="s" s="0">
        <v>179</v>
      </c>
      <c r="AT620" t="s" s="0">
        <v>2496</v>
      </c>
      <c r="AU620" t="s" s="0">
        <v>81</v>
      </c>
      <c r="AV620" t="s" s="0">
        <v>81</v>
      </c>
      <c r="AW620" t="s" s="0">
        <v>2497</v>
      </c>
      <c r="AX620" t="s" s="0">
        <v>2498</v>
      </c>
      <c r="AY620" t="s" s="0">
        <v>185</v>
      </c>
      <c r="AZ620" t="s" s="0">
        <v>185</v>
      </c>
      <c r="BA620" t="s" s="0">
        <v>3518</v>
      </c>
      <c r="BB620" t="s" s="0">
        <v>81</v>
      </c>
      <c r="BC620" t="s" s="0">
        <v>81</v>
      </c>
      <c r="BD620" t="s" s="0">
        <v>81</v>
      </c>
      <c r="BE620" t="s" s="0">
        <v>81</v>
      </c>
      <c r="BF620" t="s" s="0">
        <v>81</v>
      </c>
      <c r="BG620" t="s" s="0">
        <v>81</v>
      </c>
      <c r="BH620" t="s" s="0">
        <v>81</v>
      </c>
      <c r="BI620" t="s" s="0">
        <v>13721</v>
      </c>
      <c r="BJ620" t="s" s="0">
        <v>13722</v>
      </c>
      <c r="BK620" t="s" s="1231">
        <f>HYPERLINK("http://dx.doi.org/10.1016/j.nicl.2024.103638","http://dx.doi.org/10.1016/j.nicl.2024.103638")</f>
        <v>13723</v>
      </c>
      <c r="BL620" t="s" s="0">
        <v>81</v>
      </c>
      <c r="BM620" t="s" s="0">
        <v>6555</v>
      </c>
      <c r="BN620" t="s" s="0">
        <v>104</v>
      </c>
      <c r="BO620" t="s" s="0">
        <v>2503</v>
      </c>
      <c r="BP620" t="s" s="0">
        <v>2504</v>
      </c>
      <c r="BQ620" t="s" s="0">
        <v>13724</v>
      </c>
      <c r="BR620" t="s" s="0">
        <v>13725</v>
      </c>
      <c r="BS620" t="s" s="0">
        <v>13726</v>
      </c>
      <c r="BT620" t="s" s="1232">
        <f>HYPERLINK("https://www.webofscience.com/wos/woscc/full-record/WOS:001270516600001","View Record in Web of Science")</f>
        <v>114</v>
      </c>
      <c r="BU620" t="s" s="0">
        <v>6488</v>
      </c>
      <c r="BV620" t="s" s="0">
        <v>81</v>
      </c>
      <c r="BW620" t="s" s="0">
        <v>81</v>
      </c>
      <c r="BX620" t="s" s="0">
        <v>116</v>
      </c>
    </row>
    <row r="621">
      <c r="A621" t="s" s="0">
        <v>77</v>
      </c>
      <c r="B621" t="s" s="0">
        <v>77</v>
      </c>
      <c r="C621" t="s" s="0">
        <v>77</v>
      </c>
      <c r="D621" t="s" s="0">
        <v>77</v>
      </c>
      <c r="E621" t="s" s="0">
        <v>13727</v>
      </c>
      <c r="F621" t="s" s="0">
        <v>13728</v>
      </c>
      <c r="G621" t="s" s="0">
        <v>13729</v>
      </c>
      <c r="H621" t="s" s="0">
        <v>81</v>
      </c>
      <c r="I621" t="s" s="0">
        <v>82</v>
      </c>
      <c r="J621" t="s" s="0">
        <v>13730</v>
      </c>
      <c r="K621" t="s" s="0">
        <v>13731</v>
      </c>
      <c r="L621" t="s" s="0">
        <v>13732</v>
      </c>
      <c r="M621" t="s" s="0">
        <v>13733</v>
      </c>
      <c r="N621" t="s" s="0">
        <v>13734</v>
      </c>
      <c r="O621" t="s" s="0">
        <v>13735</v>
      </c>
      <c r="P621" t="s" s="0">
        <v>13736</v>
      </c>
      <c r="Q621" t="s" s="0">
        <v>87</v>
      </c>
      <c r="R621" t="s" s="0">
        <v>81</v>
      </c>
      <c r="S621" t="s" s="0">
        <v>81</v>
      </c>
      <c r="T621" t="s" s="0">
        <v>81</v>
      </c>
      <c r="U621" t="s" s="0">
        <v>81</v>
      </c>
      <c r="V621" t="s" s="0">
        <v>13737</v>
      </c>
      <c r="W621" t="s" s="0">
        <v>362</v>
      </c>
      <c r="X621" t="s" s="0">
        <v>81</v>
      </c>
      <c r="Y621" t="s" s="0">
        <v>81</v>
      </c>
      <c r="Z621" t="s" s="0">
        <v>90</v>
      </c>
      <c r="AA621" t="s" s="0">
        <v>91</v>
      </c>
      <c r="AB621" t="s" s="0">
        <v>81</v>
      </c>
      <c r="AC621" t="s" s="0">
        <v>81</v>
      </c>
      <c r="AD621" t="s" s="0">
        <v>81</v>
      </c>
      <c r="AE621" t="s" s="0">
        <v>81</v>
      </c>
      <c r="AF621" t="s" s="0">
        <v>81</v>
      </c>
      <c r="AG621" t="s" s="0">
        <v>13738</v>
      </c>
      <c r="AH621" t="s" s="0">
        <v>81</v>
      </c>
      <c r="AI621" t="s" s="0">
        <v>13739</v>
      </c>
      <c r="AJ621" t="s" s="0">
        <v>81</v>
      </c>
      <c r="AK621" t="s" s="0">
        <v>81</v>
      </c>
      <c r="AL621" t="s" s="0">
        <v>344</v>
      </c>
      <c r="AM621" t="s" s="0">
        <v>175</v>
      </c>
      <c r="AN621" t="s" s="0">
        <v>133</v>
      </c>
      <c r="AO621" t="s" s="0">
        <v>77</v>
      </c>
      <c r="AP621" t="s" s="0">
        <v>196</v>
      </c>
      <c r="AQ621" t="s" s="0">
        <v>368</v>
      </c>
      <c r="AR621" t="s" s="0">
        <v>369</v>
      </c>
      <c r="AS621" t="s" s="0">
        <v>370</v>
      </c>
      <c r="AT621" t="s" s="0">
        <v>81</v>
      </c>
      <c r="AU621" t="s" s="0">
        <v>371</v>
      </c>
      <c r="AV621" t="s" s="0">
        <v>81</v>
      </c>
      <c r="AW621" t="s" s="0">
        <v>372</v>
      </c>
      <c r="AX621" t="s" s="0">
        <v>373</v>
      </c>
      <c r="AY621" t="s" s="0">
        <v>13740</v>
      </c>
      <c r="AZ621" t="s" s="0">
        <v>290</v>
      </c>
      <c r="BA621" t="s" s="0">
        <v>134</v>
      </c>
      <c r="BB621" t="s" s="0">
        <v>81</v>
      </c>
      <c r="BC621" t="s" s="0">
        <v>81</v>
      </c>
      <c r="BD621" t="s" s="0">
        <v>81</v>
      </c>
      <c r="BE621" t="s" s="0">
        <v>81</v>
      </c>
      <c r="BF621" t="s" s="0">
        <v>81</v>
      </c>
      <c r="BG621" t="s" s="0">
        <v>81</v>
      </c>
      <c r="BH621" t="s" s="0">
        <v>81</v>
      </c>
      <c r="BI621" t="s" s="0">
        <v>13741</v>
      </c>
      <c r="BJ621" t="s" s="0">
        <v>13742</v>
      </c>
      <c r="BK621" t="s" s="1233">
        <f>HYPERLINK("http://dx.doi.org/10.3389/fmed.2025.1625183","http://dx.doi.org/10.3389/fmed.2025.1625183")</f>
        <v>13743</v>
      </c>
      <c r="BL621" t="s" s="0">
        <v>81</v>
      </c>
      <c r="BM621" t="s" s="0">
        <v>81</v>
      </c>
      <c r="BN621" t="s" s="0">
        <v>104</v>
      </c>
      <c r="BO621" t="s" s="0">
        <v>296</v>
      </c>
      <c r="BP621" t="s" s="0">
        <v>297</v>
      </c>
      <c r="BQ621" t="s" s="0">
        <v>13744</v>
      </c>
      <c r="BR621" t="s" s="0">
        <v>13745</v>
      </c>
      <c r="BS621" t="s" s="0">
        <v>13746</v>
      </c>
      <c r="BT621" t="s" s="1234">
        <f>HYPERLINK("https://www.webofscience.com/wos/woscc/full-record/WOS:001577620000001","View Record in Web of Science")</f>
        <v>114</v>
      </c>
      <c r="BU621" t="s" s="0">
        <v>301</v>
      </c>
      <c r="BV621" t="s" s="0">
        <v>81</v>
      </c>
      <c r="BW621" t="s" s="0">
        <v>81</v>
      </c>
      <c r="BX621" t="s" s="0">
        <v>116</v>
      </c>
    </row>
    <row r="622">
      <c r="A622" t="s" s="0">
        <v>77</v>
      </c>
      <c r="B622" t="s" s="0">
        <v>77</v>
      </c>
      <c r="C622" t="s" s="0">
        <v>77</v>
      </c>
      <c r="D622" t="s" s="0">
        <v>77</v>
      </c>
      <c r="E622" t="s" s="0">
        <v>13747</v>
      </c>
      <c r="F622" t="s" s="0">
        <v>13748</v>
      </c>
      <c r="G622" t="s" s="0">
        <v>13749</v>
      </c>
      <c r="H622" t="s" s="0">
        <v>81</v>
      </c>
      <c r="I622" t="s" s="0">
        <v>82</v>
      </c>
      <c r="J622" t="s" s="0">
        <v>13750</v>
      </c>
      <c r="K622" t="s" s="0">
        <v>13751</v>
      </c>
      <c r="L622" t="s" s="0">
        <v>81</v>
      </c>
      <c r="M622" t="s" s="0">
        <v>81</v>
      </c>
      <c r="N622" t="s" s="0">
        <v>81</v>
      </c>
      <c r="O622" t="s" s="0">
        <v>13752</v>
      </c>
      <c r="P622" t="s" s="0">
        <v>13753</v>
      </c>
      <c r="Q622" t="s" s="0">
        <v>87</v>
      </c>
      <c r="R622" t="s" s="0">
        <v>81</v>
      </c>
      <c r="S622" t="s" s="0">
        <v>81</v>
      </c>
      <c r="T622" t="s" s="0">
        <v>81</v>
      </c>
      <c r="U622" t="s" s="0">
        <v>81</v>
      </c>
      <c r="V622" t="s" s="0">
        <v>13754</v>
      </c>
      <c r="W622" t="s" s="0">
        <v>13755</v>
      </c>
      <c r="X622" t="s" s="0">
        <v>81</v>
      </c>
      <c r="Y622" t="s" s="0">
        <v>81</v>
      </c>
      <c r="Z622" t="s" s="0">
        <v>90</v>
      </c>
      <c r="AA622" t="s" s="0">
        <v>91</v>
      </c>
      <c r="AB622" t="s" s="0">
        <v>81</v>
      </c>
      <c r="AC622" t="s" s="0">
        <v>81</v>
      </c>
      <c r="AD622" t="s" s="0">
        <v>81</v>
      </c>
      <c r="AE622" t="s" s="0">
        <v>81</v>
      </c>
      <c r="AF622" t="s" s="0">
        <v>81</v>
      </c>
      <c r="AG622" t="s" s="0">
        <v>13756</v>
      </c>
      <c r="AH622" t="s" s="0">
        <v>6438</v>
      </c>
      <c r="AI622" t="s" s="0">
        <v>13757</v>
      </c>
      <c r="AJ622" t="s" s="0">
        <v>13758</v>
      </c>
      <c r="AK622" t="s" s="0">
        <v>81</v>
      </c>
      <c r="AL622" t="s" s="0">
        <v>324</v>
      </c>
      <c r="AM622" t="s" s="0">
        <v>77</v>
      </c>
      <c r="AN622" t="s" s="0">
        <v>77</v>
      </c>
      <c r="AO622" t="s" s="0">
        <v>97</v>
      </c>
      <c r="AP622" t="s" s="0">
        <v>97</v>
      </c>
      <c r="AQ622" t="s" s="0">
        <v>212</v>
      </c>
      <c r="AR622" t="s" s="0">
        <v>429</v>
      </c>
      <c r="AS622" t="s" s="0">
        <v>784</v>
      </c>
      <c r="AT622" t="s" s="0">
        <v>13759</v>
      </c>
      <c r="AU622" t="s" s="0">
        <v>13760</v>
      </c>
      <c r="AV622" t="s" s="0">
        <v>81</v>
      </c>
      <c r="AW622" t="s" s="0">
        <v>13761</v>
      </c>
      <c r="AX622" t="s" s="0">
        <v>13762</v>
      </c>
      <c r="AY622" t="s" s="0">
        <v>13763</v>
      </c>
      <c r="AZ622" t="s" s="0">
        <v>103</v>
      </c>
      <c r="BA622" t="s" s="0">
        <v>222</v>
      </c>
      <c r="BB622" t="s" s="0">
        <v>156</v>
      </c>
      <c r="BC622" t="s" s="0">
        <v>81</v>
      </c>
      <c r="BD622" t="s" s="0">
        <v>81</v>
      </c>
      <c r="BE622" t="s" s="0">
        <v>81</v>
      </c>
      <c r="BF622" t="s" s="0">
        <v>81</v>
      </c>
      <c r="BG622" t="s" s="0">
        <v>81</v>
      </c>
      <c r="BH622" t="s" s="0">
        <v>81</v>
      </c>
      <c r="BI622" t="s" s="0">
        <v>671</v>
      </c>
      <c r="BJ622" t="s" s="0">
        <v>13764</v>
      </c>
      <c r="BK622" t="s" s="1235">
        <f>HYPERLINK("http://dx.doi.org/10.1007/s12975-026-01411-2","http://dx.doi.org/10.1007/s12975-026-01411-2")</f>
        <v>13765</v>
      </c>
      <c r="BL622" t="s" s="0">
        <v>81</v>
      </c>
      <c r="BM622" t="s" s="0">
        <v>81</v>
      </c>
      <c r="BN622" t="s" s="0">
        <v>344</v>
      </c>
      <c r="BO622" t="s" s="0">
        <v>3906</v>
      </c>
      <c r="BP622" t="s" s="0">
        <v>2504</v>
      </c>
      <c r="BQ622" t="s" s="0">
        <v>13766</v>
      </c>
      <c r="BR622" t="s" s="0">
        <v>13767</v>
      </c>
      <c r="BS622" t="s" s="0">
        <v>13768</v>
      </c>
      <c r="BT622" t="s" s="1236">
        <f>HYPERLINK("https://www.webofscience.com/wos/woscc/full-record/WOS:001697944700001","View Record in Web of Science")</f>
        <v>114</v>
      </c>
      <c r="BU622" t="s" s="0">
        <v>81</v>
      </c>
      <c r="BV622" t="s" s="0">
        <v>81</v>
      </c>
      <c r="BW622" t="s" s="0">
        <v>81</v>
      </c>
      <c r="BX622" t="s" s="0">
        <v>116</v>
      </c>
    </row>
    <row r="623">
      <c r="A623" t="s" s="0">
        <v>77</v>
      </c>
      <c r="B623" t="s" s="0">
        <v>77</v>
      </c>
      <c r="C623" t="s" s="0">
        <v>77</v>
      </c>
      <c r="D623" t="s" s="0">
        <v>77</v>
      </c>
      <c r="E623" t="s" s="0">
        <v>13769</v>
      </c>
      <c r="F623" t="s" s="0">
        <v>13770</v>
      </c>
      <c r="G623" t="s" s="0">
        <v>13771</v>
      </c>
      <c r="H623" t="s" s="0">
        <v>81</v>
      </c>
      <c r="I623" t="s" s="0">
        <v>589</v>
      </c>
      <c r="J623" t="s" s="0">
        <v>13772</v>
      </c>
      <c r="K623" t="s" s="0">
        <v>13773</v>
      </c>
      <c r="L623" t="s" s="0">
        <v>81</v>
      </c>
      <c r="M623" t="s" s="0">
        <v>81</v>
      </c>
      <c r="N623" t="s" s="0">
        <v>81</v>
      </c>
      <c r="O623" t="s" s="0">
        <v>13774</v>
      </c>
      <c r="P623" t="s" s="0">
        <v>81</v>
      </c>
      <c r="Q623" t="s" s="0">
        <v>87</v>
      </c>
      <c r="R623" t="s" s="0">
        <v>81</v>
      </c>
      <c r="S623" t="s" s="0">
        <v>81</v>
      </c>
      <c r="T623" t="s" s="0">
        <v>81</v>
      </c>
      <c r="U623" t="s" s="0">
        <v>81</v>
      </c>
      <c r="V623" t="s" s="0">
        <v>13775</v>
      </c>
      <c r="W623" t="s" s="0">
        <v>13776</v>
      </c>
      <c r="X623" t="s" s="0">
        <v>81</v>
      </c>
      <c r="Y623" t="s" s="0">
        <v>81</v>
      </c>
      <c r="Z623" t="s" s="0">
        <v>90</v>
      </c>
      <c r="AA623" t="s" s="0">
        <v>1581</v>
      </c>
      <c r="AB623" t="s" s="0">
        <v>81</v>
      </c>
      <c r="AC623" t="s" s="0">
        <v>81</v>
      </c>
      <c r="AD623" t="s" s="0">
        <v>81</v>
      </c>
      <c r="AE623" t="s" s="0">
        <v>81</v>
      </c>
      <c r="AF623" t="s" s="0">
        <v>81</v>
      </c>
      <c r="AG623" t="s" s="0">
        <v>13777</v>
      </c>
      <c r="AH623" t="s" s="0">
        <v>81</v>
      </c>
      <c r="AI623" t="s" s="0">
        <v>13778</v>
      </c>
      <c r="AJ623" t="s" s="0">
        <v>81</v>
      </c>
      <c r="AK623" t="s" s="0">
        <v>81</v>
      </c>
      <c r="AL623" t="s" s="0">
        <v>4581</v>
      </c>
      <c r="AM623" t="s" s="0">
        <v>77</v>
      </c>
      <c r="AN623" t="s" s="0">
        <v>77</v>
      </c>
      <c r="AO623" t="s" s="0">
        <v>196</v>
      </c>
      <c r="AP623" t="s" s="0">
        <v>196</v>
      </c>
      <c r="AQ623" t="s" s="0">
        <v>5049</v>
      </c>
      <c r="AR623" t="s" s="0">
        <v>5050</v>
      </c>
      <c r="AS623" t="s" s="0">
        <v>5051</v>
      </c>
      <c r="AT623" t="s" s="0">
        <v>13779</v>
      </c>
      <c r="AU623" t="s" s="0">
        <v>13780</v>
      </c>
      <c r="AV623" t="s" s="0">
        <v>81</v>
      </c>
      <c r="AW623" t="s" s="0">
        <v>13781</v>
      </c>
      <c r="AX623" t="s" s="0">
        <v>13782</v>
      </c>
      <c r="AY623" t="s" s="0">
        <v>81</v>
      </c>
      <c r="AZ623" t="s" s="0">
        <v>103</v>
      </c>
      <c r="BA623" t="s" s="0">
        <v>81</v>
      </c>
      <c r="BB623" t="s" s="0">
        <v>81</v>
      </c>
      <c r="BC623" t="s" s="0">
        <v>81</v>
      </c>
      <c r="BD623" t="s" s="0">
        <v>81</v>
      </c>
      <c r="BE623" t="s" s="0">
        <v>81</v>
      </c>
      <c r="BF623" t="s" s="0">
        <v>81</v>
      </c>
      <c r="BG623" t="s" s="0">
        <v>81</v>
      </c>
      <c r="BH623" t="s" s="0">
        <v>81</v>
      </c>
      <c r="BI623" t="s" s="0">
        <v>81</v>
      </c>
      <c r="BJ623" t="s" s="0">
        <v>13783</v>
      </c>
      <c r="BK623" t="s" s="1237">
        <f>HYPERLINK("http://dx.doi.org/10.1108/JHOM-12-2025-0862","http://dx.doi.org/10.1108/JHOM-12-2025-0862")</f>
        <v>13784</v>
      </c>
      <c r="BL623" t="s" s="0">
        <v>81</v>
      </c>
      <c r="BM623" t="s" s="0">
        <v>143</v>
      </c>
      <c r="BN623" t="s" s="0">
        <v>135</v>
      </c>
      <c r="BO623" t="s" s="0">
        <v>13785</v>
      </c>
      <c r="BP623" t="s" s="0">
        <v>4482</v>
      </c>
      <c r="BQ623" t="s" s="0">
        <v>13786</v>
      </c>
      <c r="BR623" t="s" s="0">
        <v>81</v>
      </c>
      <c r="BS623" t="s" s="0">
        <v>13787</v>
      </c>
      <c r="BT623" t="s" s="1238">
        <f>HYPERLINK("https://www.webofscience.com/wos/woscc/full-record/WOS:001721676600001","View Record in Web of Science")</f>
        <v>114</v>
      </c>
      <c r="BU623" t="s" s="0">
        <v>81</v>
      </c>
      <c r="BV623" t="s" s="0">
        <v>81</v>
      </c>
      <c r="BW623" t="s" s="0">
        <v>81</v>
      </c>
      <c r="BX623" t="s" s="0">
        <v>116</v>
      </c>
    </row>
    <row r="624">
      <c r="A624" t="s" s="0">
        <v>77</v>
      </c>
      <c r="B624" t="s" s="0">
        <v>77</v>
      </c>
      <c r="C624" t="s" s="0">
        <v>77</v>
      </c>
      <c r="D624" t="s" s="0">
        <v>77</v>
      </c>
      <c r="E624" t="s" s="0">
        <v>13788</v>
      </c>
      <c r="F624" t="s" s="0">
        <v>13789</v>
      </c>
      <c r="G624" t="s" s="0">
        <v>13790</v>
      </c>
      <c r="H624" t="s" s="0">
        <v>81</v>
      </c>
      <c r="I624" t="s" s="0">
        <v>82</v>
      </c>
      <c r="J624" t="s" s="0">
        <v>13791</v>
      </c>
      <c r="K624" t="s" s="0">
        <v>13792</v>
      </c>
      <c r="L624" t="s" s="0">
        <v>81</v>
      </c>
      <c r="M624" t="s" s="0">
        <v>81</v>
      </c>
      <c r="N624" t="s" s="0">
        <v>81</v>
      </c>
      <c r="O624" t="s" s="0">
        <v>13793</v>
      </c>
      <c r="P624" t="s" s="0">
        <v>13794</v>
      </c>
      <c r="Q624" t="s" s="0">
        <v>87</v>
      </c>
      <c r="R624" t="s" s="0">
        <v>81</v>
      </c>
      <c r="S624" t="s" s="0">
        <v>81</v>
      </c>
      <c r="T624" t="s" s="0">
        <v>81</v>
      </c>
      <c r="U624" t="s" s="0">
        <v>81</v>
      </c>
      <c r="V624" t="s" s="0">
        <v>13795</v>
      </c>
      <c r="W624" t="s" s="0">
        <v>89</v>
      </c>
      <c r="X624" t="s" s="0">
        <v>81</v>
      </c>
      <c r="Y624" t="s" s="0">
        <v>81</v>
      </c>
      <c r="Z624" t="s" s="0">
        <v>90</v>
      </c>
      <c r="AA624" t="s" s="0">
        <v>91</v>
      </c>
      <c r="AB624" t="s" s="0">
        <v>81</v>
      </c>
      <c r="AC624" t="s" s="0">
        <v>81</v>
      </c>
      <c r="AD624" t="s" s="0">
        <v>81</v>
      </c>
      <c r="AE624" t="s" s="0">
        <v>81</v>
      </c>
      <c r="AF624" t="s" s="0">
        <v>81</v>
      </c>
      <c r="AG624" t="s" s="0">
        <v>13796</v>
      </c>
      <c r="AH624" t="s" s="0">
        <v>13797</v>
      </c>
      <c r="AI624" t="s" s="0">
        <v>13798</v>
      </c>
      <c r="AJ624" t="s" s="0">
        <v>13799</v>
      </c>
      <c r="AK624" t="s" s="0">
        <v>81</v>
      </c>
      <c r="AL624" t="s" s="0">
        <v>5009</v>
      </c>
      <c r="AM624" t="s" s="0">
        <v>77</v>
      </c>
      <c r="AN624" t="s" s="0">
        <v>77</v>
      </c>
      <c r="AO624" t="s" s="0">
        <v>77</v>
      </c>
      <c r="AP624" t="s" s="0">
        <v>77</v>
      </c>
      <c r="AQ624" t="s" s="0">
        <v>98</v>
      </c>
      <c r="AR624" t="s" s="0">
        <v>99</v>
      </c>
      <c r="AS624" t="s" s="0">
        <v>100</v>
      </c>
      <c r="AT624" t="s" s="0">
        <v>101</v>
      </c>
      <c r="AU624" t="s" s="0">
        <v>81</v>
      </c>
      <c r="AV624" t="s" s="0">
        <v>81</v>
      </c>
      <c r="AW624" t="s" s="0">
        <v>89</v>
      </c>
      <c r="AX624" t="s" s="0">
        <v>102</v>
      </c>
      <c r="AY624" t="s" s="0">
        <v>103</v>
      </c>
      <c r="AZ624" t="s" s="0">
        <v>103</v>
      </c>
      <c r="BA624" t="s" s="0">
        <v>104</v>
      </c>
      <c r="BB624" t="s" s="0">
        <v>81</v>
      </c>
      <c r="BC624" t="s" s="0">
        <v>81</v>
      </c>
      <c r="BD624" t="s" s="0">
        <v>81</v>
      </c>
      <c r="BE624" t="s" s="0">
        <v>81</v>
      </c>
      <c r="BF624" t="s" s="0">
        <v>81</v>
      </c>
      <c r="BG624" t="s" s="0">
        <v>13800</v>
      </c>
      <c r="BH624" t="s" s="0">
        <v>13801</v>
      </c>
      <c r="BI624" t="s" s="0">
        <v>81</v>
      </c>
      <c r="BJ624" t="s" s="0">
        <v>13802</v>
      </c>
      <c r="BK624" t="s" s="1239">
        <f>HYPERLINK("http://dx.doi.org/10.1109/ACCESS.2026.3676942","http://dx.doi.org/10.1109/ACCESS.2026.3676942")</f>
        <v>13803</v>
      </c>
      <c r="BL624" t="s" s="0">
        <v>81</v>
      </c>
      <c r="BM624" t="s" s="0">
        <v>81</v>
      </c>
      <c r="BN624" t="s" s="0">
        <v>1883</v>
      </c>
      <c r="BO624" t="s" s="0">
        <v>110</v>
      </c>
      <c r="BP624" t="s" s="0">
        <v>111</v>
      </c>
      <c r="BQ624" t="s" s="0">
        <v>13804</v>
      </c>
      <c r="BR624" t="s" s="0">
        <v>81</v>
      </c>
      <c r="BS624" t="s" s="0">
        <v>13805</v>
      </c>
      <c r="BT624" t="s" s="1240">
        <f>HYPERLINK("https://www.webofscience.com/wos/woscc/full-record/WOS:001732696000011","View Record in Web of Science")</f>
        <v>114</v>
      </c>
      <c r="BU624" t="s" s="0">
        <v>650</v>
      </c>
      <c r="BV624" t="s" s="0">
        <v>81</v>
      </c>
      <c r="BW624" t="s" s="0">
        <v>81</v>
      </c>
      <c r="BX624" t="s" s="0">
        <v>116</v>
      </c>
    </row>
    <row r="625">
      <c r="A625" t="s" s="0">
        <v>77</v>
      </c>
      <c r="B625" t="s" s="0">
        <v>77</v>
      </c>
      <c r="C625" t="s" s="0">
        <v>77</v>
      </c>
      <c r="D625" t="s" s="0">
        <v>77</v>
      </c>
      <c r="E625" t="s" s="0">
        <v>13806</v>
      </c>
      <c r="F625" t="s" s="0">
        <v>13807</v>
      </c>
      <c r="G625" t="s" s="0">
        <v>13808</v>
      </c>
      <c r="H625" t="s" s="0">
        <v>81</v>
      </c>
      <c r="I625" t="s" s="0">
        <v>238</v>
      </c>
      <c r="J625" t="s" s="0">
        <v>13809</v>
      </c>
      <c r="K625" t="s" s="0">
        <v>13810</v>
      </c>
      <c r="L625" t="s" s="0">
        <v>13811</v>
      </c>
      <c r="M625" t="s" s="0">
        <v>13812</v>
      </c>
      <c r="N625" t="s" s="0">
        <v>13813</v>
      </c>
      <c r="O625" t="s" s="0">
        <v>13814</v>
      </c>
      <c r="P625" t="s" s="0">
        <v>13815</v>
      </c>
      <c r="Q625" t="s" s="0">
        <v>87</v>
      </c>
      <c r="R625" t="s" s="0">
        <v>81</v>
      </c>
      <c r="S625" t="s" s="0">
        <v>81</v>
      </c>
      <c r="T625" t="s" s="0">
        <v>81</v>
      </c>
      <c r="U625" t="s" s="0">
        <v>81</v>
      </c>
      <c r="V625" t="s" s="0">
        <v>13816</v>
      </c>
      <c r="W625" t="s" s="0">
        <v>13817</v>
      </c>
      <c r="X625" t="s" s="0">
        <v>81</v>
      </c>
      <c r="Y625" t="s" s="0">
        <v>81</v>
      </c>
      <c r="Z625" t="s" s="0">
        <v>90</v>
      </c>
      <c r="AA625" t="s" s="0">
        <v>91</v>
      </c>
      <c r="AB625" t="s" s="0">
        <v>81</v>
      </c>
      <c r="AC625" t="s" s="0">
        <v>81</v>
      </c>
      <c r="AD625" t="s" s="0">
        <v>81</v>
      </c>
      <c r="AE625" t="s" s="0">
        <v>81</v>
      </c>
      <c r="AF625" t="s" s="0">
        <v>81</v>
      </c>
      <c r="AG625" t="s" s="0">
        <v>13818</v>
      </c>
      <c r="AH625" t="s" s="0">
        <v>81</v>
      </c>
      <c r="AI625" t="s" s="0">
        <v>13819</v>
      </c>
      <c r="AJ625" t="s" s="0">
        <v>81</v>
      </c>
      <c r="AK625" t="s" s="0">
        <v>81</v>
      </c>
      <c r="AL625" t="s" s="0">
        <v>1883</v>
      </c>
      <c r="AM625" t="s" s="0">
        <v>77</v>
      </c>
      <c r="AN625" t="s" s="0">
        <v>77</v>
      </c>
      <c r="AO625" t="s" s="0">
        <v>97</v>
      </c>
      <c r="AP625" t="s" s="0">
        <v>97</v>
      </c>
      <c r="AQ625" t="s" s="0">
        <v>136</v>
      </c>
      <c r="AR625" t="s" s="0">
        <v>137</v>
      </c>
      <c r="AS625" t="s" s="0">
        <v>138</v>
      </c>
      <c r="AT625" t="s" s="0">
        <v>81</v>
      </c>
      <c r="AU625" t="s" s="0">
        <v>13820</v>
      </c>
      <c r="AV625" t="s" s="0">
        <v>81</v>
      </c>
      <c r="AW625" t="s" s="0">
        <v>13821</v>
      </c>
      <c r="AX625" t="s" s="0">
        <v>13822</v>
      </c>
      <c r="AY625" t="s" s="0">
        <v>6101</v>
      </c>
      <c r="AZ625" t="s" s="0">
        <v>103</v>
      </c>
      <c r="BA625" t="s" s="0">
        <v>104</v>
      </c>
      <c r="BB625" t="s" s="0">
        <v>81</v>
      </c>
      <c r="BC625" t="s" s="0">
        <v>81</v>
      </c>
      <c r="BD625" t="s" s="0">
        <v>81</v>
      </c>
      <c r="BE625" t="s" s="0">
        <v>81</v>
      </c>
      <c r="BF625" t="s" s="0">
        <v>81</v>
      </c>
      <c r="BG625" t="s" s="0">
        <v>81</v>
      </c>
      <c r="BH625" t="s" s="0">
        <v>81</v>
      </c>
      <c r="BI625" t="s" s="0">
        <v>13823</v>
      </c>
      <c r="BJ625" t="s" s="0">
        <v>13824</v>
      </c>
      <c r="BK625" t="s" s="1241">
        <f>HYPERLINK("http://dx.doi.org/10.1016/j.atech.2026.101862","http://dx.doi.org/10.1016/j.atech.2026.101862")</f>
        <v>13825</v>
      </c>
      <c r="BL625" t="s" s="0">
        <v>81</v>
      </c>
      <c r="BM625" t="s" s="0">
        <v>81</v>
      </c>
      <c r="BN625" t="s" s="0">
        <v>295</v>
      </c>
      <c r="BO625" t="s" s="0">
        <v>13826</v>
      </c>
      <c r="BP625" t="s" s="0">
        <v>13827</v>
      </c>
      <c r="BQ625" t="s" s="0">
        <v>13828</v>
      </c>
      <c r="BR625" t="s" s="0">
        <v>81</v>
      </c>
      <c r="BS625" t="s" s="0">
        <v>13829</v>
      </c>
      <c r="BT625" t="s" s="1242">
        <f>HYPERLINK("https://www.webofscience.com/wos/woscc/full-record/WOS:001719458600001","View Record in Web of Science")</f>
        <v>114</v>
      </c>
      <c r="BU625" t="s" s="0">
        <v>301</v>
      </c>
      <c r="BV625" t="s" s="0">
        <v>81</v>
      </c>
      <c r="BW625" t="s" s="0">
        <v>81</v>
      </c>
      <c r="BX625" t="s" s="0">
        <v>116</v>
      </c>
    </row>
    <row r="626">
      <c r="A626" t="s" s="0">
        <v>97</v>
      </c>
      <c r="B626" t="s" s="0">
        <v>77</v>
      </c>
      <c r="C626" t="s" s="0">
        <v>381</v>
      </c>
      <c r="D626" t="s" s="0">
        <v>77</v>
      </c>
      <c r="E626" t="s" s="0">
        <v>13830</v>
      </c>
      <c r="F626" t="s" s="0">
        <v>13831</v>
      </c>
      <c r="G626" t="s" s="0">
        <v>13832</v>
      </c>
      <c r="H626" t="s" s="0">
        <v>81</v>
      </c>
      <c r="I626" t="s" s="0">
        <v>82</v>
      </c>
      <c r="J626" t="s" s="0">
        <v>13833</v>
      </c>
      <c r="K626" t="s" s="0">
        <v>13834</v>
      </c>
      <c r="L626" t="s" s="0">
        <v>13835</v>
      </c>
      <c r="M626" t="s" s="0">
        <v>1575</v>
      </c>
      <c r="N626" t="s" s="0">
        <v>13836</v>
      </c>
      <c r="O626" t="s" s="0">
        <v>13837</v>
      </c>
      <c r="P626" t="s" s="0">
        <v>13838</v>
      </c>
      <c r="Q626" t="s" s="0">
        <v>87</v>
      </c>
      <c r="R626" t="s" s="0">
        <v>81</v>
      </c>
      <c r="S626" t="s" s="0">
        <v>81</v>
      </c>
      <c r="T626" t="s" s="0">
        <v>81</v>
      </c>
      <c r="U626" t="s" s="0">
        <v>81</v>
      </c>
      <c r="V626" t="s" s="0">
        <v>13839</v>
      </c>
      <c r="W626" t="s" s="0">
        <v>13840</v>
      </c>
      <c r="X626" t="s" s="0">
        <v>81</v>
      </c>
      <c r="Y626" t="s" s="0">
        <v>81</v>
      </c>
      <c r="Z626" t="s" s="0">
        <v>90</v>
      </c>
      <c r="AA626" t="s" s="0">
        <v>91</v>
      </c>
      <c r="AB626" t="s" s="0">
        <v>81</v>
      </c>
      <c r="AC626" t="s" s="0">
        <v>81</v>
      </c>
      <c r="AD626" t="s" s="0">
        <v>81</v>
      </c>
      <c r="AE626" t="s" s="0">
        <v>81</v>
      </c>
      <c r="AF626" t="s" s="0">
        <v>81</v>
      </c>
      <c r="AG626" t="s" s="0">
        <v>13841</v>
      </c>
      <c r="AH626" t="s" s="0">
        <v>81</v>
      </c>
      <c r="AI626" t="s" s="0">
        <v>13842</v>
      </c>
      <c r="AJ626" t="s" s="0">
        <v>13843</v>
      </c>
      <c r="AK626" t="s" s="0">
        <v>81</v>
      </c>
      <c r="AL626" t="s" s="0">
        <v>434</v>
      </c>
      <c r="AM626" t="s" s="0">
        <v>890</v>
      </c>
      <c r="AN626" t="s" s="0">
        <v>150</v>
      </c>
      <c r="AO626" t="s" s="0">
        <v>175</v>
      </c>
      <c r="AP626" t="s" s="0">
        <v>210</v>
      </c>
      <c r="AQ626" t="s" s="0">
        <v>1733</v>
      </c>
      <c r="AR626" t="s" s="0">
        <v>1734</v>
      </c>
      <c r="AS626" t="s" s="0">
        <v>1735</v>
      </c>
      <c r="AT626" t="s" s="0">
        <v>13844</v>
      </c>
      <c r="AU626" t="s" s="0">
        <v>13845</v>
      </c>
      <c r="AV626" t="s" s="0">
        <v>81</v>
      </c>
      <c r="AW626" t="s" s="0">
        <v>13846</v>
      </c>
      <c r="AX626" t="s" s="0">
        <v>13847</v>
      </c>
      <c r="AY626" t="s" s="0">
        <v>13848</v>
      </c>
      <c r="AZ626" t="s" s="0">
        <v>185</v>
      </c>
      <c r="BA626" t="s" s="0">
        <v>324</v>
      </c>
      <c r="BB626" t="s" s="0">
        <v>316</v>
      </c>
      <c r="BC626" t="s" s="0">
        <v>81</v>
      </c>
      <c r="BD626" t="s" s="0">
        <v>81</v>
      </c>
      <c r="BE626" t="s" s="0">
        <v>81</v>
      </c>
      <c r="BF626" t="s" s="0">
        <v>81</v>
      </c>
      <c r="BG626" t="s" s="0">
        <v>13849</v>
      </c>
      <c r="BH626" t="s" s="0">
        <v>8582</v>
      </c>
      <c r="BI626" t="s" s="0">
        <v>81</v>
      </c>
      <c r="BJ626" t="s" s="0">
        <v>13850</v>
      </c>
      <c r="BK626" t="s" s="1243">
        <f>HYPERLINK("http://dx.doi.org/10.1021/jasms.3c00403","http://dx.doi.org/10.1021/jasms.3c00403")</f>
        <v>13851</v>
      </c>
      <c r="BL626" t="s" s="0">
        <v>81</v>
      </c>
      <c r="BM626" t="s" s="0">
        <v>320</v>
      </c>
      <c r="BN626" t="s" s="0">
        <v>134</v>
      </c>
      <c r="BO626" t="s" s="0">
        <v>13852</v>
      </c>
      <c r="BP626" t="s" s="0">
        <v>13853</v>
      </c>
      <c r="BQ626" t="s" s="0">
        <v>13854</v>
      </c>
      <c r="BR626" t="s" s="0">
        <v>13855</v>
      </c>
      <c r="BS626" t="s" s="0">
        <v>13856</v>
      </c>
      <c r="BT626" t="s" s="1244">
        <f>HYPERLINK("https://www.webofscience.com/wos/woscc/full-record/WOS:001241874900001","View Record in Web of Science")</f>
        <v>114</v>
      </c>
      <c r="BU626" t="s" s="0">
        <v>155</v>
      </c>
      <c r="BV626" t="s" s="0">
        <v>81</v>
      </c>
      <c r="BW626" t="s" s="0">
        <v>81</v>
      </c>
      <c r="BX626" t="s" s="0">
        <v>116</v>
      </c>
    </row>
    <row r="627">
      <c r="A627" t="s" s="0">
        <v>77</v>
      </c>
      <c r="B627" t="s" s="0">
        <v>77</v>
      </c>
      <c r="C627" t="s" s="0">
        <v>77</v>
      </c>
      <c r="D627" t="s" s="0">
        <v>77</v>
      </c>
      <c r="E627" t="s" s="0">
        <v>13857</v>
      </c>
      <c r="F627" t="s" s="0">
        <v>13858</v>
      </c>
      <c r="G627" t="s" s="0">
        <v>13859</v>
      </c>
      <c r="H627" t="s" s="0">
        <v>81</v>
      </c>
      <c r="I627" t="s" s="0">
        <v>238</v>
      </c>
      <c r="J627" t="s" s="0">
        <v>13860</v>
      </c>
      <c r="K627" t="s" s="0">
        <v>13861</v>
      </c>
      <c r="L627" t="s" s="0">
        <v>13862</v>
      </c>
      <c r="M627" t="s" s="0">
        <v>13863</v>
      </c>
      <c r="N627" t="s" s="0">
        <v>13864</v>
      </c>
      <c r="O627" t="s" s="0">
        <v>13865</v>
      </c>
      <c r="P627" t="s" s="0">
        <v>13866</v>
      </c>
      <c r="Q627" t="s" s="0">
        <v>87</v>
      </c>
      <c r="R627" t="s" s="0">
        <v>81</v>
      </c>
      <c r="S627" t="s" s="0">
        <v>81</v>
      </c>
      <c r="T627" t="s" s="0">
        <v>81</v>
      </c>
      <c r="U627" t="s" s="0">
        <v>81</v>
      </c>
      <c r="V627" t="s" s="0">
        <v>13867</v>
      </c>
      <c r="W627" t="s" s="0">
        <v>13868</v>
      </c>
      <c r="X627" t="s" s="0">
        <v>81</v>
      </c>
      <c r="Y627" t="s" s="0">
        <v>81</v>
      </c>
      <c r="Z627" t="s" s="0">
        <v>90</v>
      </c>
      <c r="AA627" t="s" s="0">
        <v>91</v>
      </c>
      <c r="AB627" t="s" s="0">
        <v>81</v>
      </c>
      <c r="AC627" t="s" s="0">
        <v>81</v>
      </c>
      <c r="AD627" t="s" s="0">
        <v>81</v>
      </c>
      <c r="AE627" t="s" s="0">
        <v>81</v>
      </c>
      <c r="AF627" t="s" s="0">
        <v>81</v>
      </c>
      <c r="AG627" t="s" s="0">
        <v>13869</v>
      </c>
      <c r="AH627" t="s" s="0">
        <v>13870</v>
      </c>
      <c r="AI627" t="s" s="0">
        <v>13871</v>
      </c>
      <c r="AJ627" t="s" s="0">
        <v>13872</v>
      </c>
      <c r="AK627" t="s" s="0">
        <v>81</v>
      </c>
      <c r="AL627" t="s" s="0">
        <v>3518</v>
      </c>
      <c r="AM627" t="s" s="0">
        <v>97</v>
      </c>
      <c r="AN627" t="s" s="0">
        <v>156</v>
      </c>
      <c r="AO627" t="s" s="0">
        <v>97</v>
      </c>
      <c r="AP627" t="s" s="0">
        <v>133</v>
      </c>
      <c r="AQ627" t="s" s="0">
        <v>1654</v>
      </c>
      <c r="AR627" t="s" s="0">
        <v>1345</v>
      </c>
      <c r="AS627" t="s" s="0">
        <v>1655</v>
      </c>
      <c r="AT627" t="s" s="0">
        <v>81</v>
      </c>
      <c r="AU627" t="s" s="0">
        <v>13873</v>
      </c>
      <c r="AV627" t="s" s="0">
        <v>81</v>
      </c>
      <c r="AW627" t="s" s="0">
        <v>13874</v>
      </c>
      <c r="AX627" t="s" s="0">
        <v>13875</v>
      </c>
      <c r="AY627" t="s" s="0">
        <v>290</v>
      </c>
      <c r="AZ627" t="s" s="0">
        <v>290</v>
      </c>
      <c r="BA627" t="s" s="0">
        <v>211</v>
      </c>
      <c r="BB627" t="s" s="0">
        <v>97</v>
      </c>
      <c r="BC627" t="s" s="0">
        <v>81</v>
      </c>
      <c r="BD627" t="s" s="0">
        <v>81</v>
      </c>
      <c r="BE627" t="s" s="0">
        <v>81</v>
      </c>
      <c r="BF627" t="s" s="0">
        <v>81</v>
      </c>
      <c r="BG627" t="s" s="0">
        <v>81</v>
      </c>
      <c r="BH627" t="s" s="0">
        <v>81</v>
      </c>
      <c r="BI627" t="s" s="0">
        <v>13876</v>
      </c>
      <c r="BJ627" t="s" s="0">
        <v>13877</v>
      </c>
      <c r="BK627" t="s" s="1245">
        <f>HYPERLINK("http://dx.doi.org/10.1093/biomethods/bpaf051","http://dx.doi.org/10.1093/biomethods/bpaf051")</f>
        <v>13878</v>
      </c>
      <c r="BL627" t="s" s="0">
        <v>81</v>
      </c>
      <c r="BM627" t="s" s="0">
        <v>81</v>
      </c>
      <c r="BN627" t="s" s="0">
        <v>191</v>
      </c>
      <c r="BO627" t="s" s="0">
        <v>13879</v>
      </c>
      <c r="BP627" t="s" s="0">
        <v>6425</v>
      </c>
      <c r="BQ627" t="s" s="0">
        <v>13880</v>
      </c>
      <c r="BR627" t="s" s="0">
        <v>13881</v>
      </c>
      <c r="BS627" t="s" s="0">
        <v>13882</v>
      </c>
      <c r="BT627" t="s" s="1246">
        <f>HYPERLINK("https://www.webofscience.com/wos/woscc/full-record/WOS:001555854900001","View Record in Web of Science")</f>
        <v>114</v>
      </c>
      <c r="BU627" t="s" s="0">
        <v>301</v>
      </c>
      <c r="BV627" t="s" s="0">
        <v>81</v>
      </c>
      <c r="BW627" t="s" s="0">
        <v>81</v>
      </c>
      <c r="BX627" t="s" s="0">
        <v>116</v>
      </c>
    </row>
    <row r="628">
      <c r="A628" t="s" s="0">
        <v>77</v>
      </c>
      <c r="B628" t="s" s="0">
        <v>77</v>
      </c>
      <c r="C628" t="s" s="0">
        <v>77</v>
      </c>
      <c r="D628" t="s" s="0">
        <v>77</v>
      </c>
      <c r="E628" t="s" s="0">
        <v>13883</v>
      </c>
      <c r="F628" t="s" s="0">
        <v>13884</v>
      </c>
      <c r="G628" t="s" s="0">
        <v>13885</v>
      </c>
      <c r="H628" t="s" s="0">
        <v>81</v>
      </c>
      <c r="I628" t="s" s="0">
        <v>82</v>
      </c>
      <c r="J628" t="s" s="0">
        <v>13886</v>
      </c>
      <c r="K628" t="s" s="0">
        <v>13887</v>
      </c>
      <c r="L628" t="s" s="0">
        <v>81</v>
      </c>
      <c r="M628" t="s" s="0">
        <v>81</v>
      </c>
      <c r="N628" t="s" s="0">
        <v>81</v>
      </c>
      <c r="O628" t="s" s="0">
        <v>13888</v>
      </c>
      <c r="P628" t="s" s="0">
        <v>13889</v>
      </c>
      <c r="Q628" t="s" s="0">
        <v>87</v>
      </c>
      <c r="R628" t="s" s="0">
        <v>81</v>
      </c>
      <c r="S628" t="s" s="0">
        <v>81</v>
      </c>
      <c r="T628" t="s" s="0">
        <v>81</v>
      </c>
      <c r="U628" t="s" s="0">
        <v>81</v>
      </c>
      <c r="V628" t="s" s="0">
        <v>13890</v>
      </c>
      <c r="W628" t="s" s="0">
        <v>13891</v>
      </c>
      <c r="X628" t="s" s="0">
        <v>81</v>
      </c>
      <c r="Y628" t="s" s="0">
        <v>81</v>
      </c>
      <c r="Z628" t="s" s="0">
        <v>90</v>
      </c>
      <c r="AA628" t="s" s="0">
        <v>91</v>
      </c>
      <c r="AB628" t="s" s="0">
        <v>81</v>
      </c>
      <c r="AC628" t="s" s="0">
        <v>81</v>
      </c>
      <c r="AD628" t="s" s="0">
        <v>81</v>
      </c>
      <c r="AE628" t="s" s="0">
        <v>81</v>
      </c>
      <c r="AF628" t="s" s="0">
        <v>81</v>
      </c>
      <c r="AG628" t="s" s="0">
        <v>13892</v>
      </c>
      <c r="AH628" t="s" s="0">
        <v>13893</v>
      </c>
      <c r="AI628" t="s" s="0">
        <v>81</v>
      </c>
      <c r="AJ628" t="s" s="0">
        <v>81</v>
      </c>
      <c r="AK628" t="s" s="0">
        <v>81</v>
      </c>
      <c r="AL628" t="s" s="0">
        <v>399</v>
      </c>
      <c r="AM628" t="s" s="0">
        <v>175</v>
      </c>
      <c r="AN628" t="s" s="0">
        <v>175</v>
      </c>
      <c r="AO628" t="s" s="0">
        <v>196</v>
      </c>
      <c r="AP628" t="s" s="0">
        <v>316</v>
      </c>
      <c r="AQ628" t="s" s="0">
        <v>726</v>
      </c>
      <c r="AR628" t="s" s="0">
        <v>727</v>
      </c>
      <c r="AS628" t="s" s="0">
        <v>728</v>
      </c>
      <c r="AT628" t="s" s="0">
        <v>13894</v>
      </c>
      <c r="AU628" t="s" s="0">
        <v>81</v>
      </c>
      <c r="AV628" t="s" s="0">
        <v>81</v>
      </c>
      <c r="AW628" t="s" s="0">
        <v>13895</v>
      </c>
      <c r="AX628" t="s" s="0">
        <v>13896</v>
      </c>
      <c r="AY628" t="s" s="0">
        <v>2645</v>
      </c>
      <c r="AZ628" t="s" s="0">
        <v>290</v>
      </c>
      <c r="BA628" t="s" s="0">
        <v>671</v>
      </c>
      <c r="BB628" t="s" s="0">
        <v>97</v>
      </c>
      <c r="BC628" t="s" s="0">
        <v>81</v>
      </c>
      <c r="BD628" t="s" s="0">
        <v>81</v>
      </c>
      <c r="BE628" t="s" s="0">
        <v>81</v>
      </c>
      <c r="BF628" t="s" s="0">
        <v>81</v>
      </c>
      <c r="BG628" t="s" s="0">
        <v>81</v>
      </c>
      <c r="BH628" t="s" s="0">
        <v>81</v>
      </c>
      <c r="BI628" t="s" s="0">
        <v>13897</v>
      </c>
      <c r="BJ628" t="s" s="0">
        <v>13898</v>
      </c>
      <c r="BK628" t="s" s="1247">
        <f>HYPERLINK("http://dx.doi.org/10.1002/acm2.70425","http://dx.doi.org/10.1002/acm2.70425")</f>
        <v>13899</v>
      </c>
      <c r="BL628" t="s" s="0">
        <v>81</v>
      </c>
      <c r="BM628" t="s" s="0">
        <v>81</v>
      </c>
      <c r="BN628" t="s" s="0">
        <v>291</v>
      </c>
      <c r="BO628" t="s" s="0">
        <v>738</v>
      </c>
      <c r="BP628" t="s" s="0">
        <v>738</v>
      </c>
      <c r="BQ628" t="s" s="0">
        <v>13900</v>
      </c>
      <c r="BR628" t="s" s="0">
        <v>13901</v>
      </c>
      <c r="BS628" t="s" s="0">
        <v>13902</v>
      </c>
      <c r="BT628" t="s" s="1248">
        <f>HYPERLINK("https://www.webofscience.com/wos/woscc/full-record/WOS:001642680500001","View Record in Web of Science")</f>
        <v>114</v>
      </c>
      <c r="BU628" t="s" s="0">
        <v>301</v>
      </c>
      <c r="BV628" t="s" s="0">
        <v>81</v>
      </c>
      <c r="BW628" t="s" s="0">
        <v>81</v>
      </c>
      <c r="BX628" t="s" s="0">
        <v>116</v>
      </c>
    </row>
    <row r="629">
      <c r="A629" t="s" s="0">
        <v>77</v>
      </c>
      <c r="B629" t="s" s="0">
        <v>77</v>
      </c>
      <c r="C629" t="s" s="0">
        <v>196</v>
      </c>
      <c r="D629" t="s" s="0">
        <v>77</v>
      </c>
      <c r="E629" t="s" s="0">
        <v>13903</v>
      </c>
      <c r="F629" t="s" s="0">
        <v>13904</v>
      </c>
      <c r="G629" t="s" s="0">
        <v>13905</v>
      </c>
      <c r="H629" t="s" s="0">
        <v>81</v>
      </c>
      <c r="I629" t="s" s="0">
        <v>82</v>
      </c>
      <c r="J629" t="s" s="0">
        <v>13906</v>
      </c>
      <c r="K629" t="s" s="0">
        <v>13907</v>
      </c>
      <c r="L629" t="s" s="0">
        <v>81</v>
      </c>
      <c r="M629" t="s" s="0">
        <v>81</v>
      </c>
      <c r="N629" t="s" s="0">
        <v>81</v>
      </c>
      <c r="O629" t="s" s="0">
        <v>13908</v>
      </c>
      <c r="P629" t="s" s="0">
        <v>13909</v>
      </c>
      <c r="Q629" t="s" s="0">
        <v>87</v>
      </c>
      <c r="R629" t="s" s="0">
        <v>81</v>
      </c>
      <c r="S629" t="s" s="0">
        <v>81</v>
      </c>
      <c r="T629" t="s" s="0">
        <v>81</v>
      </c>
      <c r="U629" t="s" s="0">
        <v>81</v>
      </c>
      <c r="V629" t="s" s="0">
        <v>13910</v>
      </c>
      <c r="W629" t="s" s="0">
        <v>1313</v>
      </c>
      <c r="X629" t="s" s="0">
        <v>81</v>
      </c>
      <c r="Y629" t="s" s="0">
        <v>81</v>
      </c>
      <c r="Z629" t="s" s="0">
        <v>90</v>
      </c>
      <c r="AA629" t="s" s="0">
        <v>91</v>
      </c>
      <c r="AB629" t="s" s="0">
        <v>81</v>
      </c>
      <c r="AC629" t="s" s="0">
        <v>81</v>
      </c>
      <c r="AD629" t="s" s="0">
        <v>81</v>
      </c>
      <c r="AE629" t="s" s="0">
        <v>81</v>
      </c>
      <c r="AF629" t="s" s="0">
        <v>81</v>
      </c>
      <c r="AG629" t="s" s="0">
        <v>81</v>
      </c>
      <c r="AH629" t="s" s="0">
        <v>13911</v>
      </c>
      <c r="AI629" t="s" s="0">
        <v>81</v>
      </c>
      <c r="AJ629" t="s" s="0">
        <v>13912</v>
      </c>
      <c r="AK629" t="s" s="0">
        <v>81</v>
      </c>
      <c r="AL629" t="s" s="0">
        <v>734</v>
      </c>
      <c r="AM629" t="s" s="0">
        <v>133</v>
      </c>
      <c r="AN629" t="s" s="0">
        <v>133</v>
      </c>
      <c r="AO629" t="s" s="0">
        <v>97</v>
      </c>
      <c r="AP629" t="s" s="0">
        <v>133</v>
      </c>
      <c r="AQ629" t="s" s="0">
        <v>1317</v>
      </c>
      <c r="AR629" t="s" s="0">
        <v>1318</v>
      </c>
      <c r="AS629" t="s" s="0">
        <v>1319</v>
      </c>
      <c r="AT629" t="s" s="0">
        <v>81</v>
      </c>
      <c r="AU629" t="s" s="0">
        <v>1320</v>
      </c>
      <c r="AV629" t="s" s="0">
        <v>81</v>
      </c>
      <c r="AW629" t="s" s="0">
        <v>1313</v>
      </c>
      <c r="AX629" t="s" s="0">
        <v>1321</v>
      </c>
      <c r="AY629" t="s" s="0">
        <v>9498</v>
      </c>
      <c r="AZ629" t="s" s="0">
        <v>290</v>
      </c>
      <c r="BA629" t="s" s="0">
        <v>295</v>
      </c>
      <c r="BB629" t="s" s="0">
        <v>211</v>
      </c>
      <c r="BC629" t="s" s="0">
        <v>81</v>
      </c>
      <c r="BD629" t="s" s="0">
        <v>81</v>
      </c>
      <c r="BE629" t="s" s="0">
        <v>81</v>
      </c>
      <c r="BF629" t="s" s="0">
        <v>81</v>
      </c>
      <c r="BG629" t="s" s="0">
        <v>81</v>
      </c>
      <c r="BH629" t="s" s="0">
        <v>81</v>
      </c>
      <c r="BI629" t="s" s="0">
        <v>13913</v>
      </c>
      <c r="BJ629" t="s" s="0">
        <v>13914</v>
      </c>
      <c r="BK629" t="s" s="1249">
        <f>HYPERLINK("http://dx.doi.org/10.1371/journal.pone.0333418","http://dx.doi.org/10.1371/journal.pone.0333418")</f>
        <v>13915</v>
      </c>
      <c r="BL629" t="s" s="0">
        <v>81</v>
      </c>
      <c r="BM629" t="s" s="0">
        <v>81</v>
      </c>
      <c r="BN629" t="s" s="0">
        <v>150</v>
      </c>
      <c r="BO629" t="s" s="0">
        <v>926</v>
      </c>
      <c r="BP629" t="s" s="0">
        <v>927</v>
      </c>
      <c r="BQ629" t="s" s="0">
        <v>13916</v>
      </c>
      <c r="BR629" t="s" s="0">
        <v>13917</v>
      </c>
      <c r="BS629" t="s" s="0">
        <v>13918</v>
      </c>
      <c r="BT629" t="s" s="1250">
        <f>HYPERLINK("https://www.webofscience.com/wos/woscc/full-record/WOS:001606905600020","View Record in Web of Science")</f>
        <v>114</v>
      </c>
      <c r="BU629" t="s" s="0">
        <v>270</v>
      </c>
      <c r="BV629" t="s" s="0">
        <v>81</v>
      </c>
      <c r="BW629" t="s" s="0">
        <v>81</v>
      </c>
      <c r="BX629" t="s" s="0">
        <v>116</v>
      </c>
    </row>
    <row r="630">
      <c r="A630" t="s" s="0">
        <v>77</v>
      </c>
      <c r="B630" t="s" s="0">
        <v>77</v>
      </c>
      <c r="C630" t="s" s="0">
        <v>77</v>
      </c>
      <c r="D630" t="s" s="0">
        <v>77</v>
      </c>
      <c r="E630" t="s" s="0">
        <v>13919</v>
      </c>
      <c r="F630" t="s" s="0">
        <v>13920</v>
      </c>
      <c r="G630" t="s" s="0">
        <v>13921</v>
      </c>
      <c r="H630" t="s" s="0">
        <v>81</v>
      </c>
      <c r="I630" t="s" s="0">
        <v>82</v>
      </c>
      <c r="J630" t="s" s="0">
        <v>13922</v>
      </c>
      <c r="K630" t="s" s="0">
        <v>13923</v>
      </c>
      <c r="L630" t="s" s="0">
        <v>81</v>
      </c>
      <c r="M630" t="s" s="0">
        <v>81</v>
      </c>
      <c r="N630" t="s" s="0">
        <v>81</v>
      </c>
      <c r="O630" t="s" s="0">
        <v>13924</v>
      </c>
      <c r="P630" t="s" s="0">
        <v>13925</v>
      </c>
      <c r="Q630" t="s" s="0">
        <v>87</v>
      </c>
      <c r="R630" t="s" s="0">
        <v>81</v>
      </c>
      <c r="S630" t="s" s="0">
        <v>81</v>
      </c>
      <c r="T630" t="s" s="0">
        <v>81</v>
      </c>
      <c r="U630" t="s" s="0">
        <v>81</v>
      </c>
      <c r="V630" t="s" s="0">
        <v>13926</v>
      </c>
      <c r="W630" t="s" s="0">
        <v>13927</v>
      </c>
      <c r="X630" t="s" s="0">
        <v>81</v>
      </c>
      <c r="Y630" t="s" s="0">
        <v>81</v>
      </c>
      <c r="Z630" t="s" s="0">
        <v>90</v>
      </c>
      <c r="AA630" t="s" s="0">
        <v>1581</v>
      </c>
      <c r="AB630" t="s" s="0">
        <v>81</v>
      </c>
      <c r="AC630" t="s" s="0">
        <v>81</v>
      </c>
      <c r="AD630" t="s" s="0">
        <v>81</v>
      </c>
      <c r="AE630" t="s" s="0">
        <v>81</v>
      </c>
      <c r="AF630" t="s" s="0">
        <v>81</v>
      </c>
      <c r="AG630" t="s" s="0">
        <v>13928</v>
      </c>
      <c r="AH630" t="s" s="0">
        <v>81</v>
      </c>
      <c r="AI630" t="s" s="0">
        <v>81</v>
      </c>
      <c r="AJ630" t="s" s="0">
        <v>81</v>
      </c>
      <c r="AK630" t="s" s="0">
        <v>81</v>
      </c>
      <c r="AL630" t="s" s="0">
        <v>344</v>
      </c>
      <c r="AM630" t="s" s="0">
        <v>77</v>
      </c>
      <c r="AN630" t="s" s="0">
        <v>77</v>
      </c>
      <c r="AO630" t="s" s="0">
        <v>196</v>
      </c>
      <c r="AP630" t="s" s="0">
        <v>196</v>
      </c>
      <c r="AQ630" t="s" s="0">
        <v>636</v>
      </c>
      <c r="AR630" t="s" s="0">
        <v>637</v>
      </c>
      <c r="AS630" t="s" s="0">
        <v>638</v>
      </c>
      <c r="AT630" t="s" s="0">
        <v>13929</v>
      </c>
      <c r="AU630" t="s" s="0">
        <v>13930</v>
      </c>
      <c r="AV630" t="s" s="0">
        <v>81</v>
      </c>
      <c r="AW630" t="s" s="0">
        <v>13931</v>
      </c>
      <c r="AX630" t="s" s="0">
        <v>13932</v>
      </c>
      <c r="AY630" t="s" s="0">
        <v>81</v>
      </c>
      <c r="AZ630" t="s" s="0">
        <v>103</v>
      </c>
      <c r="BA630" t="s" s="0">
        <v>81</v>
      </c>
      <c r="BB630" t="s" s="0">
        <v>81</v>
      </c>
      <c r="BC630" t="s" s="0">
        <v>81</v>
      </c>
      <c r="BD630" t="s" s="0">
        <v>81</v>
      </c>
      <c r="BE630" t="s" s="0">
        <v>81</v>
      </c>
      <c r="BF630" t="s" s="0">
        <v>81</v>
      </c>
      <c r="BG630" t="s" s="0">
        <v>81</v>
      </c>
      <c r="BH630" t="s" s="0">
        <v>81</v>
      </c>
      <c r="BI630" t="s" s="0">
        <v>81</v>
      </c>
      <c r="BJ630" t="s" s="0">
        <v>13933</v>
      </c>
      <c r="BK630" t="s" s="1251">
        <f>HYPERLINK("http://dx.doi.org/10.1080/02533839.2026.2662929","http://dx.doi.org/10.1080/02533839.2026.2662929")</f>
        <v>13934</v>
      </c>
      <c r="BL630" t="s" s="0">
        <v>81</v>
      </c>
      <c r="BM630" t="s" s="0">
        <v>675</v>
      </c>
      <c r="BN630" t="s" s="0">
        <v>925</v>
      </c>
      <c r="BO630" t="s" s="0">
        <v>1002</v>
      </c>
      <c r="BP630" t="s" s="0">
        <v>1003</v>
      </c>
      <c r="BQ630" t="s" s="0">
        <v>13935</v>
      </c>
      <c r="BR630" t="s" s="0">
        <v>81</v>
      </c>
      <c r="BS630" t="s" s="0">
        <v>13936</v>
      </c>
      <c r="BT630" t="s" s="1252">
        <f>HYPERLINK("https://www.webofscience.com/wos/woscc/full-record/WOS:001753701400001","View Record in Web of Science")</f>
        <v>114</v>
      </c>
      <c r="BU630" t="s" s="0">
        <v>81</v>
      </c>
      <c r="BV630" t="s" s="0">
        <v>81</v>
      </c>
      <c r="BW630" t="s" s="0">
        <v>81</v>
      </c>
      <c r="BX630" t="s" s="0">
        <v>116</v>
      </c>
    </row>
    <row r="631">
      <c r="A631" t="s" s="0">
        <v>77</v>
      </c>
      <c r="B631" t="s" s="0">
        <v>77</v>
      </c>
      <c r="C631" t="s" s="0">
        <v>77</v>
      </c>
      <c r="D631" t="s" s="0">
        <v>77</v>
      </c>
      <c r="E631" t="s" s="0">
        <v>13937</v>
      </c>
      <c r="F631" t="s" s="0">
        <v>13938</v>
      </c>
      <c r="G631" t="s" s="0">
        <v>13939</v>
      </c>
      <c r="H631" t="s" s="0">
        <v>81</v>
      </c>
      <c r="I631" t="s" s="0">
        <v>82</v>
      </c>
      <c r="J631" t="s" s="0">
        <v>13940</v>
      </c>
      <c r="K631" t="s" s="0">
        <v>13941</v>
      </c>
      <c r="L631" t="s" s="0">
        <v>81</v>
      </c>
      <c r="M631" t="s" s="0">
        <v>81</v>
      </c>
      <c r="N631" t="s" s="0">
        <v>81</v>
      </c>
      <c r="O631" t="s" s="0">
        <v>13942</v>
      </c>
      <c r="P631" t="s" s="0">
        <v>13943</v>
      </c>
      <c r="Q631" t="s" s="0">
        <v>87</v>
      </c>
      <c r="R631" t="s" s="0">
        <v>81</v>
      </c>
      <c r="S631" t="s" s="0">
        <v>81</v>
      </c>
      <c r="T631" t="s" s="0">
        <v>81</v>
      </c>
      <c r="U631" t="s" s="0">
        <v>81</v>
      </c>
      <c r="V631" t="s" s="0">
        <v>13944</v>
      </c>
      <c r="W631" t="s" s="0">
        <v>910</v>
      </c>
      <c r="X631" t="s" s="0">
        <v>81</v>
      </c>
      <c r="Y631" t="s" s="0">
        <v>81</v>
      </c>
      <c r="Z631" t="s" s="0">
        <v>90</v>
      </c>
      <c r="AA631" t="s" s="0">
        <v>91</v>
      </c>
      <c r="AB631" t="s" s="0">
        <v>81</v>
      </c>
      <c r="AC631" t="s" s="0">
        <v>81</v>
      </c>
      <c r="AD631" t="s" s="0">
        <v>81</v>
      </c>
      <c r="AE631" t="s" s="0">
        <v>81</v>
      </c>
      <c r="AF631" t="s" s="0">
        <v>81</v>
      </c>
      <c r="AG631" t="s" s="0">
        <v>13945</v>
      </c>
      <c r="AH631" t="s" s="0">
        <v>10460</v>
      </c>
      <c r="AI631" t="s" s="0">
        <v>13946</v>
      </c>
      <c r="AJ631" t="s" s="0">
        <v>13947</v>
      </c>
      <c r="AK631" t="s" s="0">
        <v>81</v>
      </c>
      <c r="AL631" t="s" s="0">
        <v>150</v>
      </c>
      <c r="AM631" t="s" s="0">
        <v>234</v>
      </c>
      <c r="AN631" t="s" s="0">
        <v>381</v>
      </c>
      <c r="AO631" t="s" s="0">
        <v>175</v>
      </c>
      <c r="AP631" t="s" s="0">
        <v>222</v>
      </c>
      <c r="AQ631" t="s" s="0">
        <v>915</v>
      </c>
      <c r="AR631" t="s" s="0">
        <v>916</v>
      </c>
      <c r="AS631" t="s" s="0">
        <v>917</v>
      </c>
      <c r="AT631" t="s" s="0">
        <v>918</v>
      </c>
      <c r="AU631" t="s" s="0">
        <v>81</v>
      </c>
      <c r="AV631" t="s" s="0">
        <v>81</v>
      </c>
      <c r="AW631" t="s" s="0">
        <v>919</v>
      </c>
      <c r="AX631" t="s" s="0">
        <v>920</v>
      </c>
      <c r="AY631" t="s" s="0">
        <v>13948</v>
      </c>
      <c r="AZ631" t="s" s="0">
        <v>290</v>
      </c>
      <c r="BA631" t="s" s="0">
        <v>291</v>
      </c>
      <c r="BB631" t="s" s="0">
        <v>97</v>
      </c>
      <c r="BC631" t="s" s="0">
        <v>81</v>
      </c>
      <c r="BD631" t="s" s="0">
        <v>81</v>
      </c>
      <c r="BE631" t="s" s="0">
        <v>81</v>
      </c>
      <c r="BF631" t="s" s="0">
        <v>81</v>
      </c>
      <c r="BG631" t="s" s="0">
        <v>81</v>
      </c>
      <c r="BH631" t="s" s="0">
        <v>81</v>
      </c>
      <c r="BI631" t="s" s="0">
        <v>13949</v>
      </c>
      <c r="BJ631" t="s" s="0">
        <v>13950</v>
      </c>
      <c r="BK631" t="s" s="1253">
        <f>HYPERLINK("http://dx.doi.org/10.1038/s41598-025-93376-9","http://dx.doi.org/10.1038/s41598-025-93376-9")</f>
        <v>13951</v>
      </c>
      <c r="BL631" t="s" s="0">
        <v>81</v>
      </c>
      <c r="BM631" t="s" s="0">
        <v>81</v>
      </c>
      <c r="BN631" t="s" s="0">
        <v>109</v>
      </c>
      <c r="BO631" t="s" s="0">
        <v>926</v>
      </c>
      <c r="BP631" t="s" s="0">
        <v>927</v>
      </c>
      <c r="BQ631" t="s" s="0">
        <v>13952</v>
      </c>
      <c r="BR631" t="s" s="0">
        <v>13953</v>
      </c>
      <c r="BS631" t="s" s="0">
        <v>13954</v>
      </c>
      <c r="BT631" t="s" s="1254">
        <f>HYPERLINK("https://www.webofscience.com/wos/woscc/full-record/WOS:001444883200030","View Record in Web of Science")</f>
        <v>114</v>
      </c>
      <c r="BU631" t="s" s="0">
        <v>301</v>
      </c>
      <c r="BV631" t="s" s="0">
        <v>81</v>
      </c>
      <c r="BW631" t="s" s="0">
        <v>81</v>
      </c>
      <c r="BX631" t="s" s="0">
        <v>116</v>
      </c>
    </row>
    <row r="632">
      <c r="A632" t="s" s="0">
        <v>77</v>
      </c>
      <c r="B632" t="s" s="0">
        <v>77</v>
      </c>
      <c r="C632" t="s" s="0">
        <v>77</v>
      </c>
      <c r="D632" t="s" s="0">
        <v>77</v>
      </c>
      <c r="E632" t="s" s="0">
        <v>13955</v>
      </c>
      <c r="F632" t="s" s="0">
        <v>13956</v>
      </c>
      <c r="G632" t="s" s="0">
        <v>13957</v>
      </c>
      <c r="H632" t="s" s="0">
        <v>81</v>
      </c>
      <c r="I632" t="s" s="0">
        <v>82</v>
      </c>
      <c r="J632" t="s" s="0">
        <v>13958</v>
      </c>
      <c r="K632" t="s" s="0">
        <v>13959</v>
      </c>
      <c r="L632" t="s" s="0">
        <v>13960</v>
      </c>
      <c r="M632" t="s" s="0">
        <v>13961</v>
      </c>
      <c r="N632" t="s" s="0">
        <v>13962</v>
      </c>
      <c r="O632" t="s" s="0">
        <v>13963</v>
      </c>
      <c r="P632" t="s" s="0">
        <v>13964</v>
      </c>
      <c r="Q632" t="s" s="0">
        <v>87</v>
      </c>
      <c r="R632" t="s" s="0">
        <v>81</v>
      </c>
      <c r="S632" t="s" s="0">
        <v>81</v>
      </c>
      <c r="T632" t="s" s="0">
        <v>81</v>
      </c>
      <c r="U632" t="s" s="0">
        <v>81</v>
      </c>
      <c r="V632" t="s" s="0">
        <v>13965</v>
      </c>
      <c r="W632" t="s" s="0">
        <v>89</v>
      </c>
      <c r="X632" t="s" s="0">
        <v>81</v>
      </c>
      <c r="Y632" t="s" s="0">
        <v>81</v>
      </c>
      <c r="Z632" t="s" s="0">
        <v>90</v>
      </c>
      <c r="AA632" t="s" s="0">
        <v>91</v>
      </c>
      <c r="AB632" t="s" s="0">
        <v>81</v>
      </c>
      <c r="AC632" t="s" s="0">
        <v>81</v>
      </c>
      <c r="AD632" t="s" s="0">
        <v>81</v>
      </c>
      <c r="AE632" t="s" s="0">
        <v>81</v>
      </c>
      <c r="AF632" t="s" s="0">
        <v>81</v>
      </c>
      <c r="AG632" t="s" s="0">
        <v>13966</v>
      </c>
      <c r="AH632" t="s" s="0">
        <v>81</v>
      </c>
      <c r="AI632" t="s" s="0">
        <v>13967</v>
      </c>
      <c r="AJ632" t="s" s="0">
        <v>13968</v>
      </c>
      <c r="AK632" t="s" s="0">
        <v>81</v>
      </c>
      <c r="AL632" t="s" s="0">
        <v>1254</v>
      </c>
      <c r="AM632" t="s" s="0">
        <v>97</v>
      </c>
      <c r="AN632" t="s" s="0">
        <v>97</v>
      </c>
      <c r="AO632" t="s" s="0">
        <v>97</v>
      </c>
      <c r="AP632" t="s" s="0">
        <v>97</v>
      </c>
      <c r="AQ632" t="s" s="0">
        <v>98</v>
      </c>
      <c r="AR632" t="s" s="0">
        <v>99</v>
      </c>
      <c r="AS632" t="s" s="0">
        <v>100</v>
      </c>
      <c r="AT632" t="s" s="0">
        <v>101</v>
      </c>
      <c r="AU632" t="s" s="0">
        <v>81</v>
      </c>
      <c r="AV632" t="s" s="0">
        <v>81</v>
      </c>
      <c r="AW632" t="s" s="0">
        <v>89</v>
      </c>
      <c r="AX632" t="s" s="0">
        <v>102</v>
      </c>
      <c r="AY632" t="s" s="0">
        <v>290</v>
      </c>
      <c r="AZ632" t="s" s="0">
        <v>290</v>
      </c>
      <c r="BA632" t="s" s="0">
        <v>486</v>
      </c>
      <c r="BB632" t="s" s="0">
        <v>81</v>
      </c>
      <c r="BC632" t="s" s="0">
        <v>81</v>
      </c>
      <c r="BD632" t="s" s="0">
        <v>81</v>
      </c>
      <c r="BE632" t="s" s="0">
        <v>81</v>
      </c>
      <c r="BF632" t="s" s="0">
        <v>81</v>
      </c>
      <c r="BG632" t="s" s="0">
        <v>13969</v>
      </c>
      <c r="BH632" t="s" s="0">
        <v>13970</v>
      </c>
      <c r="BI632" t="s" s="0">
        <v>81</v>
      </c>
      <c r="BJ632" t="s" s="0">
        <v>13971</v>
      </c>
      <c r="BK632" t="s" s="1255">
        <f>HYPERLINK("http://dx.doi.org/10.1109/ACCESS.2025.3629532","http://dx.doi.org/10.1109/ACCESS.2025.3629532")</f>
        <v>13972</v>
      </c>
      <c r="BL632" t="s" s="0">
        <v>81</v>
      </c>
      <c r="BM632" t="s" s="0">
        <v>81</v>
      </c>
      <c r="BN632" t="s" s="0">
        <v>925</v>
      </c>
      <c r="BO632" t="s" s="0">
        <v>110</v>
      </c>
      <c r="BP632" t="s" s="0">
        <v>111</v>
      </c>
      <c r="BQ632" t="s" s="0">
        <v>13973</v>
      </c>
      <c r="BR632" t="s" s="0">
        <v>81</v>
      </c>
      <c r="BS632" t="s" s="0">
        <v>13974</v>
      </c>
      <c r="BT632" t="s" s="1256">
        <f>HYPERLINK("https://www.webofscience.com/wos/woscc/full-record/WOS:001626465900036","View Record in Web of Science")</f>
        <v>114</v>
      </c>
      <c r="BU632" t="s" s="0">
        <v>301</v>
      </c>
      <c r="BV632" t="s" s="0">
        <v>81</v>
      </c>
      <c r="BW632" t="s" s="0">
        <v>81</v>
      </c>
      <c r="BX632" t="s" s="0">
        <v>116</v>
      </c>
    </row>
    <row r="633">
      <c r="A633" t="s" s="0">
        <v>77</v>
      </c>
      <c r="B633" t="s" s="0">
        <v>77</v>
      </c>
      <c r="C633" t="s" s="0">
        <v>156</v>
      </c>
      <c r="D633" t="s" s="0">
        <v>77</v>
      </c>
      <c r="E633" t="s" s="0">
        <v>13975</v>
      </c>
      <c r="F633" t="s" s="0">
        <v>13976</v>
      </c>
      <c r="G633" t="s" s="0">
        <v>13977</v>
      </c>
      <c r="H633" t="s" s="0">
        <v>81</v>
      </c>
      <c r="I633" t="s" s="0">
        <v>238</v>
      </c>
      <c r="J633" t="s" s="0">
        <v>13978</v>
      </c>
      <c r="K633" t="s" s="0">
        <v>13979</v>
      </c>
      <c r="L633" t="s" s="0">
        <v>13980</v>
      </c>
      <c r="M633" t="s" s="0">
        <v>13981</v>
      </c>
      <c r="N633" t="s" s="0">
        <v>13982</v>
      </c>
      <c r="O633" t="s" s="0">
        <v>13983</v>
      </c>
      <c r="P633" t="s" s="0">
        <v>13984</v>
      </c>
      <c r="Q633" t="s" s="0">
        <v>87</v>
      </c>
      <c r="R633" t="s" s="0">
        <v>81</v>
      </c>
      <c r="S633" t="s" s="0">
        <v>81</v>
      </c>
      <c r="T633" t="s" s="0">
        <v>81</v>
      </c>
      <c r="U633" t="s" s="0">
        <v>81</v>
      </c>
      <c r="V633" t="s" s="0">
        <v>13985</v>
      </c>
      <c r="W633" t="s" s="0">
        <v>13986</v>
      </c>
      <c r="X633" t="s" s="0">
        <v>81</v>
      </c>
      <c r="Y633" t="s" s="0">
        <v>81</v>
      </c>
      <c r="Z633" t="s" s="0">
        <v>90</v>
      </c>
      <c r="AA633" t="s" s="0">
        <v>91</v>
      </c>
      <c r="AB633" t="s" s="0">
        <v>81</v>
      </c>
      <c r="AC633" t="s" s="0">
        <v>81</v>
      </c>
      <c r="AD633" t="s" s="0">
        <v>81</v>
      </c>
      <c r="AE633" t="s" s="0">
        <v>81</v>
      </c>
      <c r="AF633" t="s" s="0">
        <v>81</v>
      </c>
      <c r="AG633" t="s" s="0">
        <v>81</v>
      </c>
      <c r="AH633" t="s" s="0">
        <v>13987</v>
      </c>
      <c r="AI633" t="s" s="0">
        <v>13988</v>
      </c>
      <c r="AJ633" t="s" s="0">
        <v>13989</v>
      </c>
      <c r="AK633" t="s" s="0">
        <v>81</v>
      </c>
      <c r="AL633" t="s" s="0">
        <v>1049</v>
      </c>
      <c r="AM633" t="s" s="0">
        <v>316</v>
      </c>
      <c r="AN633" t="s" s="0">
        <v>234</v>
      </c>
      <c r="AO633" t="s" s="0">
        <v>77</v>
      </c>
      <c r="AP633" t="s" s="0">
        <v>97</v>
      </c>
      <c r="AQ633" t="s" s="0">
        <v>3734</v>
      </c>
      <c r="AR633" t="s" s="0">
        <v>604</v>
      </c>
      <c r="AS633" t="s" s="0">
        <v>3735</v>
      </c>
      <c r="AT633" t="s" s="0">
        <v>13990</v>
      </c>
      <c r="AU633" t="s" s="0">
        <v>81</v>
      </c>
      <c r="AV633" t="s" s="0">
        <v>81</v>
      </c>
      <c r="AW633" t="s" s="0">
        <v>13991</v>
      </c>
      <c r="AX633" t="s" s="0">
        <v>13992</v>
      </c>
      <c r="AY633" t="s" s="0">
        <v>615</v>
      </c>
      <c r="AZ633" t="s" s="0">
        <v>290</v>
      </c>
      <c r="BA633" t="s" s="0">
        <v>261</v>
      </c>
      <c r="BB633" t="s" s="0">
        <v>81</v>
      </c>
      <c r="BC633" t="s" s="0">
        <v>81</v>
      </c>
      <c r="BD633" t="s" s="0">
        <v>81</v>
      </c>
      <c r="BE633" t="s" s="0">
        <v>81</v>
      </c>
      <c r="BF633" t="s" s="0">
        <v>81</v>
      </c>
      <c r="BG633" t="s" s="0">
        <v>81</v>
      </c>
      <c r="BH633" t="s" s="0">
        <v>81</v>
      </c>
      <c r="BI633" t="s" s="0">
        <v>13993</v>
      </c>
      <c r="BJ633" t="s" s="0">
        <v>13994</v>
      </c>
      <c r="BK633" t="s" s="1257">
        <f>HYPERLINK("http://dx.doi.org/10.1200/CCI-24-00284","http://dx.doi.org/10.1200/CCI-24-00284")</f>
        <v>13995</v>
      </c>
      <c r="BL633" t="s" s="0">
        <v>81</v>
      </c>
      <c r="BM633" t="s" s="0">
        <v>81</v>
      </c>
      <c r="BN633" t="s" s="0">
        <v>486</v>
      </c>
      <c r="BO633" t="s" s="0">
        <v>1380</v>
      </c>
      <c r="BP633" t="s" s="0">
        <v>1380</v>
      </c>
      <c r="BQ633" t="s" s="0">
        <v>13996</v>
      </c>
      <c r="BR633" t="s" s="0">
        <v>13997</v>
      </c>
      <c r="BS633" t="s" s="0">
        <v>13998</v>
      </c>
      <c r="BT633" t="s" s="1258">
        <f>HYPERLINK("https://www.webofscience.com/wos/woscc/full-record/WOS:001707922600001","View Record in Web of Science")</f>
        <v>114</v>
      </c>
      <c r="BU633" t="s" s="0">
        <v>155</v>
      </c>
      <c r="BV633" t="s" s="0">
        <v>81</v>
      </c>
      <c r="BW633" t="s" s="0">
        <v>81</v>
      </c>
      <c r="BX633" t="s" s="0">
        <v>116</v>
      </c>
    </row>
    <row r="634">
      <c r="A634" t="s" s="0">
        <v>77</v>
      </c>
      <c r="B634" t="s" s="0">
        <v>77</v>
      </c>
      <c r="C634" t="s" s="0">
        <v>77</v>
      </c>
      <c r="D634" t="s" s="0">
        <v>77</v>
      </c>
      <c r="E634" t="s" s="0">
        <v>13999</v>
      </c>
      <c r="F634" t="s" s="0">
        <v>14000</v>
      </c>
      <c r="G634" t="s" s="0">
        <v>14001</v>
      </c>
      <c r="H634" t="s" s="0">
        <v>81</v>
      </c>
      <c r="I634" t="s" s="0">
        <v>82</v>
      </c>
      <c r="J634" t="s" s="0">
        <v>2043</v>
      </c>
      <c r="K634" t="s" s="0">
        <v>2044</v>
      </c>
      <c r="L634" t="s" s="0">
        <v>81</v>
      </c>
      <c r="M634" t="s" s="0">
        <v>81</v>
      </c>
      <c r="N634" t="s" s="0">
        <v>81</v>
      </c>
      <c r="O634" t="s" s="0">
        <v>14002</v>
      </c>
      <c r="P634" t="s" s="0">
        <v>14003</v>
      </c>
      <c r="Q634" t="s" s="0">
        <v>87</v>
      </c>
      <c r="R634" t="s" s="0">
        <v>81</v>
      </c>
      <c r="S634" t="s" s="0">
        <v>81</v>
      </c>
      <c r="T634" t="s" s="0">
        <v>81</v>
      </c>
      <c r="U634" t="s" s="0">
        <v>81</v>
      </c>
      <c r="V634" t="s" s="0">
        <v>14004</v>
      </c>
      <c r="W634" t="s" s="0">
        <v>2048</v>
      </c>
      <c r="X634" t="s" s="0">
        <v>81</v>
      </c>
      <c r="Y634" t="s" s="0">
        <v>81</v>
      </c>
      <c r="Z634" t="s" s="0">
        <v>90</v>
      </c>
      <c r="AA634" t="s" s="0">
        <v>91</v>
      </c>
      <c r="AB634" t="s" s="0">
        <v>81</v>
      </c>
      <c r="AC634" t="s" s="0">
        <v>81</v>
      </c>
      <c r="AD634" t="s" s="0">
        <v>81</v>
      </c>
      <c r="AE634" t="s" s="0">
        <v>81</v>
      </c>
      <c r="AF634" t="s" s="0">
        <v>81</v>
      </c>
      <c r="AG634" t="s" s="0">
        <v>14005</v>
      </c>
      <c r="AH634" t="s" s="0">
        <v>81</v>
      </c>
      <c r="AI634" t="s" s="0">
        <v>14006</v>
      </c>
      <c r="AJ634" t="s" s="0">
        <v>14007</v>
      </c>
      <c r="AK634" t="s" s="0">
        <v>81</v>
      </c>
      <c r="AL634" t="s" s="0">
        <v>1511</v>
      </c>
      <c r="AM634" t="s" s="0">
        <v>133</v>
      </c>
      <c r="AN634" t="s" s="0">
        <v>316</v>
      </c>
      <c r="AO634" t="s" s="0">
        <v>156</v>
      </c>
      <c r="AP634" t="s" s="0">
        <v>295</v>
      </c>
      <c r="AQ634" t="s" s="0">
        <v>665</v>
      </c>
      <c r="AR634" t="s" s="0">
        <v>546</v>
      </c>
      <c r="AS634" t="s" s="0">
        <v>666</v>
      </c>
      <c r="AT634" t="s" s="0">
        <v>2052</v>
      </c>
      <c r="AU634" t="s" s="0">
        <v>81</v>
      </c>
      <c r="AV634" t="s" s="0">
        <v>81</v>
      </c>
      <c r="AW634" t="s" s="0">
        <v>2053</v>
      </c>
      <c r="AX634" t="s" s="0">
        <v>2054</v>
      </c>
      <c r="AY634" t="s" s="0">
        <v>404</v>
      </c>
      <c r="AZ634" t="s" s="0">
        <v>185</v>
      </c>
      <c r="BA634" t="s" s="0">
        <v>434</v>
      </c>
      <c r="BB634" t="s" s="0">
        <v>97</v>
      </c>
      <c r="BC634" t="s" s="0">
        <v>81</v>
      </c>
      <c r="BD634" t="s" s="0">
        <v>81</v>
      </c>
      <c r="BE634" t="s" s="0">
        <v>81</v>
      </c>
      <c r="BF634" t="s" s="0">
        <v>81</v>
      </c>
      <c r="BG634" t="s" s="0">
        <v>81</v>
      </c>
      <c r="BH634" t="s" s="0">
        <v>81</v>
      </c>
      <c r="BI634" t="s" s="0">
        <v>14008</v>
      </c>
      <c r="BJ634" t="s" s="0">
        <v>14009</v>
      </c>
      <c r="BK634" t="s" s="1259">
        <f>HYPERLINK("http://dx.doi.org/10.1186/s12880-024-01394-2","http://dx.doi.org/10.1186/s12880-024-01394-2")</f>
        <v>14010</v>
      </c>
      <c r="BL634" t="s" s="0">
        <v>81</v>
      </c>
      <c r="BM634" t="s" s="0">
        <v>81</v>
      </c>
      <c r="BN634" t="s" s="0">
        <v>135</v>
      </c>
      <c r="BO634" t="s" s="0">
        <v>738</v>
      </c>
      <c r="BP634" t="s" s="0">
        <v>738</v>
      </c>
      <c r="BQ634" t="s" s="0">
        <v>14011</v>
      </c>
      <c r="BR634" t="s" s="0">
        <v>14012</v>
      </c>
      <c r="BS634" t="s" s="0">
        <v>14013</v>
      </c>
      <c r="BT634" t="s" s="1260">
        <f>HYPERLINK("https://www.webofscience.com/wos/woscc/full-record/WOS:001287653900001","View Record in Web of Science")</f>
        <v>114</v>
      </c>
      <c r="BU634" t="s" s="0">
        <v>301</v>
      </c>
      <c r="BV634" t="s" s="0">
        <v>81</v>
      </c>
      <c r="BW634" t="s" s="0">
        <v>81</v>
      </c>
      <c r="BX634" t="s" s="0">
        <v>116</v>
      </c>
    </row>
    <row r="635">
      <c r="A635" t="s" s="0">
        <v>77</v>
      </c>
      <c r="B635" t="s" s="0">
        <v>77</v>
      </c>
      <c r="C635" t="s" s="0">
        <v>77</v>
      </c>
      <c r="D635" t="s" s="0">
        <v>77</v>
      </c>
      <c r="E635" t="s" s="0">
        <v>14014</v>
      </c>
      <c r="F635" t="s" s="0">
        <v>14015</v>
      </c>
      <c r="G635" t="s" s="0">
        <v>14016</v>
      </c>
      <c r="H635" t="s" s="0">
        <v>81</v>
      </c>
      <c r="I635" t="s" s="0">
        <v>528</v>
      </c>
      <c r="J635" t="s" s="0">
        <v>14017</v>
      </c>
      <c r="K635" t="s" s="0">
        <v>14018</v>
      </c>
      <c r="L635" t="s" s="0">
        <v>14019</v>
      </c>
      <c r="M635" t="s" s="0">
        <v>14020</v>
      </c>
      <c r="N635" t="s" s="0">
        <v>14021</v>
      </c>
      <c r="O635" t="s" s="0">
        <v>14022</v>
      </c>
      <c r="P635" t="s" s="0">
        <v>14023</v>
      </c>
      <c r="Q635" t="s" s="0">
        <v>87</v>
      </c>
      <c r="R635" t="s" s="0">
        <v>81</v>
      </c>
      <c r="S635" t="s" s="0">
        <v>81</v>
      </c>
      <c r="T635" t="s" s="0">
        <v>81</v>
      </c>
      <c r="U635" t="s" s="0">
        <v>81</v>
      </c>
      <c r="V635" t="s" s="0">
        <v>14024</v>
      </c>
      <c r="W635" t="s" s="0">
        <v>14025</v>
      </c>
      <c r="X635" t="s" s="0">
        <v>81</v>
      </c>
      <c r="Y635" t="s" s="0">
        <v>81</v>
      </c>
      <c r="Z635" t="s" s="0">
        <v>90</v>
      </c>
      <c r="AA635" t="s" s="0">
        <v>91</v>
      </c>
      <c r="AB635" t="s" s="0">
        <v>81</v>
      </c>
      <c r="AC635" t="s" s="0">
        <v>81</v>
      </c>
      <c r="AD635" t="s" s="0">
        <v>81</v>
      </c>
      <c r="AE635" t="s" s="0">
        <v>81</v>
      </c>
      <c r="AF635" t="s" s="0">
        <v>81</v>
      </c>
      <c r="AG635" t="s" s="0">
        <v>14026</v>
      </c>
      <c r="AH635" t="s" s="0">
        <v>81</v>
      </c>
      <c r="AI635" t="s" s="0">
        <v>14027</v>
      </c>
      <c r="AJ635" t="s" s="0">
        <v>81</v>
      </c>
      <c r="AK635" t="s" s="0">
        <v>81</v>
      </c>
      <c r="AL635" t="s" s="0">
        <v>173</v>
      </c>
      <c r="AM635" t="s" s="0">
        <v>97</v>
      </c>
      <c r="AN635" t="s" s="0">
        <v>97</v>
      </c>
      <c r="AO635" t="s" s="0">
        <v>196</v>
      </c>
      <c r="AP635" t="s" s="0">
        <v>196</v>
      </c>
      <c r="AQ635" t="s" s="0">
        <v>3734</v>
      </c>
      <c r="AR635" t="s" s="0">
        <v>604</v>
      </c>
      <c r="AS635" t="s" s="0">
        <v>3735</v>
      </c>
      <c r="AT635" t="s" s="0">
        <v>14028</v>
      </c>
      <c r="AU635" t="s" s="0">
        <v>14029</v>
      </c>
      <c r="AV635" t="s" s="0">
        <v>81</v>
      </c>
      <c r="AW635" t="s" s="0">
        <v>14030</v>
      </c>
      <c r="AX635" t="s" s="0">
        <v>14031</v>
      </c>
      <c r="AY635" t="s" s="0">
        <v>143</v>
      </c>
      <c r="AZ635" t="s" s="0">
        <v>103</v>
      </c>
      <c r="BA635" t="s" s="0">
        <v>210</v>
      </c>
      <c r="BB635" t="s" s="0">
        <v>156</v>
      </c>
      <c r="BC635" t="s" s="0">
        <v>81</v>
      </c>
      <c r="BD635" t="s" s="0">
        <v>81</v>
      </c>
      <c r="BE635" t="s" s="0">
        <v>81</v>
      </c>
      <c r="BF635" t="s" s="0">
        <v>81</v>
      </c>
      <c r="BG635" t="s" s="0">
        <v>5096</v>
      </c>
      <c r="BH635" t="s" s="0">
        <v>1706</v>
      </c>
      <c r="BI635" t="s" s="0">
        <v>81</v>
      </c>
      <c r="BJ635" t="s" s="0">
        <v>14032</v>
      </c>
      <c r="BK635" t="s" s="1261">
        <f>HYPERLINK("http://dx.doi.org/10.1097/PTS.0000000000001428","http://dx.doi.org/10.1097/PTS.0000000000001428")</f>
        <v>14033</v>
      </c>
      <c r="BL635" t="s" s="0">
        <v>81</v>
      </c>
      <c r="BM635" t="s" s="0">
        <v>81</v>
      </c>
      <c r="BN635" t="s" s="0">
        <v>133</v>
      </c>
      <c r="BO635" t="s" s="0">
        <v>4481</v>
      </c>
      <c r="BP635" t="s" s="0">
        <v>4482</v>
      </c>
      <c r="BQ635" t="s" s="0">
        <v>14034</v>
      </c>
      <c r="BR635" t="s" s="0">
        <v>14035</v>
      </c>
      <c r="BS635" t="s" s="0">
        <v>14036</v>
      </c>
      <c r="BT635" t="s" s="1262">
        <f>HYPERLINK("https://www.webofscience.com/wos/woscc/full-record/WOS:001696198200003","View Record in Web of Science")</f>
        <v>114</v>
      </c>
      <c r="BU635" t="s" s="0">
        <v>81</v>
      </c>
      <c r="BV635" t="s" s="0">
        <v>81</v>
      </c>
      <c r="BW635" t="s" s="0">
        <v>81</v>
      </c>
      <c r="BX635" t="s" s="0">
        <v>116</v>
      </c>
    </row>
    <row r="636">
      <c r="A636" t="s" s="0">
        <v>77</v>
      </c>
      <c r="B636" t="s" s="0">
        <v>77</v>
      </c>
      <c r="C636" t="s" s="0">
        <v>77</v>
      </c>
      <c r="D636" t="s" s="0">
        <v>77</v>
      </c>
      <c r="E636" t="s" s="0">
        <v>14037</v>
      </c>
      <c r="F636" t="s" s="0">
        <v>14038</v>
      </c>
      <c r="G636" t="s" s="0">
        <v>14039</v>
      </c>
      <c r="H636" t="s" s="0">
        <v>81</v>
      </c>
      <c r="I636" t="s" s="0">
        <v>82</v>
      </c>
      <c r="J636" t="s" s="0">
        <v>14040</v>
      </c>
      <c r="K636" t="s" s="0">
        <v>14041</v>
      </c>
      <c r="L636" t="s" s="0">
        <v>14042</v>
      </c>
      <c r="M636" t="s" s="0">
        <v>14043</v>
      </c>
      <c r="N636" t="s" s="0">
        <v>81</v>
      </c>
      <c r="O636" t="s" s="0">
        <v>14044</v>
      </c>
      <c r="P636" t="s" s="0">
        <v>14045</v>
      </c>
      <c r="Q636" t="s" s="0">
        <v>87</v>
      </c>
      <c r="R636" t="s" s="0">
        <v>81</v>
      </c>
      <c r="S636" t="s" s="0">
        <v>81</v>
      </c>
      <c r="T636" t="s" s="0">
        <v>81</v>
      </c>
      <c r="U636" t="s" s="0">
        <v>81</v>
      </c>
      <c r="V636" t="s" s="0">
        <v>14046</v>
      </c>
      <c r="W636" t="s" s="0">
        <v>14047</v>
      </c>
      <c r="X636" t="s" s="0">
        <v>81</v>
      </c>
      <c r="Y636" t="s" s="0">
        <v>81</v>
      </c>
      <c r="Z636" t="s" s="0">
        <v>90</v>
      </c>
      <c r="AA636" t="s" s="0">
        <v>91</v>
      </c>
      <c r="AB636" t="s" s="0">
        <v>81</v>
      </c>
      <c r="AC636" t="s" s="0">
        <v>81</v>
      </c>
      <c r="AD636" t="s" s="0">
        <v>81</v>
      </c>
      <c r="AE636" t="s" s="0">
        <v>81</v>
      </c>
      <c r="AF636" t="s" s="0">
        <v>81</v>
      </c>
      <c r="AG636" t="s" s="0">
        <v>14048</v>
      </c>
      <c r="AH636" t="s" s="0">
        <v>14049</v>
      </c>
      <c r="AI636" t="s" s="0">
        <v>14050</v>
      </c>
      <c r="AJ636" t="s" s="0">
        <v>14051</v>
      </c>
      <c r="AK636" t="s" s="0">
        <v>81</v>
      </c>
      <c r="AL636" t="s" s="0">
        <v>295</v>
      </c>
      <c r="AM636" t="s" s="0">
        <v>196</v>
      </c>
      <c r="AN636" t="s" s="0">
        <v>196</v>
      </c>
      <c r="AO636" t="s" s="0">
        <v>156</v>
      </c>
      <c r="AP636" t="s" s="0">
        <v>133</v>
      </c>
      <c r="AQ636" t="s" s="0">
        <v>14052</v>
      </c>
      <c r="AR636" t="s" s="0">
        <v>604</v>
      </c>
      <c r="AS636" t="s" s="0">
        <v>14053</v>
      </c>
      <c r="AT636" t="s" s="0">
        <v>14054</v>
      </c>
      <c r="AU636" t="s" s="0">
        <v>14055</v>
      </c>
      <c r="AV636" t="s" s="0">
        <v>81</v>
      </c>
      <c r="AW636" t="s" s="0">
        <v>14056</v>
      </c>
      <c r="AX636" t="s" s="0">
        <v>14057</v>
      </c>
      <c r="AY636" t="s" s="0">
        <v>14058</v>
      </c>
      <c r="AZ636" t="s" s="0">
        <v>260</v>
      </c>
      <c r="BA636" t="s" s="0">
        <v>1116</v>
      </c>
      <c r="BB636" t="s" s="0">
        <v>81</v>
      </c>
      <c r="BC636" t="s" s="0">
        <v>81</v>
      </c>
      <c r="BD636" t="s" s="0">
        <v>81</v>
      </c>
      <c r="BE636" t="s" s="0">
        <v>81</v>
      </c>
      <c r="BF636" t="s" s="0">
        <v>81</v>
      </c>
      <c r="BG636" t="s" s="0">
        <v>14059</v>
      </c>
      <c r="BH636" t="s" s="0">
        <v>14060</v>
      </c>
      <c r="BI636" t="s" s="0">
        <v>81</v>
      </c>
      <c r="BJ636" t="s" s="0">
        <v>14061</v>
      </c>
      <c r="BK636" t="s" s="1263">
        <f>HYPERLINK("http://dx.doi.org/10.1016/j.jelectrocard.2023.09.012","http://dx.doi.org/10.1016/j.jelectrocard.2023.09.012")</f>
        <v>14062</v>
      </c>
      <c r="BL636" t="s" s="0">
        <v>81</v>
      </c>
      <c r="BM636" t="s" s="0">
        <v>2577</v>
      </c>
      <c r="BN636" t="s" s="0">
        <v>316</v>
      </c>
      <c r="BO636" t="s" s="0">
        <v>2628</v>
      </c>
      <c r="BP636" t="s" s="0">
        <v>2629</v>
      </c>
      <c r="BQ636" t="s" s="0">
        <v>14063</v>
      </c>
      <c r="BR636" t="s" s="0">
        <v>14064</v>
      </c>
      <c r="BS636" t="s" s="0">
        <v>14065</v>
      </c>
      <c r="BT636" t="s" s="1264">
        <f>HYPERLINK("https://www.webofscience.com/wos/woscc/full-record/WOS:001103058400001","View Record in Web of Science")</f>
        <v>114</v>
      </c>
      <c r="BU636" t="s" s="0">
        <v>81</v>
      </c>
      <c r="BV636" t="s" s="0">
        <v>81</v>
      </c>
      <c r="BW636" t="s" s="0">
        <v>81</v>
      </c>
      <c r="BX636" t="s" s="0">
        <v>116</v>
      </c>
    </row>
    <row r="637">
      <c r="A637" t="s" s="0">
        <v>77</v>
      </c>
      <c r="B637" t="s" s="0">
        <v>77</v>
      </c>
      <c r="C637" t="s" s="0">
        <v>196</v>
      </c>
      <c r="D637" t="s" s="0">
        <v>77</v>
      </c>
      <c r="E637" t="s" s="0">
        <v>14066</v>
      </c>
      <c r="F637" t="s" s="0">
        <v>14067</v>
      </c>
      <c r="G637" t="s" s="0">
        <v>14068</v>
      </c>
      <c r="H637" t="s" s="0">
        <v>81</v>
      </c>
      <c r="I637" t="s" s="0">
        <v>82</v>
      </c>
      <c r="J637" t="s" s="0">
        <v>14069</v>
      </c>
      <c r="K637" t="s" s="0">
        <v>14070</v>
      </c>
      <c r="L637" t="s" s="0">
        <v>14071</v>
      </c>
      <c r="M637" t="s" s="0">
        <v>14072</v>
      </c>
      <c r="N637" t="s" s="0">
        <v>14073</v>
      </c>
      <c r="O637" t="s" s="0">
        <v>14074</v>
      </c>
      <c r="P637" t="s" s="0">
        <v>14075</v>
      </c>
      <c r="Q637" t="s" s="0">
        <v>87</v>
      </c>
      <c r="R637" t="s" s="0">
        <v>81</v>
      </c>
      <c r="S637" t="s" s="0">
        <v>81</v>
      </c>
      <c r="T637" t="s" s="0">
        <v>81</v>
      </c>
      <c r="U637" t="s" s="0">
        <v>81</v>
      </c>
      <c r="V637" t="s" s="0">
        <v>14076</v>
      </c>
      <c r="W637" t="s" s="0">
        <v>4424</v>
      </c>
      <c r="X637" t="s" s="0">
        <v>81</v>
      </c>
      <c r="Y637" t="s" s="0">
        <v>81</v>
      </c>
      <c r="Z637" t="s" s="0">
        <v>90</v>
      </c>
      <c r="AA637" t="s" s="0">
        <v>91</v>
      </c>
      <c r="AB637" t="s" s="0">
        <v>81</v>
      </c>
      <c r="AC637" t="s" s="0">
        <v>81</v>
      </c>
      <c r="AD637" t="s" s="0">
        <v>81</v>
      </c>
      <c r="AE637" t="s" s="0">
        <v>81</v>
      </c>
      <c r="AF637" t="s" s="0">
        <v>81</v>
      </c>
      <c r="AG637" t="s" s="0">
        <v>81</v>
      </c>
      <c r="AH637" t="s" s="0">
        <v>81</v>
      </c>
      <c r="AI637" t="s" s="0">
        <v>81</v>
      </c>
      <c r="AJ637" t="s" s="0">
        <v>81</v>
      </c>
      <c r="AK637" t="s" s="0">
        <v>81</v>
      </c>
      <c r="AL637" t="s" s="0">
        <v>508</v>
      </c>
      <c r="AM637" t="s" s="0">
        <v>234</v>
      </c>
      <c r="AN637" t="s" s="0">
        <v>234</v>
      </c>
      <c r="AO637" t="s" s="0">
        <v>261</v>
      </c>
      <c r="AP637" t="s" s="0">
        <v>261</v>
      </c>
      <c r="AQ637" t="s" s="0">
        <v>915</v>
      </c>
      <c r="AR637" t="s" s="0">
        <v>916</v>
      </c>
      <c r="AS637" t="s" s="0">
        <v>917</v>
      </c>
      <c r="AT637" t="s" s="0">
        <v>4426</v>
      </c>
      <c r="AU637" t="s" s="0">
        <v>81</v>
      </c>
      <c r="AV637" t="s" s="0">
        <v>81</v>
      </c>
      <c r="AW637" t="s" s="0">
        <v>4427</v>
      </c>
      <c r="AX637" t="s" s="0">
        <v>4428</v>
      </c>
      <c r="AY637" t="s" s="0">
        <v>14077</v>
      </c>
      <c r="AZ637" t="s" s="0">
        <v>103</v>
      </c>
      <c r="BA637" t="s" s="0">
        <v>261</v>
      </c>
      <c r="BB637" t="s" s="0">
        <v>97</v>
      </c>
      <c r="BC637" t="s" s="0">
        <v>81</v>
      </c>
      <c r="BD637" t="s" s="0">
        <v>81</v>
      </c>
      <c r="BE637" t="s" s="0">
        <v>81</v>
      </c>
      <c r="BF637" t="s" s="0">
        <v>81</v>
      </c>
      <c r="BG637" t="s" s="0">
        <v>81</v>
      </c>
      <c r="BH637" t="s" s="0">
        <v>81</v>
      </c>
      <c r="BI637" t="s" s="0">
        <v>5938</v>
      </c>
      <c r="BJ637" t="s" s="0">
        <v>14078</v>
      </c>
      <c r="BK637" t="s" s="1265">
        <f>HYPERLINK("http://dx.doi.org/10.1038/s41746-025-02297-4","http://dx.doi.org/10.1038/s41746-025-02297-4")</f>
        <v>14079</v>
      </c>
      <c r="BL637" t="s" s="0">
        <v>81</v>
      </c>
      <c r="BM637" t="s" s="0">
        <v>81</v>
      </c>
      <c r="BN637" t="s" s="0">
        <v>295</v>
      </c>
      <c r="BO637" t="s" s="0">
        <v>792</v>
      </c>
      <c r="BP637" t="s" s="0">
        <v>792</v>
      </c>
      <c r="BQ637" t="s" s="0">
        <v>14080</v>
      </c>
      <c r="BR637" t="s" s="0">
        <v>14081</v>
      </c>
      <c r="BS637" t="s" s="0">
        <v>14082</v>
      </c>
      <c r="BT637" t="s" s="1266">
        <f>HYPERLINK("https://www.webofscience.com/wos/woscc/full-record/WOS:001679396100001","View Record in Web of Science")</f>
        <v>114</v>
      </c>
      <c r="BU637" t="s" s="0">
        <v>301</v>
      </c>
      <c r="BV637" t="s" s="0">
        <v>81</v>
      </c>
      <c r="BW637" t="s" s="0">
        <v>81</v>
      </c>
      <c r="BX637" t="s" s="0">
        <v>116</v>
      </c>
    </row>
    <row r="638">
      <c r="A638" t="s" s="0">
        <v>77</v>
      </c>
      <c r="B638" t="s" s="0">
        <v>77</v>
      </c>
      <c r="C638" t="s" s="0">
        <v>77</v>
      </c>
      <c r="D638" t="s" s="0">
        <v>77</v>
      </c>
      <c r="E638" t="s" s="0">
        <v>14083</v>
      </c>
      <c r="F638" t="s" s="0">
        <v>14084</v>
      </c>
      <c r="G638" t="s" s="0">
        <v>14085</v>
      </c>
      <c r="H638" t="s" s="0">
        <v>81</v>
      </c>
      <c r="I638" t="s" s="0">
        <v>238</v>
      </c>
      <c r="J638" t="s" s="0">
        <v>14086</v>
      </c>
      <c r="K638" t="s" s="0">
        <v>14087</v>
      </c>
      <c r="L638" t="s" s="0">
        <v>81</v>
      </c>
      <c r="M638" t="s" s="0">
        <v>81</v>
      </c>
      <c r="N638" t="s" s="0">
        <v>81</v>
      </c>
      <c r="O638" t="s" s="0">
        <v>14088</v>
      </c>
      <c r="P638" t="s" s="0">
        <v>14089</v>
      </c>
      <c r="Q638" t="s" s="0">
        <v>87</v>
      </c>
      <c r="R638" t="s" s="0">
        <v>81</v>
      </c>
      <c r="S638" t="s" s="0">
        <v>81</v>
      </c>
      <c r="T638" t="s" s="0">
        <v>81</v>
      </c>
      <c r="U638" t="s" s="0">
        <v>81</v>
      </c>
      <c r="V638" t="s" s="0">
        <v>14090</v>
      </c>
      <c r="W638" t="s" s="0">
        <v>14091</v>
      </c>
      <c r="X638" t="s" s="0">
        <v>81</v>
      </c>
      <c r="Y638" t="s" s="0">
        <v>81</v>
      </c>
      <c r="Z638" t="s" s="0">
        <v>90</v>
      </c>
      <c r="AA638" t="s" s="0">
        <v>91</v>
      </c>
      <c r="AB638" t="s" s="0">
        <v>81</v>
      </c>
      <c r="AC638" t="s" s="0">
        <v>81</v>
      </c>
      <c r="AD638" t="s" s="0">
        <v>81</v>
      </c>
      <c r="AE638" t="s" s="0">
        <v>81</v>
      </c>
      <c r="AF638" t="s" s="0">
        <v>81</v>
      </c>
      <c r="AG638" t="s" s="0">
        <v>14092</v>
      </c>
      <c r="AH638" t="s" s="0">
        <v>14093</v>
      </c>
      <c r="AI638" t="s" s="0">
        <v>14094</v>
      </c>
      <c r="AJ638" t="s" s="0">
        <v>14095</v>
      </c>
      <c r="AK638" t="s" s="0">
        <v>81</v>
      </c>
      <c r="AL638" t="s" s="0">
        <v>135</v>
      </c>
      <c r="AM638" t="s" s="0">
        <v>77</v>
      </c>
      <c r="AN638" t="s" s="0">
        <v>77</v>
      </c>
      <c r="AO638" t="s" s="0">
        <v>316</v>
      </c>
      <c r="AP638" t="s" s="0">
        <v>316</v>
      </c>
      <c r="AQ638" t="s" s="0">
        <v>14096</v>
      </c>
      <c r="AR638" t="s" s="0">
        <v>14097</v>
      </c>
      <c r="AS638" t="s" s="0">
        <v>14098</v>
      </c>
      <c r="AT638" t="s" s="0">
        <v>14099</v>
      </c>
      <c r="AU638" t="s" s="0">
        <v>14100</v>
      </c>
      <c r="AV638" t="s" s="0">
        <v>81</v>
      </c>
      <c r="AW638" t="s" s="0">
        <v>14101</v>
      </c>
      <c r="AX638" t="s" s="0">
        <v>14102</v>
      </c>
      <c r="AY638" t="s" s="0">
        <v>948</v>
      </c>
      <c r="AZ638" t="s" s="0">
        <v>103</v>
      </c>
      <c r="BA638" t="s" s="0">
        <v>295</v>
      </c>
      <c r="BB638" t="s" s="0">
        <v>175</v>
      </c>
      <c r="BC638" t="s" s="0">
        <v>81</v>
      </c>
      <c r="BD638" t="s" s="0">
        <v>81</v>
      </c>
      <c r="BE638" t="s" s="0">
        <v>81</v>
      </c>
      <c r="BF638" t="s" s="0">
        <v>81</v>
      </c>
      <c r="BG638" t="s" s="0">
        <v>14103</v>
      </c>
      <c r="BH638" t="s" s="0">
        <v>14104</v>
      </c>
      <c r="BI638" t="s" s="0">
        <v>81</v>
      </c>
      <c r="BJ638" t="s" s="0">
        <v>14105</v>
      </c>
      <c r="BK638" t="s" s="1267">
        <f>HYPERLINK("http://dx.doi.org/10.7860/JCDR/2026/84554.22732","http://dx.doi.org/10.7860/JCDR/2026/84554.22732")</f>
        <v>14106</v>
      </c>
      <c r="BL638" t="s" s="0">
        <v>81</v>
      </c>
      <c r="BM638" t="s" s="0">
        <v>81</v>
      </c>
      <c r="BN638" t="s" s="0">
        <v>316</v>
      </c>
      <c r="BO638" t="s" s="0">
        <v>296</v>
      </c>
      <c r="BP638" t="s" s="0">
        <v>297</v>
      </c>
      <c r="BQ638" t="s" s="0">
        <v>14107</v>
      </c>
      <c r="BR638" t="s" s="0">
        <v>81</v>
      </c>
      <c r="BS638" t="s" s="0">
        <v>14108</v>
      </c>
      <c r="BT638" t="s" s="1268">
        <f>HYPERLINK("https://www.webofscience.com/wos/woscc/full-record/WOS:001720918500019","View Record in Web of Science")</f>
        <v>114</v>
      </c>
      <c r="BU638" t="s" s="0">
        <v>301</v>
      </c>
      <c r="BV638" t="s" s="0">
        <v>81</v>
      </c>
      <c r="BW638" t="s" s="0">
        <v>81</v>
      </c>
      <c r="BX638" t="s" s="0">
        <v>116</v>
      </c>
    </row>
    <row r="639">
      <c r="A639" t="s" s="0">
        <v>77</v>
      </c>
      <c r="B639" t="s" s="0">
        <v>77</v>
      </c>
      <c r="C639" t="s" s="0">
        <v>77</v>
      </c>
      <c r="D639" t="s" s="0">
        <v>77</v>
      </c>
      <c r="E639" t="s" s="0">
        <v>14109</v>
      </c>
      <c r="F639" t="s" s="0">
        <v>14110</v>
      </c>
      <c r="G639" t="s" s="0">
        <v>14111</v>
      </c>
      <c r="H639" t="s" s="0">
        <v>81</v>
      </c>
      <c r="I639" t="s" s="0">
        <v>82</v>
      </c>
      <c r="J639" t="s" s="0">
        <v>14112</v>
      </c>
      <c r="K639" t="s" s="0">
        <v>14113</v>
      </c>
      <c r="L639" t="s" s="0">
        <v>81</v>
      </c>
      <c r="M639" t="s" s="0">
        <v>81</v>
      </c>
      <c r="N639" t="s" s="0">
        <v>81</v>
      </c>
      <c r="O639" t="s" s="0">
        <v>14114</v>
      </c>
      <c r="P639" t="s" s="0">
        <v>14115</v>
      </c>
      <c r="Q639" t="s" s="0">
        <v>87</v>
      </c>
      <c r="R639" t="s" s="0">
        <v>81</v>
      </c>
      <c r="S639" t="s" s="0">
        <v>81</v>
      </c>
      <c r="T639" t="s" s="0">
        <v>81</v>
      </c>
      <c r="U639" t="s" s="0">
        <v>81</v>
      </c>
      <c r="V639" t="s" s="0">
        <v>14116</v>
      </c>
      <c r="W639" t="s" s="0">
        <v>14117</v>
      </c>
      <c r="X639" t="s" s="0">
        <v>81</v>
      </c>
      <c r="Y639" t="s" s="0">
        <v>81</v>
      </c>
      <c r="Z639" t="s" s="0">
        <v>90</v>
      </c>
      <c r="AA639" t="s" s="0">
        <v>91</v>
      </c>
      <c r="AB639" t="s" s="0">
        <v>81</v>
      </c>
      <c r="AC639" t="s" s="0">
        <v>81</v>
      </c>
      <c r="AD639" t="s" s="0">
        <v>81</v>
      </c>
      <c r="AE639" t="s" s="0">
        <v>81</v>
      </c>
      <c r="AF639" t="s" s="0">
        <v>81</v>
      </c>
      <c r="AG639" t="s" s="0">
        <v>14118</v>
      </c>
      <c r="AH639" t="s" s="0">
        <v>81</v>
      </c>
      <c r="AI639" t="s" s="0">
        <v>14119</v>
      </c>
      <c r="AJ639" t="s" s="0">
        <v>14120</v>
      </c>
      <c r="AK639" t="s" s="0">
        <v>81</v>
      </c>
      <c r="AL639" t="s" s="0">
        <v>343</v>
      </c>
      <c r="AM639" t="s" s="0">
        <v>156</v>
      </c>
      <c r="AN639" t="s" s="0">
        <v>156</v>
      </c>
      <c r="AO639" t="s" s="0">
        <v>97</v>
      </c>
      <c r="AP639" t="s" s="0">
        <v>196</v>
      </c>
      <c r="AQ639" t="s" s="0">
        <v>9192</v>
      </c>
      <c r="AR639" t="s" s="0">
        <v>9193</v>
      </c>
      <c r="AS639" t="s" s="0">
        <v>9194</v>
      </c>
      <c r="AT639" t="s" s="0">
        <v>14121</v>
      </c>
      <c r="AU639" t="s" s="0">
        <v>14122</v>
      </c>
      <c r="AV639" t="s" s="0">
        <v>81</v>
      </c>
      <c r="AW639" t="s" s="0">
        <v>14123</v>
      </c>
      <c r="AX639" t="s" s="0">
        <v>14124</v>
      </c>
      <c r="AY639" t="s" s="0">
        <v>290</v>
      </c>
      <c r="AZ639" t="s" s="0">
        <v>290</v>
      </c>
      <c r="BA639" t="s" s="0">
        <v>2028</v>
      </c>
      <c r="BB639" t="s" s="0">
        <v>156</v>
      </c>
      <c r="BC639" t="s" s="0">
        <v>81</v>
      </c>
      <c r="BD639" t="s" s="0">
        <v>81</v>
      </c>
      <c r="BE639" t="s" s="0">
        <v>81</v>
      </c>
      <c r="BF639" t="s" s="0">
        <v>81</v>
      </c>
      <c r="BG639" t="s" s="0">
        <v>14125</v>
      </c>
      <c r="BH639" t="s" s="0">
        <v>6552</v>
      </c>
      <c r="BI639" t="s" s="0">
        <v>81</v>
      </c>
      <c r="BJ639" t="s" s="0">
        <v>14126</v>
      </c>
      <c r="BK639" t="s" s="1269">
        <f>HYPERLINK("http://dx.doi.org/10.32604/cmes.2025.067195","http://dx.doi.org/10.32604/cmes.2025.067195")</f>
        <v>14127</v>
      </c>
      <c r="BL639" t="s" s="0">
        <v>81</v>
      </c>
      <c r="BM639" t="s" s="0">
        <v>1869</v>
      </c>
      <c r="BN639" t="s" s="0">
        <v>150</v>
      </c>
      <c r="BO639" t="s" s="0">
        <v>14128</v>
      </c>
      <c r="BP639" t="s" s="0">
        <v>14129</v>
      </c>
      <c r="BQ639" t="s" s="0">
        <v>14130</v>
      </c>
      <c r="BR639" t="s" s="0">
        <v>81</v>
      </c>
      <c r="BS639" t="s" s="0">
        <v>14131</v>
      </c>
      <c r="BT639" t="s" s="1270">
        <f>HYPERLINK("https://www.webofscience.com/wos/woscc/full-record/WOS:001545547800001","View Record in Web of Science")</f>
        <v>114</v>
      </c>
      <c r="BU639" t="s" s="0">
        <v>115</v>
      </c>
      <c r="BV639" t="s" s="0">
        <v>81</v>
      </c>
      <c r="BW639" t="s" s="0">
        <v>81</v>
      </c>
      <c r="BX639" t="s" s="0">
        <v>116</v>
      </c>
    </row>
    <row r="640">
      <c r="A640" t="s" s="0">
        <v>77</v>
      </c>
      <c r="B640" t="s" s="0">
        <v>77</v>
      </c>
      <c r="C640" t="s" s="0">
        <v>77</v>
      </c>
      <c r="D640" t="s" s="0">
        <v>77</v>
      </c>
      <c r="E640" t="s" s="0">
        <v>14132</v>
      </c>
      <c r="F640" t="s" s="0">
        <v>14133</v>
      </c>
      <c r="G640" t="s" s="0">
        <v>14134</v>
      </c>
      <c r="H640" t="s" s="0">
        <v>81</v>
      </c>
      <c r="I640" t="s" s="0">
        <v>238</v>
      </c>
      <c r="J640" t="s" s="0">
        <v>14135</v>
      </c>
      <c r="K640" t="s" s="0">
        <v>14136</v>
      </c>
      <c r="L640" t="s" s="0">
        <v>81</v>
      </c>
      <c r="M640" t="s" s="0">
        <v>81</v>
      </c>
      <c r="N640" t="s" s="0">
        <v>81</v>
      </c>
      <c r="O640" t="s" s="0">
        <v>14137</v>
      </c>
      <c r="P640" t="s" s="0">
        <v>14138</v>
      </c>
      <c r="Q640" t="s" s="0">
        <v>87</v>
      </c>
      <c r="R640" t="s" s="0">
        <v>81</v>
      </c>
      <c r="S640" t="s" s="0">
        <v>81</v>
      </c>
      <c r="T640" t="s" s="0">
        <v>81</v>
      </c>
      <c r="U640" t="s" s="0">
        <v>81</v>
      </c>
      <c r="V640" t="s" s="0">
        <v>14139</v>
      </c>
      <c r="W640" t="s" s="0">
        <v>14140</v>
      </c>
      <c r="X640" t="s" s="0">
        <v>81</v>
      </c>
      <c r="Y640" t="s" s="0">
        <v>81</v>
      </c>
      <c r="Z640" t="s" s="0">
        <v>90</v>
      </c>
      <c r="AA640" t="s" s="0">
        <v>91</v>
      </c>
      <c r="AB640" t="s" s="0">
        <v>81</v>
      </c>
      <c r="AC640" t="s" s="0">
        <v>81</v>
      </c>
      <c r="AD640" t="s" s="0">
        <v>81</v>
      </c>
      <c r="AE640" t="s" s="0">
        <v>81</v>
      </c>
      <c r="AF640" t="s" s="0">
        <v>81</v>
      </c>
      <c r="AG640" t="s" s="0">
        <v>14141</v>
      </c>
      <c r="AH640" t="s" s="0">
        <v>14142</v>
      </c>
      <c r="AI640" t="s" s="0">
        <v>14143</v>
      </c>
      <c r="AJ640" t="s" s="0">
        <v>14144</v>
      </c>
      <c r="AK640" t="s" s="0">
        <v>81</v>
      </c>
      <c r="AL640" t="s" s="0">
        <v>291</v>
      </c>
      <c r="AM640" t="s" s="0">
        <v>97</v>
      </c>
      <c r="AN640" t="s" s="0">
        <v>97</v>
      </c>
      <c r="AO640" t="s" s="0">
        <v>97</v>
      </c>
      <c r="AP640" t="s" s="0">
        <v>97</v>
      </c>
      <c r="AQ640" t="s" s="0">
        <v>428</v>
      </c>
      <c r="AR640" t="s" s="0">
        <v>429</v>
      </c>
      <c r="AS640" t="s" s="0">
        <v>430</v>
      </c>
      <c r="AT640" t="s" s="0">
        <v>14145</v>
      </c>
      <c r="AU640" t="s" s="0">
        <v>14146</v>
      </c>
      <c r="AV640" t="s" s="0">
        <v>81</v>
      </c>
      <c r="AW640" t="s" s="0">
        <v>14147</v>
      </c>
      <c r="AX640" t="s" s="0">
        <v>14148</v>
      </c>
      <c r="AY640" t="s" s="0">
        <v>1940</v>
      </c>
      <c r="AZ640" t="s" s="0">
        <v>103</v>
      </c>
      <c r="BA640" t="s" s="0">
        <v>874</v>
      </c>
      <c r="BB640" t="s" s="0">
        <v>97</v>
      </c>
      <c r="BC640" t="s" s="0">
        <v>81</v>
      </c>
      <c r="BD640" t="s" s="0">
        <v>81</v>
      </c>
      <c r="BE640" t="s" s="0">
        <v>81</v>
      </c>
      <c r="BF640" t="s" s="0">
        <v>81</v>
      </c>
      <c r="BG640" t="s" s="0">
        <v>14149</v>
      </c>
      <c r="BH640" t="s" s="0">
        <v>14150</v>
      </c>
      <c r="BI640" t="s" s="0">
        <v>81</v>
      </c>
      <c r="BJ640" t="s" s="0">
        <v>14151</v>
      </c>
      <c r="BK640" t="s" s="1271">
        <f>HYPERLINK("http://dx.doi.org/10.1016/j.teln.2025.08.015","http://dx.doi.org/10.1016/j.teln.2025.08.015")</f>
        <v>14152</v>
      </c>
      <c r="BL640" t="s" s="0">
        <v>81</v>
      </c>
      <c r="BM640" t="s" s="0">
        <v>2353</v>
      </c>
      <c r="BN640" t="s" s="0">
        <v>133</v>
      </c>
      <c r="BO640" t="s" s="0">
        <v>5034</v>
      </c>
      <c r="BP640" t="s" s="0">
        <v>5034</v>
      </c>
      <c r="BQ640" t="s" s="0">
        <v>14153</v>
      </c>
      <c r="BR640" t="s" s="0">
        <v>81</v>
      </c>
      <c r="BS640" t="s" s="0">
        <v>14154</v>
      </c>
      <c r="BT640" t="s" s="1272">
        <f>HYPERLINK("https://www.webofscience.com/wos/woscc/full-record/WOS:001656813100001","View Record in Web of Science")</f>
        <v>114</v>
      </c>
      <c r="BU640" t="s" s="0">
        <v>81</v>
      </c>
      <c r="BV640" t="s" s="0">
        <v>81</v>
      </c>
      <c r="BW640" t="s" s="0">
        <v>81</v>
      </c>
      <c r="BX640" t="s" s="0">
        <v>116</v>
      </c>
    </row>
    <row r="641">
      <c r="A641" t="s" s="0">
        <v>77</v>
      </c>
      <c r="B641" t="s" s="0">
        <v>77</v>
      </c>
      <c r="C641" t="s" s="0">
        <v>77</v>
      </c>
      <c r="D641" t="s" s="0">
        <v>77</v>
      </c>
      <c r="E641" t="s" s="0">
        <v>14155</v>
      </c>
      <c r="F641" t="s" s="0">
        <v>14156</v>
      </c>
      <c r="G641" t="s" s="0">
        <v>14157</v>
      </c>
      <c r="H641" t="s" s="0">
        <v>81</v>
      </c>
      <c r="I641" t="s" s="0">
        <v>238</v>
      </c>
      <c r="J641" t="s" s="0">
        <v>14158</v>
      </c>
      <c r="K641" t="s" s="0">
        <v>14159</v>
      </c>
      <c r="L641" t="s" s="0">
        <v>81</v>
      </c>
      <c r="M641" t="s" s="0">
        <v>81</v>
      </c>
      <c r="N641" t="s" s="0">
        <v>81</v>
      </c>
      <c r="O641" t="s" s="0">
        <v>14160</v>
      </c>
      <c r="P641" t="s" s="0">
        <v>14161</v>
      </c>
      <c r="Q641" t="s" s="0">
        <v>87</v>
      </c>
      <c r="R641" t="s" s="0">
        <v>81</v>
      </c>
      <c r="S641" t="s" s="0">
        <v>81</v>
      </c>
      <c r="T641" t="s" s="0">
        <v>81</v>
      </c>
      <c r="U641" t="s" s="0">
        <v>81</v>
      </c>
      <c r="V641" t="s" s="0">
        <v>14162</v>
      </c>
      <c r="W641" t="s" s="0">
        <v>14163</v>
      </c>
      <c r="X641" t="s" s="0">
        <v>81</v>
      </c>
      <c r="Y641" t="s" s="0">
        <v>81</v>
      </c>
      <c r="Z641" t="s" s="0">
        <v>90</v>
      </c>
      <c r="AA641" t="s" s="0">
        <v>91</v>
      </c>
      <c r="AB641" t="s" s="0">
        <v>81</v>
      </c>
      <c r="AC641" t="s" s="0">
        <v>81</v>
      </c>
      <c r="AD641" t="s" s="0">
        <v>81</v>
      </c>
      <c r="AE641" t="s" s="0">
        <v>81</v>
      </c>
      <c r="AF641" t="s" s="0">
        <v>81</v>
      </c>
      <c r="AG641" t="s" s="0">
        <v>14164</v>
      </c>
      <c r="AH641" t="s" s="0">
        <v>81</v>
      </c>
      <c r="AI641" t="s" s="0">
        <v>14165</v>
      </c>
      <c r="AJ641" t="s" s="0">
        <v>81</v>
      </c>
      <c r="AK641" t="s" s="0">
        <v>81</v>
      </c>
      <c r="AL641" t="s" s="0">
        <v>211</v>
      </c>
      <c r="AM641" t="s" s="0">
        <v>175</v>
      </c>
      <c r="AN641" t="s" s="0">
        <v>175</v>
      </c>
      <c r="AO641" t="s" s="0">
        <v>156</v>
      </c>
      <c r="AP641" t="s" s="0">
        <v>295</v>
      </c>
      <c r="AQ641" t="s" s="0">
        <v>14166</v>
      </c>
      <c r="AR641" t="s" s="0">
        <v>699</v>
      </c>
      <c r="AS641" t="s" s="0">
        <v>14167</v>
      </c>
      <c r="AT641" t="s" s="0">
        <v>14168</v>
      </c>
      <c r="AU641" t="s" s="0">
        <v>81</v>
      </c>
      <c r="AV641" t="s" s="0">
        <v>81</v>
      </c>
      <c r="AW641" t="s" s="0">
        <v>14169</v>
      </c>
      <c r="AX641" t="s" s="0">
        <v>14170</v>
      </c>
      <c r="AY641" t="s" s="0">
        <v>4409</v>
      </c>
      <c r="AZ641" t="s" s="0">
        <v>185</v>
      </c>
      <c r="BA641" t="s" s="0">
        <v>343</v>
      </c>
      <c r="BB641" t="s" s="0">
        <v>196</v>
      </c>
      <c r="BC641" t="s" s="0">
        <v>81</v>
      </c>
      <c r="BD641" t="s" s="0">
        <v>81</v>
      </c>
      <c r="BE641" t="s" s="0">
        <v>81</v>
      </c>
      <c r="BF641" t="s" s="0">
        <v>81</v>
      </c>
      <c r="BG641" t="s" s="0">
        <v>81</v>
      </c>
      <c r="BH641" t="s" s="0">
        <v>81</v>
      </c>
      <c r="BI641" t="s" s="0">
        <v>14171</v>
      </c>
      <c r="BJ641" t="s" s="0">
        <v>14172</v>
      </c>
      <c r="BK641" t="s" s="1273">
        <f>HYPERLINK("http://dx.doi.org/10.1016/j.jogc.2023.102277","http://dx.doi.org/10.1016/j.jogc.2023.102277")</f>
        <v>14173</v>
      </c>
      <c r="BL641" t="s" s="0">
        <v>81</v>
      </c>
      <c r="BM641" t="s" s="0">
        <v>4409</v>
      </c>
      <c r="BN641" t="s" s="0">
        <v>175</v>
      </c>
      <c r="BO641" t="s" s="0">
        <v>14174</v>
      </c>
      <c r="BP641" t="s" s="0">
        <v>14174</v>
      </c>
      <c r="BQ641" t="s" s="0">
        <v>14175</v>
      </c>
      <c r="BR641" t="s" s="0">
        <v>14176</v>
      </c>
      <c r="BS641" t="s" s="0">
        <v>14177</v>
      </c>
      <c r="BT641" t="s" s="1274">
        <f>HYPERLINK("https://www.webofscience.com/wos/woscc/full-record/WOS:001223064800001","View Record in Web of Science")</f>
        <v>114</v>
      </c>
      <c r="BU641" t="s" s="0">
        <v>81</v>
      </c>
      <c r="BV641" t="s" s="0">
        <v>81</v>
      </c>
      <c r="BW641" t="s" s="0">
        <v>81</v>
      </c>
      <c r="BX641" t="s" s="0">
        <v>116</v>
      </c>
    </row>
    <row r="642">
      <c r="A642" t="s" s="0">
        <v>77</v>
      </c>
      <c r="B642" t="s" s="0">
        <v>77</v>
      </c>
      <c r="C642" t="s" s="0">
        <v>77</v>
      </c>
      <c r="D642" t="s" s="0">
        <v>77</v>
      </c>
      <c r="E642" t="s" s="0">
        <v>14178</v>
      </c>
      <c r="F642" t="s" s="0">
        <v>14179</v>
      </c>
      <c r="G642" t="s" s="0">
        <v>14180</v>
      </c>
      <c r="H642" t="s" s="0">
        <v>81</v>
      </c>
      <c r="I642" t="s" s="0">
        <v>238</v>
      </c>
      <c r="J642" t="s" s="0">
        <v>14181</v>
      </c>
      <c r="K642" t="s" s="0">
        <v>14182</v>
      </c>
      <c r="L642" t="s" s="0">
        <v>81</v>
      </c>
      <c r="M642" t="s" s="0">
        <v>81</v>
      </c>
      <c r="N642" t="s" s="0">
        <v>14183</v>
      </c>
      <c r="O642" t="s" s="0">
        <v>14184</v>
      </c>
      <c r="P642" t="s" s="0">
        <v>14185</v>
      </c>
      <c r="Q642" t="s" s="0">
        <v>87</v>
      </c>
      <c r="R642" t="s" s="0">
        <v>81</v>
      </c>
      <c r="S642" t="s" s="0">
        <v>81</v>
      </c>
      <c r="T642" t="s" s="0">
        <v>81</v>
      </c>
      <c r="U642" t="s" s="0">
        <v>81</v>
      </c>
      <c r="V642" t="s" s="0">
        <v>14186</v>
      </c>
      <c r="W642" t="s" s="0">
        <v>14187</v>
      </c>
      <c r="X642" t="s" s="0">
        <v>81</v>
      </c>
      <c r="Y642" t="s" s="0">
        <v>81</v>
      </c>
      <c r="Z642" t="s" s="0">
        <v>90</v>
      </c>
      <c r="AA642" t="s" s="0">
        <v>91</v>
      </c>
      <c r="AB642" t="s" s="0">
        <v>81</v>
      </c>
      <c r="AC642" t="s" s="0">
        <v>81</v>
      </c>
      <c r="AD642" t="s" s="0">
        <v>81</v>
      </c>
      <c r="AE642" t="s" s="0">
        <v>81</v>
      </c>
      <c r="AF642" t="s" s="0">
        <v>81</v>
      </c>
      <c r="AG642" t="s" s="0">
        <v>81</v>
      </c>
      <c r="AH642" t="s" s="0">
        <v>81</v>
      </c>
      <c r="AI642" t="s" s="0">
        <v>81</v>
      </c>
      <c r="AJ642" t="s" s="0">
        <v>81</v>
      </c>
      <c r="AK642" t="s" s="0">
        <v>81</v>
      </c>
      <c r="AL642" t="s" s="0">
        <v>134</v>
      </c>
      <c r="AM642" t="s" s="0">
        <v>77</v>
      </c>
      <c r="AN642" t="s" s="0">
        <v>77</v>
      </c>
      <c r="AO642" t="s" s="0">
        <v>77</v>
      </c>
      <c r="AP642" t="s" s="0">
        <v>77</v>
      </c>
      <c r="AQ642" t="s" s="0">
        <v>14188</v>
      </c>
      <c r="AR642" t="s" s="0">
        <v>2663</v>
      </c>
      <c r="AS642" t="s" s="0">
        <v>14189</v>
      </c>
      <c r="AT642" t="s" s="0">
        <v>14190</v>
      </c>
      <c r="AU642" t="s" s="0">
        <v>14191</v>
      </c>
      <c r="AV642" t="s" s="0">
        <v>81</v>
      </c>
      <c r="AW642" t="s" s="0">
        <v>14192</v>
      </c>
      <c r="AX642" t="s" s="0">
        <v>14193</v>
      </c>
      <c r="AY642" t="s" s="0">
        <v>14194</v>
      </c>
      <c r="AZ642" t="s" s="0">
        <v>103</v>
      </c>
      <c r="BA642" t="s" s="0">
        <v>1883</v>
      </c>
      <c r="BB642" t="s" s="0">
        <v>81</v>
      </c>
      <c r="BC642" t="s" s="0">
        <v>81</v>
      </c>
      <c r="BD642" t="s" s="0">
        <v>81</v>
      </c>
      <c r="BE642" t="s" s="0">
        <v>81</v>
      </c>
      <c r="BF642" t="s" s="0">
        <v>81</v>
      </c>
      <c r="BG642" t="s" s="0">
        <v>81</v>
      </c>
      <c r="BH642" t="s" s="0">
        <v>81</v>
      </c>
      <c r="BI642" t="s" s="0">
        <v>14195</v>
      </c>
      <c r="BJ642" t="s" s="0">
        <v>14196</v>
      </c>
      <c r="BK642" t="s" s="1275">
        <f>HYPERLINK("http://dx.doi.org/10.1016/j.cegh.2026.102426","http://dx.doi.org/10.1016/j.cegh.2026.102426")</f>
        <v>14197</v>
      </c>
      <c r="BL642" t="s" s="0">
        <v>81</v>
      </c>
      <c r="BM642" t="s" s="0">
        <v>81</v>
      </c>
      <c r="BN642" t="s" s="0">
        <v>316</v>
      </c>
      <c r="BO642" t="s" s="0">
        <v>850</v>
      </c>
      <c r="BP642" t="s" s="0">
        <v>850</v>
      </c>
      <c r="BQ642" t="s" s="0">
        <v>14198</v>
      </c>
      <c r="BR642" t="s" s="0">
        <v>81</v>
      </c>
      <c r="BS642" t="s" s="0">
        <v>14199</v>
      </c>
      <c r="BT642" t="s" s="1276">
        <f>HYPERLINK("https://www.webofscience.com/wos/woscc/full-record/WOS:001830406300001","View Record in Web of Science")</f>
        <v>114</v>
      </c>
      <c r="BU642" t="s" s="0">
        <v>115</v>
      </c>
      <c r="BV642" t="s" s="0">
        <v>81</v>
      </c>
      <c r="BW642" t="s" s="0">
        <v>81</v>
      </c>
      <c r="BX642" t="s" s="0">
        <v>116</v>
      </c>
    </row>
    <row r="643">
      <c r="A643" t="s" s="0">
        <v>77</v>
      </c>
      <c r="B643" t="s" s="0">
        <v>77</v>
      </c>
      <c r="C643" t="s" s="0">
        <v>77</v>
      </c>
      <c r="D643" t="s" s="0">
        <v>77</v>
      </c>
      <c r="E643" t="s" s="0">
        <v>14200</v>
      </c>
      <c r="F643" t="s" s="0">
        <v>14201</v>
      </c>
      <c r="G643" t="s" s="0">
        <v>14202</v>
      </c>
      <c r="H643" t="s" s="0">
        <v>81</v>
      </c>
      <c r="I643" t="s" s="0">
        <v>528</v>
      </c>
      <c r="J643" t="s" s="0">
        <v>14203</v>
      </c>
      <c r="K643" t="s" s="0">
        <v>14204</v>
      </c>
      <c r="L643" t="s" s="0">
        <v>81</v>
      </c>
      <c r="M643" t="s" s="0">
        <v>81</v>
      </c>
      <c r="N643" t="s" s="0">
        <v>81</v>
      </c>
      <c r="O643" t="s" s="0">
        <v>14205</v>
      </c>
      <c r="P643" t="s" s="0">
        <v>81</v>
      </c>
      <c r="Q643" t="s" s="0">
        <v>87</v>
      </c>
      <c r="R643" t="s" s="0">
        <v>81</v>
      </c>
      <c r="S643" t="s" s="0">
        <v>81</v>
      </c>
      <c r="T643" t="s" s="0">
        <v>81</v>
      </c>
      <c r="U643" t="s" s="0">
        <v>81</v>
      </c>
      <c r="V643" t="s" s="0">
        <v>14206</v>
      </c>
      <c r="W643" t="s" s="0">
        <v>9164</v>
      </c>
      <c r="X643" t="s" s="0">
        <v>81</v>
      </c>
      <c r="Y643" t="s" s="0">
        <v>81</v>
      </c>
      <c r="Z643" t="s" s="0">
        <v>90</v>
      </c>
      <c r="AA643" t="s" s="0">
        <v>91</v>
      </c>
      <c r="AB643" t="s" s="0">
        <v>81</v>
      </c>
      <c r="AC643" t="s" s="0">
        <v>81</v>
      </c>
      <c r="AD643" t="s" s="0">
        <v>81</v>
      </c>
      <c r="AE643" t="s" s="0">
        <v>81</v>
      </c>
      <c r="AF643" t="s" s="0">
        <v>81</v>
      </c>
      <c r="AG643" t="s" s="0">
        <v>14207</v>
      </c>
      <c r="AH643" t="s" s="0">
        <v>81</v>
      </c>
      <c r="AI643" t="s" s="0">
        <v>81</v>
      </c>
      <c r="AJ643" t="s" s="0">
        <v>14208</v>
      </c>
      <c r="AK643" t="s" s="0">
        <v>81</v>
      </c>
      <c r="AL643" t="s" s="0">
        <v>697</v>
      </c>
      <c r="AM643" t="s" s="0">
        <v>77</v>
      </c>
      <c r="AN643" t="s" s="0">
        <v>97</v>
      </c>
      <c r="AO643" t="s" s="0">
        <v>191</v>
      </c>
      <c r="AP643" t="s" s="0">
        <v>191</v>
      </c>
      <c r="AQ643" t="s" s="0">
        <v>177</v>
      </c>
      <c r="AR643" t="s" s="0">
        <v>178</v>
      </c>
      <c r="AS643" t="s" s="0">
        <v>179</v>
      </c>
      <c r="AT643" t="s" s="0">
        <v>9167</v>
      </c>
      <c r="AU643" t="s" s="0">
        <v>9168</v>
      </c>
      <c r="AV643" t="s" s="0">
        <v>81</v>
      </c>
      <c r="AW643" t="s" s="0">
        <v>9169</v>
      </c>
      <c r="AX643" t="s" s="0">
        <v>9170</v>
      </c>
      <c r="AY643" t="s" s="0">
        <v>143</v>
      </c>
      <c r="AZ643" t="s" s="0">
        <v>103</v>
      </c>
      <c r="BA643" t="s" s="0">
        <v>2296</v>
      </c>
      <c r="BB643" t="s" s="0">
        <v>81</v>
      </c>
      <c r="BC643" t="s" s="0">
        <v>81</v>
      </c>
      <c r="BD643" t="s" s="0">
        <v>81</v>
      </c>
      <c r="BE643" t="s" s="0">
        <v>81</v>
      </c>
      <c r="BF643" t="s" s="0">
        <v>81</v>
      </c>
      <c r="BG643" t="s" s="0">
        <v>81</v>
      </c>
      <c r="BH643" t="s" s="0">
        <v>81</v>
      </c>
      <c r="BI643" t="s" s="0">
        <v>14209</v>
      </c>
      <c r="BJ643" t="s" s="0">
        <v>14210</v>
      </c>
      <c r="BK643" t="s" s="1277">
        <f>HYPERLINK("http://dx.doi.org/10.1016/j.nepr.2026.104756","http://dx.doi.org/10.1016/j.nepr.2026.104756")</f>
        <v>14211</v>
      </c>
      <c r="BL643" t="s" s="0">
        <v>81</v>
      </c>
      <c r="BM643" t="s" s="0">
        <v>2108</v>
      </c>
      <c r="BN643" t="s" s="0">
        <v>134</v>
      </c>
      <c r="BO643" t="s" s="0">
        <v>5034</v>
      </c>
      <c r="BP643" t="s" s="0">
        <v>5034</v>
      </c>
      <c r="BQ643" t="s" s="0">
        <v>14212</v>
      </c>
      <c r="BR643" t="s" s="0">
        <v>14213</v>
      </c>
      <c r="BS643" t="s" s="0">
        <v>14214</v>
      </c>
      <c r="BT643" t="s" s="1278">
        <f>HYPERLINK("https://www.webofscience.com/wos/woscc/full-record/WOS:001686550400001","View Record in Web of Science")</f>
        <v>114</v>
      </c>
      <c r="BU643" t="s" s="0">
        <v>81</v>
      </c>
      <c r="BV643" t="s" s="0">
        <v>81</v>
      </c>
      <c r="BW643" t="s" s="0">
        <v>81</v>
      </c>
      <c r="BX643" t="s" s="0">
        <v>116</v>
      </c>
    </row>
    <row r="644">
      <c r="A644" t="s" s="0">
        <v>77</v>
      </c>
      <c r="B644" t="s" s="0">
        <v>77</v>
      </c>
      <c r="C644" t="s" s="0">
        <v>77</v>
      </c>
      <c r="D644" t="s" s="0">
        <v>77</v>
      </c>
      <c r="E644" t="s" s="0">
        <v>14215</v>
      </c>
      <c r="F644" t="s" s="0">
        <v>14216</v>
      </c>
      <c r="G644" t="s" s="0">
        <v>14217</v>
      </c>
      <c r="H644" t="s" s="0">
        <v>81</v>
      </c>
      <c r="I644" t="s" s="0">
        <v>528</v>
      </c>
      <c r="J644" t="s" s="0">
        <v>14218</v>
      </c>
      <c r="K644" t="s" s="0">
        <v>14219</v>
      </c>
      <c r="L644" t="s" s="0">
        <v>14220</v>
      </c>
      <c r="M644" t="s" s="0">
        <v>14221</v>
      </c>
      <c r="N644" t="s" s="0">
        <v>14222</v>
      </c>
      <c r="O644" t="s" s="0">
        <v>14223</v>
      </c>
      <c r="P644" t="s" s="0">
        <v>14224</v>
      </c>
      <c r="Q644" t="s" s="0">
        <v>87</v>
      </c>
      <c r="R644" t="s" s="0">
        <v>81</v>
      </c>
      <c r="S644" t="s" s="0">
        <v>81</v>
      </c>
      <c r="T644" t="s" s="0">
        <v>81</v>
      </c>
      <c r="U644" t="s" s="0">
        <v>81</v>
      </c>
      <c r="V644" t="s" s="0">
        <v>14225</v>
      </c>
      <c r="W644" t="s" s="0">
        <v>4472</v>
      </c>
      <c r="X644" t="s" s="0">
        <v>81</v>
      </c>
      <c r="Y644" t="s" s="0">
        <v>81</v>
      </c>
      <c r="Z644" t="s" s="0">
        <v>90</v>
      </c>
      <c r="AA644" t="s" s="0">
        <v>91</v>
      </c>
      <c r="AB644" t="s" s="0">
        <v>81</v>
      </c>
      <c r="AC644" t="s" s="0">
        <v>81</v>
      </c>
      <c r="AD644" t="s" s="0">
        <v>81</v>
      </c>
      <c r="AE644" t="s" s="0">
        <v>81</v>
      </c>
      <c r="AF644" t="s" s="0">
        <v>81</v>
      </c>
      <c r="AG644" t="s" s="0">
        <v>14226</v>
      </c>
      <c r="AH644" t="s" s="0">
        <v>81</v>
      </c>
      <c r="AI644" t="s" s="0">
        <v>14227</v>
      </c>
      <c r="AJ644" t="s" s="0">
        <v>14228</v>
      </c>
      <c r="AK644" t="s" s="0">
        <v>81</v>
      </c>
      <c r="AL644" t="s" s="0">
        <v>399</v>
      </c>
      <c r="AM644" t="s" s="0">
        <v>77</v>
      </c>
      <c r="AN644" t="s" s="0">
        <v>77</v>
      </c>
      <c r="AO644" t="s" s="0">
        <v>925</v>
      </c>
      <c r="AP644" t="s" s="0">
        <v>925</v>
      </c>
      <c r="AQ644" t="s" s="0">
        <v>284</v>
      </c>
      <c r="AR644" t="s" s="0">
        <v>285</v>
      </c>
      <c r="AS644" t="s" s="0">
        <v>286</v>
      </c>
      <c r="AT644" t="s" s="0">
        <v>81</v>
      </c>
      <c r="AU644" t="s" s="0">
        <v>4476</v>
      </c>
      <c r="AV644" t="s" s="0">
        <v>81</v>
      </c>
      <c r="AW644" t="s" s="0">
        <v>4477</v>
      </c>
      <c r="AX644" t="s" s="0">
        <v>4478</v>
      </c>
      <c r="AY644" t="s" s="0">
        <v>14229</v>
      </c>
      <c r="AZ644" t="s" s="0">
        <v>103</v>
      </c>
      <c r="BA644" t="s" s="0">
        <v>104</v>
      </c>
      <c r="BB644" t="s" s="0">
        <v>175</v>
      </c>
      <c r="BC644" t="s" s="0">
        <v>81</v>
      </c>
      <c r="BD644" t="s" s="0">
        <v>81</v>
      </c>
      <c r="BE644" t="s" s="0">
        <v>81</v>
      </c>
      <c r="BF644" t="s" s="0">
        <v>81</v>
      </c>
      <c r="BG644" t="s" s="0">
        <v>81</v>
      </c>
      <c r="BH644" t="s" s="0">
        <v>81</v>
      </c>
      <c r="BI644" t="s" s="0">
        <v>2858</v>
      </c>
      <c r="BJ644" t="s" s="0">
        <v>14230</v>
      </c>
      <c r="BK644" t="s" s="1279">
        <f>HYPERLINK("http://dx.doi.org/10.3390/healthcare14040506","http://dx.doi.org/10.3390/healthcare14040506")</f>
        <v>14231</v>
      </c>
      <c r="BL644" t="s" s="0">
        <v>81</v>
      </c>
      <c r="BM644" t="s" s="0">
        <v>81</v>
      </c>
      <c r="BN644" t="s" s="0">
        <v>486</v>
      </c>
      <c r="BO644" t="s" s="0">
        <v>4481</v>
      </c>
      <c r="BP644" t="s" s="0">
        <v>4482</v>
      </c>
      <c r="BQ644" t="s" s="0">
        <v>14232</v>
      </c>
      <c r="BR644" t="s" s="0">
        <v>14233</v>
      </c>
      <c r="BS644" t="s" s="0">
        <v>14234</v>
      </c>
      <c r="BT644" t="s" s="1280">
        <f>HYPERLINK("https://www.webofscience.com/wos/woscc/full-record/WOS:001700201300001","View Record in Web of Science")</f>
        <v>114</v>
      </c>
      <c r="BU644" t="s" s="0">
        <v>6488</v>
      </c>
      <c r="BV644" t="s" s="0">
        <v>81</v>
      </c>
      <c r="BW644" t="s" s="0">
        <v>81</v>
      </c>
      <c r="BX644" t="s" s="0">
        <v>116</v>
      </c>
    </row>
    <row r="645">
      <c r="A645" t="s" s="0">
        <v>77</v>
      </c>
      <c r="B645" t="s" s="0">
        <v>77</v>
      </c>
      <c r="C645" t="s" s="0">
        <v>77</v>
      </c>
      <c r="D645" t="s" s="0">
        <v>77</v>
      </c>
      <c r="E645" t="s" s="0">
        <v>14235</v>
      </c>
      <c r="F645" t="s" s="0">
        <v>14236</v>
      </c>
      <c r="G645" t="s" s="0">
        <v>14237</v>
      </c>
      <c r="H645" t="s" s="0">
        <v>81</v>
      </c>
      <c r="I645" t="s" s="0">
        <v>238</v>
      </c>
      <c r="J645" t="s" s="0">
        <v>14238</v>
      </c>
      <c r="K645" t="s" s="0">
        <v>14239</v>
      </c>
      <c r="L645" t="s" s="0">
        <v>4346</v>
      </c>
      <c r="M645" t="s" s="0">
        <v>4346</v>
      </c>
      <c r="N645" t="s" s="0">
        <v>14240</v>
      </c>
      <c r="O645" t="s" s="0">
        <v>14241</v>
      </c>
      <c r="P645" t="s" s="0">
        <v>14242</v>
      </c>
      <c r="Q645" t="s" s="0">
        <v>87</v>
      </c>
      <c r="R645" t="s" s="0">
        <v>81</v>
      </c>
      <c r="S645" t="s" s="0">
        <v>81</v>
      </c>
      <c r="T645" t="s" s="0">
        <v>81</v>
      </c>
      <c r="U645" t="s" s="0">
        <v>81</v>
      </c>
      <c r="V645" t="s" s="0">
        <v>14243</v>
      </c>
      <c r="W645" t="s" s="0">
        <v>5713</v>
      </c>
      <c r="X645" t="s" s="0">
        <v>81</v>
      </c>
      <c r="Y645" t="s" s="0">
        <v>81</v>
      </c>
      <c r="Z645" t="s" s="0">
        <v>90</v>
      </c>
      <c r="AA645" t="s" s="0">
        <v>91</v>
      </c>
      <c r="AB645" t="s" s="0">
        <v>81</v>
      </c>
      <c r="AC645" t="s" s="0">
        <v>81</v>
      </c>
      <c r="AD645" t="s" s="0">
        <v>81</v>
      </c>
      <c r="AE645" t="s" s="0">
        <v>81</v>
      </c>
      <c r="AF645" t="s" s="0">
        <v>81</v>
      </c>
      <c r="AG645" t="s" s="0">
        <v>14244</v>
      </c>
      <c r="AH645" t="s" s="0">
        <v>340</v>
      </c>
      <c r="AI645" t="s" s="0">
        <v>14245</v>
      </c>
      <c r="AJ645" t="s" s="0">
        <v>81</v>
      </c>
      <c r="AK645" t="s" s="0">
        <v>81</v>
      </c>
      <c r="AL645" t="s" s="0">
        <v>173</v>
      </c>
      <c r="AM645" t="s" s="0">
        <v>77</v>
      </c>
      <c r="AN645" t="s" s="0">
        <v>77</v>
      </c>
      <c r="AO645" t="s" s="0">
        <v>156</v>
      </c>
      <c r="AP645" t="s" s="0">
        <v>156</v>
      </c>
      <c r="AQ645" t="s" s="0">
        <v>284</v>
      </c>
      <c r="AR645" t="s" s="0">
        <v>285</v>
      </c>
      <c r="AS645" t="s" s="0">
        <v>286</v>
      </c>
      <c r="AT645" t="s" s="0">
        <v>81</v>
      </c>
      <c r="AU645" t="s" s="0">
        <v>5717</v>
      </c>
      <c r="AV645" t="s" s="0">
        <v>81</v>
      </c>
      <c r="AW645" t="s" s="0">
        <v>5713</v>
      </c>
      <c r="AX645" t="s" s="0">
        <v>5718</v>
      </c>
      <c r="AY645" t="s" s="0">
        <v>1322</v>
      </c>
      <c r="AZ645" t="s" s="0">
        <v>103</v>
      </c>
      <c r="BA645" t="s" s="0">
        <v>222</v>
      </c>
      <c r="BB645" t="s" s="0">
        <v>196</v>
      </c>
      <c r="BC645" t="s" s="0">
        <v>81</v>
      </c>
      <c r="BD645" t="s" s="0">
        <v>81</v>
      </c>
      <c r="BE645" t="s" s="0">
        <v>81</v>
      </c>
      <c r="BF645" t="s" s="0">
        <v>81</v>
      </c>
      <c r="BG645" t="s" s="0">
        <v>81</v>
      </c>
      <c r="BH645" t="s" s="0">
        <v>81</v>
      </c>
      <c r="BI645" t="s" s="0">
        <v>9541</v>
      </c>
      <c r="BJ645" t="s" s="0">
        <v>14246</v>
      </c>
      <c r="BK645" t="s" s="1281">
        <f>HYPERLINK("http://dx.doi.org/10.3390/info17030227","http://dx.doi.org/10.3390/info17030227")</f>
        <v>14247</v>
      </c>
      <c r="BL645" t="s" s="0">
        <v>81</v>
      </c>
      <c r="BM645" t="s" s="0">
        <v>81</v>
      </c>
      <c r="BN645" t="s" s="0">
        <v>925</v>
      </c>
      <c r="BO645" t="s" s="0">
        <v>5722</v>
      </c>
      <c r="BP645" t="s" s="0">
        <v>152</v>
      </c>
      <c r="BQ645" t="s" s="0">
        <v>14248</v>
      </c>
      <c r="BR645" t="s" s="0">
        <v>81</v>
      </c>
      <c r="BS645" t="s" s="0">
        <v>14249</v>
      </c>
      <c r="BT645" t="s" s="1282">
        <f>HYPERLINK("https://www.webofscience.com/wos/woscc/full-record/WOS:001725649000001","View Record in Web of Science")</f>
        <v>114</v>
      </c>
      <c r="BU645" t="s" s="0">
        <v>301</v>
      </c>
      <c r="BV645" t="s" s="0">
        <v>81</v>
      </c>
      <c r="BW645" t="s" s="0">
        <v>81</v>
      </c>
      <c r="BX645" t="s" s="0">
        <v>116</v>
      </c>
    </row>
    <row r="646">
      <c r="A646" t="s" s="0">
        <v>77</v>
      </c>
      <c r="B646" t="s" s="0">
        <v>77</v>
      </c>
      <c r="C646" t="s" s="0">
        <v>77</v>
      </c>
      <c r="D646" t="s" s="0">
        <v>77</v>
      </c>
      <c r="E646" t="s" s="0">
        <v>14250</v>
      </c>
      <c r="F646" t="s" s="0">
        <v>14251</v>
      </c>
      <c r="G646" t="s" s="0">
        <v>14252</v>
      </c>
      <c r="H646" t="s" s="0">
        <v>81</v>
      </c>
      <c r="I646" t="s" s="0">
        <v>82</v>
      </c>
      <c r="J646" t="s" s="0">
        <v>14253</v>
      </c>
      <c r="K646" t="s" s="0">
        <v>14254</v>
      </c>
      <c r="L646" t="s" s="0">
        <v>81</v>
      </c>
      <c r="M646" t="s" s="0">
        <v>81</v>
      </c>
      <c r="N646" t="s" s="0">
        <v>14255</v>
      </c>
      <c r="O646" t="s" s="0">
        <v>14256</v>
      </c>
      <c r="P646" t="s" s="0">
        <v>14257</v>
      </c>
      <c r="Q646" t="s" s="0">
        <v>87</v>
      </c>
      <c r="R646" t="s" s="0">
        <v>81</v>
      </c>
      <c r="S646" t="s" s="0">
        <v>81</v>
      </c>
      <c r="T646" t="s" s="0">
        <v>81</v>
      </c>
      <c r="U646" t="s" s="0">
        <v>81</v>
      </c>
      <c r="V646" t="s" s="0">
        <v>14258</v>
      </c>
      <c r="W646" t="s" s="0">
        <v>14259</v>
      </c>
      <c r="X646" t="s" s="0">
        <v>81</v>
      </c>
      <c r="Y646" t="s" s="0">
        <v>81</v>
      </c>
      <c r="Z646" t="s" s="0">
        <v>90</v>
      </c>
      <c r="AA646" t="s" s="0">
        <v>91</v>
      </c>
      <c r="AB646" t="s" s="0">
        <v>81</v>
      </c>
      <c r="AC646" t="s" s="0">
        <v>81</v>
      </c>
      <c r="AD646" t="s" s="0">
        <v>81</v>
      </c>
      <c r="AE646" t="s" s="0">
        <v>81</v>
      </c>
      <c r="AF646" t="s" s="0">
        <v>81</v>
      </c>
      <c r="AG646" t="s" s="0">
        <v>14260</v>
      </c>
      <c r="AH646" t="s" s="0">
        <v>81</v>
      </c>
      <c r="AI646" t="s" s="0">
        <v>14261</v>
      </c>
      <c r="AJ646" t="s" s="0">
        <v>81</v>
      </c>
      <c r="AK646" t="s" s="0">
        <v>81</v>
      </c>
      <c r="AL646" t="s" s="0">
        <v>253</v>
      </c>
      <c r="AM646" t="s" s="0">
        <v>77</v>
      </c>
      <c r="AN646" t="s" s="0">
        <v>77</v>
      </c>
      <c r="AO646" t="s" s="0">
        <v>77</v>
      </c>
      <c r="AP646" t="s" s="0">
        <v>77</v>
      </c>
      <c r="AQ646" t="s" s="0">
        <v>14262</v>
      </c>
      <c r="AR646" t="s" s="0">
        <v>14263</v>
      </c>
      <c r="AS646" t="s" s="0">
        <v>14264</v>
      </c>
      <c r="AT646" t="s" s="0">
        <v>14265</v>
      </c>
      <c r="AU646" t="s" s="0">
        <v>14266</v>
      </c>
      <c r="AV646" t="s" s="0">
        <v>81</v>
      </c>
      <c r="AW646" t="s" s="0">
        <v>14267</v>
      </c>
      <c r="AX646" t="s" s="0">
        <v>14268</v>
      </c>
      <c r="AY646" t="s" s="0">
        <v>103</v>
      </c>
      <c r="AZ646" t="s" s="0">
        <v>103</v>
      </c>
      <c r="BA646" t="s" s="0">
        <v>176</v>
      </c>
      <c r="BB646" t="s" s="0">
        <v>81</v>
      </c>
      <c r="BC646" t="s" s="0">
        <v>81</v>
      </c>
      <c r="BD646" t="s" s="0">
        <v>81</v>
      </c>
      <c r="BE646" t="s" s="0">
        <v>81</v>
      </c>
      <c r="BF646" t="s" s="0">
        <v>81</v>
      </c>
      <c r="BG646" t="s" s="0">
        <v>81</v>
      </c>
      <c r="BH646" t="s" s="0">
        <v>81</v>
      </c>
      <c r="BI646" t="s" s="0">
        <v>14269</v>
      </c>
      <c r="BJ646" t="s" s="0">
        <v>14270</v>
      </c>
      <c r="BK646" t="s" s="1283">
        <f>HYPERLINK("http://dx.doi.org/10.22034/ircmj.2026.554222.2521","http://dx.doi.org/10.22034/ircmj.2026.554222.2521")</f>
        <v>14271</v>
      </c>
      <c r="BL646" t="s" s="0">
        <v>81</v>
      </c>
      <c r="BM646" t="s" s="0">
        <v>81</v>
      </c>
      <c r="BN646" t="s" s="0">
        <v>234</v>
      </c>
      <c r="BO646" t="s" s="0">
        <v>296</v>
      </c>
      <c r="BP646" t="s" s="0">
        <v>297</v>
      </c>
      <c r="BQ646" t="s" s="0">
        <v>14272</v>
      </c>
      <c r="BR646" t="s" s="0">
        <v>81</v>
      </c>
      <c r="BS646" t="s" s="0">
        <v>14273</v>
      </c>
      <c r="BT646" t="s" s="1284">
        <f>HYPERLINK("https://www.webofscience.com/wos/woscc/full-record/WOS:001824562300001","View Record in Web of Science")</f>
        <v>114</v>
      </c>
      <c r="BU646" t="s" s="0">
        <v>81</v>
      </c>
      <c r="BV646" t="s" s="0">
        <v>81</v>
      </c>
      <c r="BW646" t="s" s="0">
        <v>81</v>
      </c>
      <c r="BX646" t="s" s="0">
        <v>116</v>
      </c>
    </row>
    <row r="647">
      <c r="A647" t="s" s="0">
        <v>77</v>
      </c>
      <c r="B647" t="s" s="0">
        <v>77</v>
      </c>
      <c r="C647" t="s" s="0">
        <v>77</v>
      </c>
      <c r="D647" t="s" s="0">
        <v>77</v>
      </c>
      <c r="E647" t="s" s="0">
        <v>14274</v>
      </c>
      <c r="F647" t="s" s="0">
        <v>14275</v>
      </c>
      <c r="G647" t="s" s="0">
        <v>14276</v>
      </c>
      <c r="H647" t="s" s="0">
        <v>81</v>
      </c>
      <c r="I647" t="s" s="0">
        <v>238</v>
      </c>
      <c r="J647" t="s" s="0">
        <v>14277</v>
      </c>
      <c r="K647" t="s" s="0">
        <v>14278</v>
      </c>
      <c r="L647" t="s" s="0">
        <v>14279</v>
      </c>
      <c r="M647" t="s" s="0">
        <v>14280</v>
      </c>
      <c r="N647" t="s" s="0">
        <v>14281</v>
      </c>
      <c r="O647" t="s" s="0">
        <v>14282</v>
      </c>
      <c r="P647" t="s" s="0">
        <v>14283</v>
      </c>
      <c r="Q647" t="s" s="0">
        <v>87</v>
      </c>
      <c r="R647" t="s" s="0">
        <v>81</v>
      </c>
      <c r="S647" t="s" s="0">
        <v>81</v>
      </c>
      <c r="T647" t="s" s="0">
        <v>81</v>
      </c>
      <c r="U647" t="s" s="0">
        <v>81</v>
      </c>
      <c r="V647" t="s" s="0">
        <v>14284</v>
      </c>
      <c r="W647" t="s" s="0">
        <v>7986</v>
      </c>
      <c r="X647" t="s" s="0">
        <v>81</v>
      </c>
      <c r="Y647" t="s" s="0">
        <v>81</v>
      </c>
      <c r="Z647" t="s" s="0">
        <v>90</v>
      </c>
      <c r="AA647" t="s" s="0">
        <v>91</v>
      </c>
      <c r="AB647" t="s" s="0">
        <v>81</v>
      </c>
      <c r="AC647" t="s" s="0">
        <v>81</v>
      </c>
      <c r="AD647" t="s" s="0">
        <v>81</v>
      </c>
      <c r="AE647" t="s" s="0">
        <v>81</v>
      </c>
      <c r="AF647" t="s" s="0">
        <v>81</v>
      </c>
      <c r="AG647" t="s" s="0">
        <v>14285</v>
      </c>
      <c r="AH647" t="s" s="0">
        <v>14286</v>
      </c>
      <c r="AI647" t="s" s="0">
        <v>81</v>
      </c>
      <c r="AJ647" t="s" s="0">
        <v>81</v>
      </c>
      <c r="AK647" t="s" s="0">
        <v>81</v>
      </c>
      <c r="AL647" t="s" s="0">
        <v>2447</v>
      </c>
      <c r="AM647" t="s" s="0">
        <v>77</v>
      </c>
      <c r="AN647" t="s" s="0">
        <v>77</v>
      </c>
      <c r="AO647" t="s" s="0">
        <v>175</v>
      </c>
      <c r="AP647" t="s" s="0">
        <v>175</v>
      </c>
      <c r="AQ647" t="s" s="0">
        <v>3061</v>
      </c>
      <c r="AR647" t="s" s="0">
        <v>3062</v>
      </c>
      <c r="AS647" t="s" s="0">
        <v>3063</v>
      </c>
      <c r="AT647" t="s" s="0">
        <v>7991</v>
      </c>
      <c r="AU647" t="s" s="0">
        <v>81</v>
      </c>
      <c r="AV647" t="s" s="0">
        <v>81</v>
      </c>
      <c r="AW647" t="s" s="0">
        <v>7992</v>
      </c>
      <c r="AX647" t="s" s="0">
        <v>7993</v>
      </c>
      <c r="AY647" t="s" s="0">
        <v>103</v>
      </c>
      <c r="AZ647" t="s" s="0">
        <v>103</v>
      </c>
      <c r="BA647" t="s" s="0">
        <v>486</v>
      </c>
      <c r="BB647" t="s" s="0">
        <v>81</v>
      </c>
      <c r="BC647" t="s" s="0">
        <v>81</v>
      </c>
      <c r="BD647" t="s" s="0">
        <v>81</v>
      </c>
      <c r="BE647" t="s" s="0">
        <v>81</v>
      </c>
      <c r="BF647" t="s" s="0">
        <v>81</v>
      </c>
      <c r="BG647" t="s" s="0">
        <v>81</v>
      </c>
      <c r="BH647" t="s" s="0">
        <v>81</v>
      </c>
      <c r="BI647" t="s" s="0">
        <v>14287</v>
      </c>
      <c r="BJ647" t="s" s="0">
        <v>14288</v>
      </c>
      <c r="BK647" t="s" s="1285">
        <f>HYPERLINK("http://dx.doi.org/10.2196/89005","http://dx.doi.org/10.2196/89005")</f>
        <v>14289</v>
      </c>
      <c r="BL647" t="s" s="0">
        <v>81</v>
      </c>
      <c r="BM647" t="s" s="0">
        <v>81</v>
      </c>
      <c r="BN647" t="s" s="0">
        <v>874</v>
      </c>
      <c r="BO647" t="s" s="0">
        <v>792</v>
      </c>
      <c r="BP647" t="s" s="0">
        <v>792</v>
      </c>
      <c r="BQ647" t="s" s="0">
        <v>14290</v>
      </c>
      <c r="BR647" t="s" s="0">
        <v>14291</v>
      </c>
      <c r="BS647" t="s" s="0">
        <v>14292</v>
      </c>
      <c r="BT647" t="s" s="1286">
        <f>HYPERLINK("https://www.webofscience.com/wos/woscc/full-record/WOS:001782328100001","View Record in Web of Science")</f>
        <v>114</v>
      </c>
      <c r="BU647" t="s" s="0">
        <v>301</v>
      </c>
      <c r="BV647" t="s" s="0">
        <v>81</v>
      </c>
      <c r="BW647" t="s" s="0">
        <v>81</v>
      </c>
      <c r="BX647" t="s" s="0">
        <v>116</v>
      </c>
    </row>
    <row r="648">
      <c r="A648" t="s" s="0">
        <v>77</v>
      </c>
      <c r="B648" t="s" s="0">
        <v>77</v>
      </c>
      <c r="C648" t="s" s="0">
        <v>77</v>
      </c>
      <c r="D648" t="s" s="0">
        <v>77</v>
      </c>
      <c r="E648" t="s" s="0">
        <v>14293</v>
      </c>
      <c r="F648" t="s" s="0">
        <v>14294</v>
      </c>
      <c r="G648" t="s" s="0">
        <v>14295</v>
      </c>
      <c r="H648" t="s" s="0">
        <v>81</v>
      </c>
      <c r="I648" t="s" s="0">
        <v>82</v>
      </c>
      <c r="J648" t="s" s="0">
        <v>14296</v>
      </c>
      <c r="K648" t="s" s="0">
        <v>14297</v>
      </c>
      <c r="L648" t="s" s="0">
        <v>14298</v>
      </c>
      <c r="M648" t="s" s="0">
        <v>14298</v>
      </c>
      <c r="N648" t="s" s="0">
        <v>7004</v>
      </c>
      <c r="O648" t="s" s="0">
        <v>14299</v>
      </c>
      <c r="P648" t="s" s="0">
        <v>14300</v>
      </c>
      <c r="Q648" t="s" s="0">
        <v>87</v>
      </c>
      <c r="R648" t="s" s="0">
        <v>81</v>
      </c>
      <c r="S648" t="s" s="0">
        <v>81</v>
      </c>
      <c r="T648" t="s" s="0">
        <v>81</v>
      </c>
      <c r="U648" t="s" s="0">
        <v>81</v>
      </c>
      <c r="V648" t="s" s="0">
        <v>14301</v>
      </c>
      <c r="W648" t="s" s="0">
        <v>14302</v>
      </c>
      <c r="X648" t="s" s="0">
        <v>81</v>
      </c>
      <c r="Y648" t="s" s="0">
        <v>81</v>
      </c>
      <c r="Z648" t="s" s="0">
        <v>90</v>
      </c>
      <c r="AA648" t="s" s="0">
        <v>1581</v>
      </c>
      <c r="AB648" t="s" s="0">
        <v>81</v>
      </c>
      <c r="AC648" t="s" s="0">
        <v>81</v>
      </c>
      <c r="AD648" t="s" s="0">
        <v>81</v>
      </c>
      <c r="AE648" t="s" s="0">
        <v>81</v>
      </c>
      <c r="AF648" t="s" s="0">
        <v>81</v>
      </c>
      <c r="AG648" t="s" s="0">
        <v>14303</v>
      </c>
      <c r="AH648" t="s" s="0">
        <v>81</v>
      </c>
      <c r="AI648" t="s" s="0">
        <v>14304</v>
      </c>
      <c r="AJ648" t="s" s="0">
        <v>14305</v>
      </c>
      <c r="AK648" t="s" s="0">
        <v>81</v>
      </c>
      <c r="AL648" t="s" s="0">
        <v>405</v>
      </c>
      <c r="AM648" t="s" s="0">
        <v>77</v>
      </c>
      <c r="AN648" t="s" s="0">
        <v>77</v>
      </c>
      <c r="AO648" t="s" s="0">
        <v>77</v>
      </c>
      <c r="AP648" t="s" s="0">
        <v>77</v>
      </c>
      <c r="AQ648" t="s" s="0">
        <v>2208</v>
      </c>
      <c r="AR648" t="s" s="0">
        <v>2209</v>
      </c>
      <c r="AS648" t="s" s="0">
        <v>2252</v>
      </c>
      <c r="AT648" t="s" s="0">
        <v>14306</v>
      </c>
      <c r="AU648" t="s" s="0">
        <v>14307</v>
      </c>
      <c r="AV648" t="s" s="0">
        <v>81</v>
      </c>
      <c r="AW648" t="s" s="0">
        <v>14308</v>
      </c>
      <c r="AX648" t="s" s="0">
        <v>14309</v>
      </c>
      <c r="AY648" t="s" s="0">
        <v>81</v>
      </c>
      <c r="AZ648" t="s" s="0">
        <v>103</v>
      </c>
      <c r="BA648" t="s" s="0">
        <v>81</v>
      </c>
      <c r="BB648" t="s" s="0">
        <v>81</v>
      </c>
      <c r="BC648" t="s" s="0">
        <v>81</v>
      </c>
      <c r="BD648" t="s" s="0">
        <v>81</v>
      </c>
      <c r="BE648" t="s" s="0">
        <v>81</v>
      </c>
      <c r="BF648" t="s" s="0">
        <v>81</v>
      </c>
      <c r="BG648" t="s" s="0">
        <v>81</v>
      </c>
      <c r="BH648" t="s" s="0">
        <v>81</v>
      </c>
      <c r="BI648" t="s" s="0">
        <v>81</v>
      </c>
      <c r="BJ648" t="s" s="0">
        <v>14310</v>
      </c>
      <c r="BK648" t="s" s="1287">
        <f>HYPERLINK("http://dx.doi.org/10.1007/s00066-026-02575-4","http://dx.doi.org/10.1007/s00066-026-02575-4")</f>
        <v>14311</v>
      </c>
      <c r="BL648" t="s" s="0">
        <v>81</v>
      </c>
      <c r="BM648" t="s" s="0">
        <v>3366</v>
      </c>
      <c r="BN648" t="s" s="0">
        <v>486</v>
      </c>
      <c r="BO648" t="s" s="0">
        <v>7128</v>
      </c>
      <c r="BP648" t="s" s="0">
        <v>7128</v>
      </c>
      <c r="BQ648" t="s" s="0">
        <v>14312</v>
      </c>
      <c r="BR648" t="s" s="0">
        <v>14313</v>
      </c>
      <c r="BS648" t="s" s="0">
        <v>14314</v>
      </c>
      <c r="BT648" t="s" s="1288">
        <f>HYPERLINK("https://www.webofscience.com/wos/woscc/full-record/WOS:001827552300001","View Record in Web of Science")</f>
        <v>114</v>
      </c>
      <c r="BU648" t="s" s="0">
        <v>155</v>
      </c>
      <c r="BV648" t="s" s="0">
        <v>81</v>
      </c>
      <c r="BW648" t="s" s="0">
        <v>81</v>
      </c>
      <c r="BX648" t="s" s="0">
        <v>116</v>
      </c>
    </row>
    <row r="649">
      <c r="A649" t="s" s="0">
        <v>77</v>
      </c>
      <c r="B649" t="s" s="0">
        <v>77</v>
      </c>
      <c r="C649" t="s" s="0">
        <v>77</v>
      </c>
      <c r="D649" t="s" s="0">
        <v>77</v>
      </c>
      <c r="E649" t="s" s="0">
        <v>14315</v>
      </c>
      <c r="F649" t="s" s="0">
        <v>14316</v>
      </c>
      <c r="G649" t="s" s="0">
        <v>14317</v>
      </c>
      <c r="H649" t="s" s="0">
        <v>81</v>
      </c>
      <c r="I649" t="s" s="0">
        <v>82</v>
      </c>
      <c r="J649" t="s" s="0">
        <v>14318</v>
      </c>
      <c r="K649" t="s" s="0">
        <v>14319</v>
      </c>
      <c r="L649" t="s" s="0">
        <v>360</v>
      </c>
      <c r="M649" t="s" s="0">
        <v>12576</v>
      </c>
      <c r="N649" t="s" s="0">
        <v>14320</v>
      </c>
      <c r="O649" t="s" s="0">
        <v>14321</v>
      </c>
      <c r="P649" t="s" s="0">
        <v>360</v>
      </c>
      <c r="Q649" t="s" s="0">
        <v>87</v>
      </c>
      <c r="R649" t="s" s="0">
        <v>81</v>
      </c>
      <c r="S649" t="s" s="0">
        <v>81</v>
      </c>
      <c r="T649" t="s" s="0">
        <v>81</v>
      </c>
      <c r="U649" t="s" s="0">
        <v>81</v>
      </c>
      <c r="V649" t="s" s="0">
        <v>14322</v>
      </c>
      <c r="W649" t="s" s="0">
        <v>8356</v>
      </c>
      <c r="X649" t="s" s="0">
        <v>81</v>
      </c>
      <c r="Y649" t="s" s="0">
        <v>81</v>
      </c>
      <c r="Z649" t="s" s="0">
        <v>90</v>
      </c>
      <c r="AA649" t="s" s="0">
        <v>91</v>
      </c>
      <c r="AB649" t="s" s="0">
        <v>81</v>
      </c>
      <c r="AC649" t="s" s="0">
        <v>81</v>
      </c>
      <c r="AD649" t="s" s="0">
        <v>81</v>
      </c>
      <c r="AE649" t="s" s="0">
        <v>81</v>
      </c>
      <c r="AF649" t="s" s="0">
        <v>81</v>
      </c>
      <c r="AG649" t="s" s="0">
        <v>14323</v>
      </c>
      <c r="AH649" t="s" s="0">
        <v>14324</v>
      </c>
      <c r="AI649" t="s" s="0">
        <v>14325</v>
      </c>
      <c r="AJ649" t="s" s="0">
        <v>81</v>
      </c>
      <c r="AK649" t="s" s="0">
        <v>81</v>
      </c>
      <c r="AL649" t="s" s="0">
        <v>10556</v>
      </c>
      <c r="AM649" t="s" s="0">
        <v>77</v>
      </c>
      <c r="AN649" t="s" s="0">
        <v>77</v>
      </c>
      <c r="AO649" t="s" s="0">
        <v>97</v>
      </c>
      <c r="AP649" t="s" s="0">
        <v>97</v>
      </c>
      <c r="AQ649" t="s" s="0">
        <v>284</v>
      </c>
      <c r="AR649" t="s" s="0">
        <v>285</v>
      </c>
      <c r="AS649" t="s" s="0">
        <v>286</v>
      </c>
      <c r="AT649" t="s" s="0">
        <v>81</v>
      </c>
      <c r="AU649" t="s" s="0">
        <v>8359</v>
      </c>
      <c r="AV649" t="s" s="0">
        <v>81</v>
      </c>
      <c r="AW649" t="s" s="0">
        <v>8360</v>
      </c>
      <c r="AX649" t="s" s="0">
        <v>8361</v>
      </c>
      <c r="AY649" t="s" s="0">
        <v>3366</v>
      </c>
      <c r="AZ649" t="s" s="0">
        <v>103</v>
      </c>
      <c r="BA649" t="s" s="0">
        <v>228</v>
      </c>
      <c r="BB649" t="s" s="0">
        <v>486</v>
      </c>
      <c r="BC649" t="s" s="0">
        <v>81</v>
      </c>
      <c r="BD649" t="s" s="0">
        <v>81</v>
      </c>
      <c r="BE649" t="s" s="0">
        <v>81</v>
      </c>
      <c r="BF649" t="s" s="0">
        <v>81</v>
      </c>
      <c r="BG649" t="s" s="0">
        <v>81</v>
      </c>
      <c r="BH649" t="s" s="0">
        <v>81</v>
      </c>
      <c r="BI649" t="s" s="0">
        <v>14326</v>
      </c>
      <c r="BJ649" t="s" s="0">
        <v>14327</v>
      </c>
      <c r="BK649" t="s" s="1289">
        <f>HYPERLINK("http://dx.doi.org/10.3390/s26134247","http://dx.doi.org/10.3390/s26134247")</f>
        <v>14328</v>
      </c>
      <c r="BL649" t="s" s="0">
        <v>81</v>
      </c>
      <c r="BM649" t="s" s="0">
        <v>81</v>
      </c>
      <c r="BN649" t="s" s="0">
        <v>3518</v>
      </c>
      <c r="BO649" t="s" s="0">
        <v>8365</v>
      </c>
      <c r="BP649" t="s" s="0">
        <v>8366</v>
      </c>
      <c r="BQ649" t="s" s="0">
        <v>14329</v>
      </c>
      <c r="BR649" t="s" s="0">
        <v>14330</v>
      </c>
      <c r="BS649" t="s" s="0">
        <v>14331</v>
      </c>
      <c r="BT649" t="s" s="1290">
        <f>HYPERLINK("https://www.webofscience.com/wos/woscc/full-record/WOS:001817897200001","View Record in Web of Science")</f>
        <v>114</v>
      </c>
      <c r="BU649" t="s" s="0">
        <v>301</v>
      </c>
      <c r="BV649" t="s" s="0">
        <v>81</v>
      </c>
      <c r="BW649" t="s" s="0">
        <v>81</v>
      </c>
      <c r="BX649" t="s" s="0">
        <v>116</v>
      </c>
    </row>
    <row r="650">
      <c r="A650" t="s" s="0">
        <v>77</v>
      </c>
      <c r="B650" t="s" s="0">
        <v>77</v>
      </c>
      <c r="C650" t="s" s="0">
        <v>77</v>
      </c>
      <c r="D650" t="s" s="0">
        <v>77</v>
      </c>
      <c r="E650" t="s" s="0">
        <v>14332</v>
      </c>
      <c r="F650" t="s" s="0">
        <v>14333</v>
      </c>
      <c r="G650" t="s" s="0">
        <v>14334</v>
      </c>
      <c r="H650" t="s" s="0">
        <v>81</v>
      </c>
      <c r="I650" t="s" s="0">
        <v>82</v>
      </c>
      <c r="J650" t="s" s="0">
        <v>14335</v>
      </c>
      <c r="K650" t="s" s="0">
        <v>14336</v>
      </c>
      <c r="L650" t="s" s="0">
        <v>14337</v>
      </c>
      <c r="M650" t="s" s="0">
        <v>14338</v>
      </c>
      <c r="N650" t="s" s="0">
        <v>14339</v>
      </c>
      <c r="O650" t="s" s="0">
        <v>14340</v>
      </c>
      <c r="P650" t="s" s="0">
        <v>14341</v>
      </c>
      <c r="Q650" t="s" s="0">
        <v>87</v>
      </c>
      <c r="R650" t="s" s="0">
        <v>81</v>
      </c>
      <c r="S650" t="s" s="0">
        <v>81</v>
      </c>
      <c r="T650" t="s" s="0">
        <v>81</v>
      </c>
      <c r="U650" t="s" s="0">
        <v>81</v>
      </c>
      <c r="V650" t="s" s="0">
        <v>14342</v>
      </c>
      <c r="W650" t="s" s="0">
        <v>9118</v>
      </c>
      <c r="X650" t="s" s="0">
        <v>81</v>
      </c>
      <c r="Y650" t="s" s="0">
        <v>81</v>
      </c>
      <c r="Z650" t="s" s="0">
        <v>90</v>
      </c>
      <c r="AA650" t="s" s="0">
        <v>91</v>
      </c>
      <c r="AB650" t="s" s="0">
        <v>81</v>
      </c>
      <c r="AC650" t="s" s="0">
        <v>81</v>
      </c>
      <c r="AD650" t="s" s="0">
        <v>81</v>
      </c>
      <c r="AE650" t="s" s="0">
        <v>81</v>
      </c>
      <c r="AF650" t="s" s="0">
        <v>81</v>
      </c>
      <c r="AG650" t="s" s="0">
        <v>14343</v>
      </c>
      <c r="AH650" t="s" s="0">
        <v>81</v>
      </c>
      <c r="AI650" t="s" s="0">
        <v>14344</v>
      </c>
      <c r="AJ650" t="s" s="0">
        <v>81</v>
      </c>
      <c r="AK650" t="s" s="0">
        <v>81</v>
      </c>
      <c r="AL650" t="s" s="0">
        <v>543</v>
      </c>
      <c r="AM650" t="s" s="0">
        <v>133</v>
      </c>
      <c r="AN650" t="s" s="0">
        <v>381</v>
      </c>
      <c r="AO650" t="s" s="0">
        <v>156</v>
      </c>
      <c r="AP650" t="s" s="0">
        <v>175</v>
      </c>
      <c r="AQ650" t="s" s="0">
        <v>136</v>
      </c>
      <c r="AR650" t="s" s="0">
        <v>137</v>
      </c>
      <c r="AS650" t="s" s="0">
        <v>138</v>
      </c>
      <c r="AT650" t="s" s="0">
        <v>9123</v>
      </c>
      <c r="AU650" t="s" s="0">
        <v>9124</v>
      </c>
      <c r="AV650" t="s" s="0">
        <v>81</v>
      </c>
      <c r="AW650" t="s" s="0">
        <v>9125</v>
      </c>
      <c r="AX650" t="s" s="0">
        <v>9126</v>
      </c>
      <c r="AY650" t="s" s="0">
        <v>615</v>
      </c>
      <c r="AZ650" t="s" s="0">
        <v>290</v>
      </c>
      <c r="BA650" t="s" s="0">
        <v>14345</v>
      </c>
      <c r="BB650" t="s" s="0">
        <v>81</v>
      </c>
      <c r="BC650" t="s" s="0">
        <v>81</v>
      </c>
      <c r="BD650" t="s" s="0">
        <v>81</v>
      </c>
      <c r="BE650" t="s" s="0">
        <v>81</v>
      </c>
      <c r="BF650" t="s" s="0">
        <v>81</v>
      </c>
      <c r="BG650" t="s" s="0">
        <v>81</v>
      </c>
      <c r="BH650" t="s" s="0">
        <v>81</v>
      </c>
      <c r="BI650" t="s" s="0">
        <v>14346</v>
      </c>
      <c r="BJ650" t="s" s="0">
        <v>14347</v>
      </c>
      <c r="BK650" t="s" s="1291">
        <f>HYPERLINK("http://dx.doi.org/10.1016/j.imavis.2025.105553","http://dx.doi.org/10.1016/j.imavis.2025.105553")</f>
        <v>14348</v>
      </c>
      <c r="BL650" t="s" s="0">
        <v>81</v>
      </c>
      <c r="BM650" t="s" s="0">
        <v>1029</v>
      </c>
      <c r="BN650" t="s" s="0">
        <v>134</v>
      </c>
      <c r="BO650" t="s" s="0">
        <v>9131</v>
      </c>
      <c r="BP650" t="s" s="0">
        <v>9132</v>
      </c>
      <c r="BQ650" t="s" s="0">
        <v>14349</v>
      </c>
      <c r="BR650" t="s" s="0">
        <v>81</v>
      </c>
      <c r="BS650" t="s" s="0">
        <v>14350</v>
      </c>
      <c r="BT650" t="s" s="1292">
        <f>HYPERLINK("https://www.webofscience.com/wos/woscc/full-record/WOS:001475824700001","View Record in Web of Science")</f>
        <v>114</v>
      </c>
      <c r="BU650" t="s" s="0">
        <v>81</v>
      </c>
      <c r="BV650" t="s" s="0">
        <v>81</v>
      </c>
      <c r="BW650" t="s" s="0">
        <v>81</v>
      </c>
      <c r="BX650" t="s" s="0">
        <v>116</v>
      </c>
    </row>
    <row r="651">
      <c r="A651" t="s" s="0">
        <v>77</v>
      </c>
      <c r="B651" t="s" s="0">
        <v>77</v>
      </c>
      <c r="C651" t="s" s="0">
        <v>97</v>
      </c>
      <c r="D651" t="s" s="0">
        <v>77</v>
      </c>
      <c r="E651" t="s" s="0">
        <v>14351</v>
      </c>
      <c r="F651" t="s" s="0">
        <v>14352</v>
      </c>
      <c r="G651" t="s" s="0">
        <v>14353</v>
      </c>
      <c r="H651" t="s" s="0">
        <v>81</v>
      </c>
      <c r="I651" t="s" s="0">
        <v>82</v>
      </c>
      <c r="J651" t="s" s="0">
        <v>14354</v>
      </c>
      <c r="K651" t="s" s="0">
        <v>14355</v>
      </c>
      <c r="L651" t="s" s="0">
        <v>14356</v>
      </c>
      <c r="M651" t="s" s="0">
        <v>14357</v>
      </c>
      <c r="N651" t="s" s="0">
        <v>14358</v>
      </c>
      <c r="O651" t="s" s="0">
        <v>14359</v>
      </c>
      <c r="P651" t="s" s="0">
        <v>14360</v>
      </c>
      <c r="Q651" t="s" s="0">
        <v>87</v>
      </c>
      <c r="R651" t="s" s="0">
        <v>81</v>
      </c>
      <c r="S651" t="s" s="0">
        <v>81</v>
      </c>
      <c r="T651" t="s" s="0">
        <v>81</v>
      </c>
      <c r="U651" t="s" s="0">
        <v>81</v>
      </c>
      <c r="V651" t="s" s="0">
        <v>14361</v>
      </c>
      <c r="W651" t="s" s="0">
        <v>4424</v>
      </c>
      <c r="X651" t="s" s="0">
        <v>81</v>
      </c>
      <c r="Y651" t="s" s="0">
        <v>81</v>
      </c>
      <c r="Z651" t="s" s="0">
        <v>90</v>
      </c>
      <c r="AA651" t="s" s="0">
        <v>91</v>
      </c>
      <c r="AB651" t="s" s="0">
        <v>81</v>
      </c>
      <c r="AC651" t="s" s="0">
        <v>81</v>
      </c>
      <c r="AD651" t="s" s="0">
        <v>81</v>
      </c>
      <c r="AE651" t="s" s="0">
        <v>81</v>
      </c>
      <c r="AF651" t="s" s="0">
        <v>81</v>
      </c>
      <c r="AG651" t="s" s="0">
        <v>81</v>
      </c>
      <c r="AH651" t="s" s="0">
        <v>14362</v>
      </c>
      <c r="AI651" t="s" s="0">
        <v>14363</v>
      </c>
      <c r="AJ651" t="s" s="0">
        <v>81</v>
      </c>
      <c r="AK651" t="s" s="0">
        <v>81</v>
      </c>
      <c r="AL651" t="s" s="0">
        <v>2877</v>
      </c>
      <c r="AM651" t="s" s="0">
        <v>316</v>
      </c>
      <c r="AN651" t="s" s="0">
        <v>234</v>
      </c>
      <c r="AO651" t="s" s="0">
        <v>228</v>
      </c>
      <c r="AP651" t="s" s="0">
        <v>2447</v>
      </c>
      <c r="AQ651" t="s" s="0">
        <v>915</v>
      </c>
      <c r="AR651" t="s" s="0">
        <v>916</v>
      </c>
      <c r="AS651" t="s" s="0">
        <v>917</v>
      </c>
      <c r="AT651" t="s" s="0">
        <v>4426</v>
      </c>
      <c r="AU651" t="s" s="0">
        <v>81</v>
      </c>
      <c r="AV651" t="s" s="0">
        <v>81</v>
      </c>
      <c r="AW651" t="s" s="0">
        <v>4427</v>
      </c>
      <c r="AX651" t="s" s="0">
        <v>4428</v>
      </c>
      <c r="AY651" t="s" s="0">
        <v>1489</v>
      </c>
      <c r="AZ651" t="s" s="0">
        <v>290</v>
      </c>
      <c r="BA651" t="s" s="0">
        <v>381</v>
      </c>
      <c r="BB651" t="s" s="0">
        <v>97</v>
      </c>
      <c r="BC651" t="s" s="0">
        <v>81</v>
      </c>
      <c r="BD651" t="s" s="0">
        <v>81</v>
      </c>
      <c r="BE651" t="s" s="0">
        <v>81</v>
      </c>
      <c r="BF651" t="s" s="0">
        <v>81</v>
      </c>
      <c r="BG651" t="s" s="0">
        <v>81</v>
      </c>
      <c r="BH651" t="s" s="0">
        <v>81</v>
      </c>
      <c r="BI651" t="s" s="0">
        <v>14364</v>
      </c>
      <c r="BJ651" t="s" s="0">
        <v>14365</v>
      </c>
      <c r="BK651" t="s" s="1293">
        <f>HYPERLINK("http://dx.doi.org/10.1038/s41746-025-01976-6","http://dx.doi.org/10.1038/s41746-025-01976-6")</f>
        <v>14366</v>
      </c>
      <c r="BL651" t="s" s="0">
        <v>81</v>
      </c>
      <c r="BM651" t="s" s="0">
        <v>81</v>
      </c>
      <c r="BN651" t="s" s="0">
        <v>134</v>
      </c>
      <c r="BO651" t="s" s="0">
        <v>792</v>
      </c>
      <c r="BP651" t="s" s="0">
        <v>792</v>
      </c>
      <c r="BQ651" t="s" s="0">
        <v>14367</v>
      </c>
      <c r="BR651" t="s" s="0">
        <v>14368</v>
      </c>
      <c r="BS651" t="s" s="0">
        <v>14369</v>
      </c>
      <c r="BT651" t="s" s="1294">
        <f>HYPERLINK("https://www.webofscience.com/wos/woscc/full-record/WOS:001585619900001","View Record in Web of Science")</f>
        <v>114</v>
      </c>
      <c r="BU651" t="s" s="0">
        <v>301</v>
      </c>
      <c r="BV651" t="s" s="0">
        <v>81</v>
      </c>
      <c r="BW651" t="s" s="0">
        <v>81</v>
      </c>
      <c r="BX651" t="s" s="0">
        <v>116</v>
      </c>
    </row>
    <row r="652">
      <c r="A652" t="s" s="0">
        <v>97</v>
      </c>
      <c r="B652" t="s" s="0">
        <v>77</v>
      </c>
      <c r="C652" t="s" s="0">
        <v>77</v>
      </c>
      <c r="D652" t="s" s="0">
        <v>77</v>
      </c>
      <c r="E652" t="s" s="0">
        <v>14370</v>
      </c>
      <c r="F652" t="s" s="0">
        <v>14371</v>
      </c>
      <c r="G652" t="s" s="0">
        <v>14372</v>
      </c>
      <c r="H652" t="s" s="0">
        <v>81</v>
      </c>
      <c r="I652" t="s" s="0">
        <v>528</v>
      </c>
      <c r="J652" t="s" s="0">
        <v>14373</v>
      </c>
      <c r="K652" t="s" s="0">
        <v>14374</v>
      </c>
      <c r="L652" t="s" s="0">
        <v>14375</v>
      </c>
      <c r="M652" t="s" s="0">
        <v>1850</v>
      </c>
      <c r="N652" t="s" s="0">
        <v>14376</v>
      </c>
      <c r="O652" t="s" s="0">
        <v>14377</v>
      </c>
      <c r="P652" t="s" s="0">
        <v>14378</v>
      </c>
      <c r="Q652" t="s" s="0">
        <v>87</v>
      </c>
      <c r="R652" t="s" s="0">
        <v>81</v>
      </c>
      <c r="S652" t="s" s="0">
        <v>81</v>
      </c>
      <c r="T652" t="s" s="0">
        <v>81</v>
      </c>
      <c r="U652" t="s" s="0">
        <v>81</v>
      </c>
      <c r="V652" t="s" s="0">
        <v>14379</v>
      </c>
      <c r="W652" t="s" s="0">
        <v>14380</v>
      </c>
      <c r="X652" t="s" s="0">
        <v>81</v>
      </c>
      <c r="Y652" t="s" s="0">
        <v>81</v>
      </c>
      <c r="Z652" t="s" s="0">
        <v>90</v>
      </c>
      <c r="AA652" t="s" s="0">
        <v>91</v>
      </c>
      <c r="AB652" t="s" s="0">
        <v>81</v>
      </c>
      <c r="AC652" t="s" s="0">
        <v>81</v>
      </c>
      <c r="AD652" t="s" s="0">
        <v>81</v>
      </c>
      <c r="AE652" t="s" s="0">
        <v>81</v>
      </c>
      <c r="AF652" t="s" s="0">
        <v>81</v>
      </c>
      <c r="AG652" t="s" s="0">
        <v>14381</v>
      </c>
      <c r="AH652" t="s" s="0">
        <v>14382</v>
      </c>
      <c r="AI652" t="s" s="0">
        <v>14383</v>
      </c>
      <c r="AJ652" t="s" s="0">
        <v>14384</v>
      </c>
      <c r="AK652" t="s" s="0">
        <v>81</v>
      </c>
      <c r="AL652" t="s" s="0">
        <v>782</v>
      </c>
      <c r="AM652" t="s" s="0">
        <v>176</v>
      </c>
      <c r="AN652" t="s" s="0">
        <v>150</v>
      </c>
      <c r="AO652" t="s" s="0">
        <v>251</v>
      </c>
      <c r="AP652" t="s" s="0">
        <v>8974</v>
      </c>
      <c r="AQ652" t="s" s="0">
        <v>665</v>
      </c>
      <c r="AR652" t="s" s="0">
        <v>546</v>
      </c>
      <c r="AS652" t="s" s="0">
        <v>666</v>
      </c>
      <c r="AT652" t="s" s="0">
        <v>14385</v>
      </c>
      <c r="AU652" t="s" s="0">
        <v>81</v>
      </c>
      <c r="AV652" t="s" s="0">
        <v>81</v>
      </c>
      <c r="AW652" t="s" s="0">
        <v>14386</v>
      </c>
      <c r="AX652" t="s" s="0">
        <v>14387</v>
      </c>
      <c r="AY652" t="s" s="0">
        <v>5008</v>
      </c>
      <c r="AZ652" t="s" s="0">
        <v>290</v>
      </c>
      <c r="BA652" t="s" s="0">
        <v>434</v>
      </c>
      <c r="BB652" t="s" s="0">
        <v>97</v>
      </c>
      <c r="BC652" t="s" s="0">
        <v>81</v>
      </c>
      <c r="BD652" t="s" s="0">
        <v>81</v>
      </c>
      <c r="BE652" t="s" s="0">
        <v>81</v>
      </c>
      <c r="BF652" t="s" s="0">
        <v>81</v>
      </c>
      <c r="BG652" t="s" s="0">
        <v>81</v>
      </c>
      <c r="BH652" t="s" s="0">
        <v>81</v>
      </c>
      <c r="BI652" t="s" s="0">
        <v>14388</v>
      </c>
      <c r="BJ652" t="s" s="0">
        <v>14389</v>
      </c>
      <c r="BK652" t="s" s="1295">
        <f>HYPERLINK("http://dx.doi.org/10.1186/s12912-025-03458-2","http://dx.doi.org/10.1186/s12912-025-03458-2")</f>
        <v>14390</v>
      </c>
      <c r="BL652" t="s" s="0">
        <v>81</v>
      </c>
      <c r="BM652" t="s" s="0">
        <v>81</v>
      </c>
      <c r="BN652" t="s" s="0">
        <v>925</v>
      </c>
      <c r="BO652" t="s" s="0">
        <v>5034</v>
      </c>
      <c r="BP652" t="s" s="0">
        <v>5034</v>
      </c>
      <c r="BQ652" t="s" s="0">
        <v>14391</v>
      </c>
      <c r="BR652" t="s" s="0">
        <v>14392</v>
      </c>
      <c r="BS652" t="s" s="0">
        <v>14393</v>
      </c>
      <c r="BT652" t="s" s="1296">
        <f>HYPERLINK("https://www.webofscience.com/wos/woscc/full-record/WOS:001522903000017","View Record in Web of Science")</f>
        <v>114</v>
      </c>
      <c r="BU652" t="s" s="0">
        <v>301</v>
      </c>
      <c r="BV652" t="s" s="0">
        <v>2886</v>
      </c>
      <c r="BW652" t="s" s="0">
        <v>2887</v>
      </c>
      <c r="BX652" t="s" s="0">
        <v>116</v>
      </c>
    </row>
    <row r="653">
      <c r="A653" t="s" s="0">
        <v>77</v>
      </c>
      <c r="B653" t="s" s="0">
        <v>77</v>
      </c>
      <c r="C653" t="s" s="0">
        <v>77</v>
      </c>
      <c r="D653" t="s" s="0">
        <v>77</v>
      </c>
      <c r="E653" t="s" s="0">
        <v>14394</v>
      </c>
      <c r="F653" t="s" s="0">
        <v>14395</v>
      </c>
      <c r="G653" t="s" s="0">
        <v>14396</v>
      </c>
      <c r="H653" t="s" s="0">
        <v>81</v>
      </c>
      <c r="I653" t="s" s="0">
        <v>82</v>
      </c>
      <c r="J653" t="s" s="0">
        <v>14397</v>
      </c>
      <c r="K653" t="s" s="0">
        <v>14398</v>
      </c>
      <c r="L653" t="s" s="0">
        <v>14399</v>
      </c>
      <c r="M653" t="s" s="0">
        <v>14400</v>
      </c>
      <c r="N653" t="s" s="0">
        <v>14401</v>
      </c>
      <c r="O653" t="s" s="0">
        <v>14402</v>
      </c>
      <c r="P653" t="s" s="0">
        <v>14403</v>
      </c>
      <c r="Q653" t="s" s="0">
        <v>87</v>
      </c>
      <c r="R653" t="s" s="0">
        <v>81</v>
      </c>
      <c r="S653" t="s" s="0">
        <v>81</v>
      </c>
      <c r="T653" t="s" s="0">
        <v>81</v>
      </c>
      <c r="U653" t="s" s="0">
        <v>81</v>
      </c>
      <c r="V653" t="s" s="0">
        <v>14404</v>
      </c>
      <c r="W653" t="s" s="0">
        <v>3106</v>
      </c>
      <c r="X653" t="s" s="0">
        <v>81</v>
      </c>
      <c r="Y653" t="s" s="0">
        <v>81</v>
      </c>
      <c r="Z653" t="s" s="0">
        <v>90</v>
      </c>
      <c r="AA653" t="s" s="0">
        <v>91</v>
      </c>
      <c r="AB653" t="s" s="0">
        <v>81</v>
      </c>
      <c r="AC653" t="s" s="0">
        <v>81</v>
      </c>
      <c r="AD653" t="s" s="0">
        <v>81</v>
      </c>
      <c r="AE653" t="s" s="0">
        <v>81</v>
      </c>
      <c r="AF653" t="s" s="0">
        <v>81</v>
      </c>
      <c r="AG653" t="s" s="0">
        <v>14405</v>
      </c>
      <c r="AH653" t="s" s="0">
        <v>81</v>
      </c>
      <c r="AI653" t="s" s="0">
        <v>14406</v>
      </c>
      <c r="AJ653" t="s" s="0">
        <v>81</v>
      </c>
      <c r="AK653" t="s" s="0">
        <v>81</v>
      </c>
      <c r="AL653" t="s" s="0">
        <v>925</v>
      </c>
      <c r="AM653" t="s" s="0">
        <v>77</v>
      </c>
      <c r="AN653" t="s" s="0">
        <v>77</v>
      </c>
      <c r="AO653" t="s" s="0">
        <v>77</v>
      </c>
      <c r="AP653" t="s" s="0">
        <v>77</v>
      </c>
      <c r="AQ653" t="s" s="0">
        <v>136</v>
      </c>
      <c r="AR653" t="s" s="0">
        <v>137</v>
      </c>
      <c r="AS653" t="s" s="0">
        <v>138</v>
      </c>
      <c r="AT653" t="s" s="0">
        <v>3111</v>
      </c>
      <c r="AU653" t="s" s="0">
        <v>3112</v>
      </c>
      <c r="AV653" t="s" s="0">
        <v>81</v>
      </c>
      <c r="AW653" t="s" s="0">
        <v>3106</v>
      </c>
      <c r="AX653" t="s" s="0">
        <v>3113</v>
      </c>
      <c r="AY653" t="s" s="0">
        <v>14407</v>
      </c>
      <c r="AZ653" t="s" s="0">
        <v>103</v>
      </c>
      <c r="BA653" t="s" s="0">
        <v>14408</v>
      </c>
      <c r="BB653" t="s" s="0">
        <v>81</v>
      </c>
      <c r="BC653" t="s" s="0">
        <v>81</v>
      </c>
      <c r="BD653" t="s" s="0">
        <v>81</v>
      </c>
      <c r="BE653" t="s" s="0">
        <v>81</v>
      </c>
      <c r="BF653" t="s" s="0">
        <v>81</v>
      </c>
      <c r="BG653" t="s" s="0">
        <v>81</v>
      </c>
      <c r="BH653" t="s" s="0">
        <v>81</v>
      </c>
      <c r="BI653" t="s" s="0">
        <v>14409</v>
      </c>
      <c r="BJ653" t="s" s="0">
        <v>14410</v>
      </c>
      <c r="BK653" t="s" s="1297">
        <f>HYPERLINK("http://dx.doi.org/10.1016/j.neucom.2026.133868","http://dx.doi.org/10.1016/j.neucom.2026.133868")</f>
        <v>14411</v>
      </c>
      <c r="BL653" t="s" s="0">
        <v>81</v>
      </c>
      <c r="BM653" t="s" s="0">
        <v>81</v>
      </c>
      <c r="BN653" t="s" s="0">
        <v>134</v>
      </c>
      <c r="BO653" t="s" s="0">
        <v>409</v>
      </c>
      <c r="BP653" t="s" s="0">
        <v>152</v>
      </c>
      <c r="BQ653" t="s" s="0">
        <v>14412</v>
      </c>
      <c r="BR653" t="s" s="0">
        <v>81</v>
      </c>
      <c r="BS653" t="s" s="0">
        <v>14413</v>
      </c>
      <c r="BT653" t="s" s="1298">
        <f>HYPERLINK("https://www.webofscience.com/wos/woscc/full-record/WOS:001777182100001","View Record in Web of Science")</f>
        <v>114</v>
      </c>
      <c r="BU653" t="s" s="0">
        <v>1055</v>
      </c>
      <c r="BV653" t="s" s="0">
        <v>81</v>
      </c>
      <c r="BW653" t="s" s="0">
        <v>81</v>
      </c>
      <c r="BX653" t="s" s="0">
        <v>116</v>
      </c>
    </row>
    <row r="654">
      <c r="A654" t="s" s="0">
        <v>77</v>
      </c>
      <c r="B654" t="s" s="0">
        <v>77</v>
      </c>
      <c r="C654" t="s" s="0">
        <v>77</v>
      </c>
      <c r="D654" t="s" s="0">
        <v>77</v>
      </c>
      <c r="E654" t="s" s="0">
        <v>14414</v>
      </c>
      <c r="F654" t="s" s="0">
        <v>14415</v>
      </c>
      <c r="G654" t="s" s="0">
        <v>14416</v>
      </c>
      <c r="H654" t="s" s="0">
        <v>81</v>
      </c>
      <c r="I654" t="s" s="0">
        <v>238</v>
      </c>
      <c r="J654" t="s" s="0">
        <v>14417</v>
      </c>
      <c r="K654" t="s" s="0">
        <v>14418</v>
      </c>
      <c r="L654" t="s" s="0">
        <v>14419</v>
      </c>
      <c r="M654" t="s" s="0">
        <v>14419</v>
      </c>
      <c r="N654" t="s" s="0">
        <v>14420</v>
      </c>
      <c r="O654" t="s" s="0">
        <v>14421</v>
      </c>
      <c r="P654" t="s" s="0">
        <v>14422</v>
      </c>
      <c r="Q654" t="s" s="0">
        <v>87</v>
      </c>
      <c r="R654" t="s" s="0">
        <v>81</v>
      </c>
      <c r="S654" t="s" s="0">
        <v>81</v>
      </c>
      <c r="T654" t="s" s="0">
        <v>81</v>
      </c>
      <c r="U654" t="s" s="0">
        <v>81</v>
      </c>
      <c r="V654" t="s" s="0">
        <v>14423</v>
      </c>
      <c r="W654" t="s" s="0">
        <v>1416</v>
      </c>
      <c r="X654" t="s" s="0">
        <v>81</v>
      </c>
      <c r="Y654" t="s" s="0">
        <v>81</v>
      </c>
      <c r="Z654" t="s" s="0">
        <v>90</v>
      </c>
      <c r="AA654" t="s" s="0">
        <v>91</v>
      </c>
      <c r="AB654" t="s" s="0">
        <v>81</v>
      </c>
      <c r="AC654" t="s" s="0">
        <v>81</v>
      </c>
      <c r="AD654" t="s" s="0">
        <v>81</v>
      </c>
      <c r="AE654" t="s" s="0">
        <v>81</v>
      </c>
      <c r="AF654" t="s" s="0">
        <v>81</v>
      </c>
      <c r="AG654" t="s" s="0">
        <v>14424</v>
      </c>
      <c r="AH654" t="s" s="0">
        <v>81</v>
      </c>
      <c r="AI654" t="s" s="0">
        <v>14425</v>
      </c>
      <c r="AJ654" t="s" s="0">
        <v>81</v>
      </c>
      <c r="AK654" t="s" s="0">
        <v>81</v>
      </c>
      <c r="AL654" t="s" s="0">
        <v>819</v>
      </c>
      <c r="AM654" t="s" s="0">
        <v>97</v>
      </c>
      <c r="AN654" t="s" s="0">
        <v>97</v>
      </c>
      <c r="AO654" t="s" s="0">
        <v>97</v>
      </c>
      <c r="AP654" t="s" s="0">
        <v>97</v>
      </c>
      <c r="AQ654" t="s" s="0">
        <v>368</v>
      </c>
      <c r="AR654" t="s" s="0">
        <v>369</v>
      </c>
      <c r="AS654" t="s" s="0">
        <v>370</v>
      </c>
      <c r="AT654" t="s" s="0">
        <v>81</v>
      </c>
      <c r="AU654" t="s" s="0">
        <v>1421</v>
      </c>
      <c r="AV654" t="s" s="0">
        <v>81</v>
      </c>
      <c r="AW654" t="s" s="0">
        <v>1422</v>
      </c>
      <c r="AX654" t="s" s="0">
        <v>1423</v>
      </c>
      <c r="AY654" t="s" s="0">
        <v>13701</v>
      </c>
      <c r="AZ654" t="s" s="0">
        <v>103</v>
      </c>
      <c r="BA654" t="s" s="0">
        <v>381</v>
      </c>
      <c r="BB654" t="s" s="0">
        <v>81</v>
      </c>
      <c r="BC654" t="s" s="0">
        <v>81</v>
      </c>
      <c r="BD654" t="s" s="0">
        <v>81</v>
      </c>
      <c r="BE654" t="s" s="0">
        <v>81</v>
      </c>
      <c r="BF654" t="s" s="0">
        <v>81</v>
      </c>
      <c r="BG654" t="s" s="0">
        <v>81</v>
      </c>
      <c r="BH654" t="s" s="0">
        <v>81</v>
      </c>
      <c r="BI654" t="s" s="0">
        <v>14426</v>
      </c>
      <c r="BJ654" t="s" s="0">
        <v>14427</v>
      </c>
      <c r="BK654" t="s" s="1299">
        <f>HYPERLINK("http://dx.doi.org/10.3389/fdgth.2026.1795488","http://dx.doi.org/10.3389/fdgth.2026.1795488")</f>
        <v>14428</v>
      </c>
      <c r="BL654" t="s" s="0">
        <v>81</v>
      </c>
      <c r="BM654" t="s" s="0">
        <v>948</v>
      </c>
      <c r="BN654" t="s" s="0">
        <v>134</v>
      </c>
      <c r="BO654" t="s" s="0">
        <v>792</v>
      </c>
      <c r="BP654" t="s" s="0">
        <v>792</v>
      </c>
      <c r="BQ654" t="s" s="0">
        <v>14429</v>
      </c>
      <c r="BR654" t="s" s="0">
        <v>14430</v>
      </c>
      <c r="BS654" t="s" s="0">
        <v>14431</v>
      </c>
      <c r="BT654" t="s" s="1300">
        <f>HYPERLINK("https://www.webofscience.com/wos/woscc/full-record/WOS:001753905300001","View Record in Web of Science")</f>
        <v>114</v>
      </c>
      <c r="BU654" t="s" s="0">
        <v>301</v>
      </c>
      <c r="BV654" t="s" s="0">
        <v>81</v>
      </c>
      <c r="BW654" t="s" s="0">
        <v>81</v>
      </c>
      <c r="BX654" t="s" s="0">
        <v>116</v>
      </c>
    </row>
    <row r="655">
      <c r="A655" t="s" s="0">
        <v>77</v>
      </c>
      <c r="B655" t="s" s="0">
        <v>77</v>
      </c>
      <c r="C655" t="s" s="0">
        <v>77</v>
      </c>
      <c r="D655" t="s" s="0">
        <v>77</v>
      </c>
      <c r="E655" t="s" s="0">
        <v>14432</v>
      </c>
      <c r="F655" t="s" s="0">
        <v>14433</v>
      </c>
      <c r="G655" t="s" s="0">
        <v>14434</v>
      </c>
      <c r="H655" t="s" s="0">
        <v>81</v>
      </c>
      <c r="I655" t="s" s="0">
        <v>82</v>
      </c>
      <c r="J655" t="s" s="0">
        <v>14435</v>
      </c>
      <c r="K655" t="s" s="0">
        <v>14436</v>
      </c>
      <c r="L655" t="s" s="0">
        <v>81</v>
      </c>
      <c r="M655" t="s" s="0">
        <v>81</v>
      </c>
      <c r="N655" t="s" s="0">
        <v>81</v>
      </c>
      <c r="O655" t="s" s="0">
        <v>14437</v>
      </c>
      <c r="P655" t="s" s="0">
        <v>14438</v>
      </c>
      <c r="Q655" t="s" s="0">
        <v>87</v>
      </c>
      <c r="R655" t="s" s="0">
        <v>81</v>
      </c>
      <c r="S655" t="s" s="0">
        <v>81</v>
      </c>
      <c r="T655" t="s" s="0">
        <v>81</v>
      </c>
      <c r="U655" t="s" s="0">
        <v>81</v>
      </c>
      <c r="V655" t="s" s="0">
        <v>14439</v>
      </c>
      <c r="W655" t="s" s="0">
        <v>14440</v>
      </c>
      <c r="X655" t="s" s="0">
        <v>81</v>
      </c>
      <c r="Y655" t="s" s="0">
        <v>81</v>
      </c>
      <c r="Z655" t="s" s="0">
        <v>90</v>
      </c>
      <c r="AA655" t="s" s="0">
        <v>91</v>
      </c>
      <c r="AB655" t="s" s="0">
        <v>81</v>
      </c>
      <c r="AC655" t="s" s="0">
        <v>81</v>
      </c>
      <c r="AD655" t="s" s="0">
        <v>81</v>
      </c>
      <c r="AE655" t="s" s="0">
        <v>81</v>
      </c>
      <c r="AF655" t="s" s="0">
        <v>81</v>
      </c>
      <c r="AG655" t="s" s="0">
        <v>14441</v>
      </c>
      <c r="AH655" t="s" s="0">
        <v>81</v>
      </c>
      <c r="AI655" t="s" s="0">
        <v>14442</v>
      </c>
      <c r="AJ655" t="s" s="0">
        <v>14443</v>
      </c>
      <c r="AK655" t="s" s="0">
        <v>81</v>
      </c>
      <c r="AL655" t="s" s="0">
        <v>4311</v>
      </c>
      <c r="AM655" t="s" s="0">
        <v>97</v>
      </c>
      <c r="AN655" t="s" s="0">
        <v>97</v>
      </c>
      <c r="AO655" t="s" s="0">
        <v>156</v>
      </c>
      <c r="AP655" t="s" s="0">
        <v>196</v>
      </c>
      <c r="AQ655" t="s" s="0">
        <v>2208</v>
      </c>
      <c r="AR655" t="s" s="0">
        <v>2209</v>
      </c>
      <c r="AS655" t="s" s="0">
        <v>2210</v>
      </c>
      <c r="AT655" t="s" s="0">
        <v>14444</v>
      </c>
      <c r="AU655" t="s" s="0">
        <v>14445</v>
      </c>
      <c r="AV655" t="s" s="0">
        <v>81</v>
      </c>
      <c r="AW655" t="s" s="0">
        <v>14446</v>
      </c>
      <c r="AX655" t="s" s="0">
        <v>14447</v>
      </c>
      <c r="AY655" t="s" s="0">
        <v>1940</v>
      </c>
      <c r="AZ655" t="s" s="0">
        <v>103</v>
      </c>
      <c r="BA655" t="s" s="0">
        <v>251</v>
      </c>
      <c r="BB655" t="s" s="0">
        <v>97</v>
      </c>
      <c r="BC655" t="s" s="0">
        <v>81</v>
      </c>
      <c r="BD655" t="s" s="0">
        <v>81</v>
      </c>
      <c r="BE655" t="s" s="0">
        <v>81</v>
      </c>
      <c r="BF655" t="s" s="0">
        <v>81</v>
      </c>
      <c r="BG655" t="s" s="0">
        <v>1047</v>
      </c>
      <c r="BH655" t="s" s="0">
        <v>14448</v>
      </c>
      <c r="BI655" t="s" s="0">
        <v>81</v>
      </c>
      <c r="BJ655" t="s" s="0">
        <v>14449</v>
      </c>
      <c r="BK655" t="s" s="1301">
        <f>HYPERLINK("http://dx.doi.org/10.1007/s11517-025-03436-5","http://dx.doi.org/10.1007/s11517-025-03436-5")</f>
        <v>14450</v>
      </c>
      <c r="BL655" t="s" s="0">
        <v>81</v>
      </c>
      <c r="BM655" t="s" s="0">
        <v>578</v>
      </c>
      <c r="BN655" t="s" s="0">
        <v>925</v>
      </c>
      <c r="BO655" t="s" s="0">
        <v>14451</v>
      </c>
      <c r="BP655" t="s" s="0">
        <v>14452</v>
      </c>
      <c r="BQ655" t="s" s="0">
        <v>14453</v>
      </c>
      <c r="BR655" t="s" s="0">
        <v>14454</v>
      </c>
      <c r="BS655" t="s" s="0">
        <v>14455</v>
      </c>
      <c r="BT655" t="s" s="1302">
        <f>HYPERLINK("https://www.webofscience.com/wos/woscc/full-record/WOS:001566202200001","View Record in Web of Science")</f>
        <v>114</v>
      </c>
      <c r="BU655" t="s" s="0">
        <v>81</v>
      </c>
      <c r="BV655" t="s" s="0">
        <v>81</v>
      </c>
      <c r="BW655" t="s" s="0">
        <v>81</v>
      </c>
      <c r="BX655" t="s" s="0">
        <v>116</v>
      </c>
    </row>
    <row r="656">
      <c r="A656" t="s" s="0">
        <v>77</v>
      </c>
      <c r="B656" t="s" s="0">
        <v>77</v>
      </c>
      <c r="C656" t="s" s="0">
        <v>77</v>
      </c>
      <c r="D656" t="s" s="0">
        <v>77</v>
      </c>
      <c r="E656" t="s" s="0">
        <v>14456</v>
      </c>
      <c r="F656" t="s" s="0">
        <v>14457</v>
      </c>
      <c r="G656" t="s" s="0">
        <v>14458</v>
      </c>
      <c r="H656" t="s" s="0">
        <v>81</v>
      </c>
      <c r="I656" t="s" s="0">
        <v>82</v>
      </c>
      <c r="J656" t="s" s="0">
        <v>14459</v>
      </c>
      <c r="K656" t="s" s="0">
        <v>14460</v>
      </c>
      <c r="L656" t="s" s="0">
        <v>14461</v>
      </c>
      <c r="M656" t="s" s="0">
        <v>14462</v>
      </c>
      <c r="N656" t="s" s="0">
        <v>14463</v>
      </c>
      <c r="O656" t="s" s="0">
        <v>14464</v>
      </c>
      <c r="P656" t="s" s="0">
        <v>14465</v>
      </c>
      <c r="Q656" t="s" s="0">
        <v>87</v>
      </c>
      <c r="R656" t="s" s="0">
        <v>81</v>
      </c>
      <c r="S656" t="s" s="0">
        <v>81</v>
      </c>
      <c r="T656" t="s" s="0">
        <v>81</v>
      </c>
      <c r="U656" t="s" s="0">
        <v>81</v>
      </c>
      <c r="V656" t="s" s="0">
        <v>14466</v>
      </c>
      <c r="W656" t="s" s="0">
        <v>1226</v>
      </c>
      <c r="X656" t="s" s="0">
        <v>81</v>
      </c>
      <c r="Y656" t="s" s="0">
        <v>81</v>
      </c>
      <c r="Z656" t="s" s="0">
        <v>90</v>
      </c>
      <c r="AA656" t="s" s="0">
        <v>91</v>
      </c>
      <c r="AB656" t="s" s="0">
        <v>81</v>
      </c>
      <c r="AC656" t="s" s="0">
        <v>81</v>
      </c>
      <c r="AD656" t="s" s="0">
        <v>81</v>
      </c>
      <c r="AE656" t="s" s="0">
        <v>81</v>
      </c>
      <c r="AF656" t="s" s="0">
        <v>81</v>
      </c>
      <c r="AG656" t="s" s="0">
        <v>14467</v>
      </c>
      <c r="AH656" t="s" s="0">
        <v>81</v>
      </c>
      <c r="AI656" t="s" s="0">
        <v>14468</v>
      </c>
      <c r="AJ656" t="s" s="0">
        <v>81</v>
      </c>
      <c r="AK656" t="s" s="0">
        <v>81</v>
      </c>
      <c r="AL656" t="s" s="0">
        <v>1635</v>
      </c>
      <c r="AM656" t="s" s="0">
        <v>77</v>
      </c>
      <c r="AN656" t="s" s="0">
        <v>77</v>
      </c>
      <c r="AO656" t="s" s="0">
        <v>77</v>
      </c>
      <c r="AP656" t="s" s="0">
        <v>77</v>
      </c>
      <c r="AQ656" t="s" s="0">
        <v>284</v>
      </c>
      <c r="AR656" t="s" s="0">
        <v>285</v>
      </c>
      <c r="AS656" t="s" s="0">
        <v>286</v>
      </c>
      <c r="AT656" t="s" s="0">
        <v>81</v>
      </c>
      <c r="AU656" t="s" s="0">
        <v>1230</v>
      </c>
      <c r="AV656" t="s" s="0">
        <v>81</v>
      </c>
      <c r="AW656" t="s" s="0">
        <v>1226</v>
      </c>
      <c r="AX656" t="s" s="0">
        <v>1231</v>
      </c>
      <c r="AY656" t="s" s="0">
        <v>7584</v>
      </c>
      <c r="AZ656" t="s" s="0">
        <v>103</v>
      </c>
      <c r="BA656" t="s" s="0">
        <v>486</v>
      </c>
      <c r="BB656" t="s" s="0">
        <v>133</v>
      </c>
      <c r="BC656" t="s" s="0">
        <v>81</v>
      </c>
      <c r="BD656" t="s" s="0">
        <v>81</v>
      </c>
      <c r="BE656" t="s" s="0">
        <v>81</v>
      </c>
      <c r="BF656" t="s" s="0">
        <v>81</v>
      </c>
      <c r="BG656" t="s" s="0">
        <v>81</v>
      </c>
      <c r="BH656" t="s" s="0">
        <v>81</v>
      </c>
      <c r="BI656" t="s" s="0">
        <v>14469</v>
      </c>
      <c r="BJ656" t="s" s="0">
        <v>14470</v>
      </c>
      <c r="BK656" t="s" s="1303">
        <f>HYPERLINK("http://dx.doi.org/10.3390/bioengineering13050588","http://dx.doi.org/10.3390/bioengineering13050588")</f>
        <v>14471</v>
      </c>
      <c r="BL656" t="s" s="0">
        <v>81</v>
      </c>
      <c r="BM656" t="s" s="0">
        <v>81</v>
      </c>
      <c r="BN656" t="s" s="0">
        <v>344</v>
      </c>
      <c r="BO656" t="s" s="0">
        <v>1236</v>
      </c>
      <c r="BP656" t="s" s="0">
        <v>1237</v>
      </c>
      <c r="BQ656" t="s" s="0">
        <v>14472</v>
      </c>
      <c r="BR656" t="s" s="0">
        <v>14473</v>
      </c>
      <c r="BS656" t="s" s="0">
        <v>14474</v>
      </c>
      <c r="BT656" t="s" s="1304">
        <f>HYPERLINK("https://www.webofscience.com/wos/woscc/full-record/WOS:001774930800001","View Record in Web of Science")</f>
        <v>114</v>
      </c>
      <c r="BU656" t="s" s="0">
        <v>301</v>
      </c>
      <c r="BV656" t="s" s="0">
        <v>81</v>
      </c>
      <c r="BW656" t="s" s="0">
        <v>81</v>
      </c>
      <c r="BX656" t="s" s="0">
        <v>116</v>
      </c>
    </row>
    <row r="657">
      <c r="A657" t="s" s="0">
        <v>77</v>
      </c>
      <c r="B657" t="s" s="0">
        <v>77</v>
      </c>
      <c r="C657" t="s" s="0">
        <v>77</v>
      </c>
      <c r="D657" t="s" s="0">
        <v>77</v>
      </c>
      <c r="E657" t="s" s="0">
        <v>14475</v>
      </c>
      <c r="F657" t="s" s="0">
        <v>14476</v>
      </c>
      <c r="G657" t="s" s="0">
        <v>14477</v>
      </c>
      <c r="H657" t="s" s="0">
        <v>81</v>
      </c>
      <c r="I657" t="s" s="0">
        <v>82</v>
      </c>
      <c r="J657" t="s" s="0">
        <v>14478</v>
      </c>
      <c r="K657" t="s" s="0">
        <v>14479</v>
      </c>
      <c r="L657" t="s" s="0">
        <v>14480</v>
      </c>
      <c r="M657" t="s" s="0">
        <v>14481</v>
      </c>
      <c r="N657" t="s" s="0">
        <v>14482</v>
      </c>
      <c r="O657" t="s" s="0">
        <v>14483</v>
      </c>
      <c r="P657" t="s" s="0">
        <v>14484</v>
      </c>
      <c r="Q657" t="s" s="0">
        <v>87</v>
      </c>
      <c r="R657" t="s" s="0">
        <v>81</v>
      </c>
      <c r="S657" t="s" s="0">
        <v>81</v>
      </c>
      <c r="T657" t="s" s="0">
        <v>81</v>
      </c>
      <c r="U657" t="s" s="0">
        <v>81</v>
      </c>
      <c r="V657" t="s" s="0">
        <v>14485</v>
      </c>
      <c r="W657" t="s" s="0">
        <v>910</v>
      </c>
      <c r="X657" t="s" s="0">
        <v>81</v>
      </c>
      <c r="Y657" t="s" s="0">
        <v>81</v>
      </c>
      <c r="Z657" t="s" s="0">
        <v>90</v>
      </c>
      <c r="AA657" t="s" s="0">
        <v>91</v>
      </c>
      <c r="AB657" t="s" s="0">
        <v>81</v>
      </c>
      <c r="AC657" t="s" s="0">
        <v>81</v>
      </c>
      <c r="AD657" t="s" s="0">
        <v>81</v>
      </c>
      <c r="AE657" t="s" s="0">
        <v>81</v>
      </c>
      <c r="AF657" t="s" s="0">
        <v>81</v>
      </c>
      <c r="AG657" t="s" s="0">
        <v>14486</v>
      </c>
      <c r="AH657" t="s" s="0">
        <v>3108</v>
      </c>
      <c r="AI657" t="s" s="0">
        <v>14487</v>
      </c>
      <c r="AJ657" t="s" s="0">
        <v>14488</v>
      </c>
      <c r="AK657" t="s" s="0">
        <v>81</v>
      </c>
      <c r="AL657" t="s" s="0">
        <v>222</v>
      </c>
      <c r="AM657" t="s" s="0">
        <v>196</v>
      </c>
      <c r="AN657" t="s" s="0">
        <v>196</v>
      </c>
      <c r="AO657" t="s" s="0">
        <v>211</v>
      </c>
      <c r="AP657" t="s" s="0">
        <v>291</v>
      </c>
      <c r="AQ657" t="s" s="0">
        <v>915</v>
      </c>
      <c r="AR657" t="s" s="0">
        <v>916</v>
      </c>
      <c r="AS657" t="s" s="0">
        <v>917</v>
      </c>
      <c r="AT657" t="s" s="0">
        <v>918</v>
      </c>
      <c r="AU657" t="s" s="0">
        <v>81</v>
      </c>
      <c r="AV657" t="s" s="0">
        <v>81</v>
      </c>
      <c r="AW657" t="s" s="0">
        <v>919</v>
      </c>
      <c r="AX657" t="s" s="0">
        <v>920</v>
      </c>
      <c r="AY657" t="s" s="0">
        <v>14489</v>
      </c>
      <c r="AZ657" t="s" s="0">
        <v>290</v>
      </c>
      <c r="BA657" t="s" s="0">
        <v>291</v>
      </c>
      <c r="BB657" t="s" s="0">
        <v>97</v>
      </c>
      <c r="BC657" t="s" s="0">
        <v>81</v>
      </c>
      <c r="BD657" t="s" s="0">
        <v>81</v>
      </c>
      <c r="BE657" t="s" s="0">
        <v>81</v>
      </c>
      <c r="BF657" t="s" s="0">
        <v>81</v>
      </c>
      <c r="BG657" t="s" s="0">
        <v>81</v>
      </c>
      <c r="BH657" t="s" s="0">
        <v>81</v>
      </c>
      <c r="BI657" t="s" s="0">
        <v>14490</v>
      </c>
      <c r="BJ657" t="s" s="0">
        <v>14491</v>
      </c>
      <c r="BK657" t="s" s="1305">
        <f>HYPERLINK("http://dx.doi.org/10.1038/s41598-025-23447-4","http://dx.doi.org/10.1038/s41598-025-23447-4")</f>
        <v>14492</v>
      </c>
      <c r="BL657" t="s" s="0">
        <v>81</v>
      </c>
      <c r="BM657" t="s" s="0">
        <v>81</v>
      </c>
      <c r="BN657" t="s" s="0">
        <v>211</v>
      </c>
      <c r="BO657" t="s" s="0">
        <v>926</v>
      </c>
      <c r="BP657" t="s" s="0">
        <v>927</v>
      </c>
      <c r="BQ657" t="s" s="0">
        <v>14493</v>
      </c>
      <c r="BR657" t="s" s="0">
        <v>14494</v>
      </c>
      <c r="BS657" t="s" s="0">
        <v>14495</v>
      </c>
      <c r="BT657" t="s" s="1306">
        <f>HYPERLINK("https://www.webofscience.com/wos/woscc/full-record/WOS:001615936800037","View Record in Web of Science")</f>
        <v>114</v>
      </c>
      <c r="BU657" t="s" s="0">
        <v>301</v>
      </c>
      <c r="BV657" t="s" s="0">
        <v>81</v>
      </c>
      <c r="BW657" t="s" s="0">
        <v>81</v>
      </c>
      <c r="BX657" t="s" s="0">
        <v>116</v>
      </c>
    </row>
    <row r="658">
      <c r="A658" t="s" s="0">
        <v>77</v>
      </c>
      <c r="B658" t="s" s="0">
        <v>77</v>
      </c>
      <c r="C658" t="s" s="0">
        <v>77</v>
      </c>
      <c r="D658" t="s" s="0">
        <v>77</v>
      </c>
      <c r="E658" t="s" s="0">
        <v>14496</v>
      </c>
      <c r="F658" t="s" s="0">
        <v>14497</v>
      </c>
      <c r="G658" t="s" s="0">
        <v>14498</v>
      </c>
      <c r="H658" t="s" s="0">
        <v>81</v>
      </c>
      <c r="I658" t="s" s="0">
        <v>589</v>
      </c>
      <c r="J658" t="s" s="0">
        <v>14499</v>
      </c>
      <c r="K658" t="s" s="0">
        <v>14500</v>
      </c>
      <c r="L658" t="s" s="0">
        <v>14501</v>
      </c>
      <c r="M658" t="s" s="0">
        <v>14502</v>
      </c>
      <c r="N658" t="s" s="0">
        <v>14503</v>
      </c>
      <c r="O658" t="s" s="0">
        <v>14504</v>
      </c>
      <c r="P658" t="s" s="0">
        <v>14505</v>
      </c>
      <c r="Q658" t="s" s="0">
        <v>87</v>
      </c>
      <c r="R658" t="s" s="0">
        <v>81</v>
      </c>
      <c r="S658" t="s" s="0">
        <v>81</v>
      </c>
      <c r="T658" t="s" s="0">
        <v>81</v>
      </c>
      <c r="U658" t="s" s="0">
        <v>81</v>
      </c>
      <c r="V658" t="s" s="0">
        <v>14506</v>
      </c>
      <c r="W658" t="s" s="0">
        <v>14507</v>
      </c>
      <c r="X658" t="s" s="0">
        <v>81</v>
      </c>
      <c r="Y658" t="s" s="0">
        <v>81</v>
      </c>
      <c r="Z658" t="s" s="0">
        <v>90</v>
      </c>
      <c r="AA658" t="s" s="0">
        <v>91</v>
      </c>
      <c r="AB658" t="s" s="0">
        <v>81</v>
      </c>
      <c r="AC658" t="s" s="0">
        <v>81</v>
      </c>
      <c r="AD658" t="s" s="0">
        <v>81</v>
      </c>
      <c r="AE658" t="s" s="0">
        <v>81</v>
      </c>
      <c r="AF658" t="s" s="0">
        <v>81</v>
      </c>
      <c r="AG658" t="s" s="0">
        <v>14508</v>
      </c>
      <c r="AH658" t="s" s="0">
        <v>14509</v>
      </c>
      <c r="AI658" t="s" s="0">
        <v>14510</v>
      </c>
      <c r="AJ658" t="s" s="0">
        <v>81</v>
      </c>
      <c r="AK658" t="s" s="0">
        <v>81</v>
      </c>
      <c r="AL658" t="s" s="0">
        <v>2819</v>
      </c>
      <c r="AM658" t="s" s="0">
        <v>77</v>
      </c>
      <c r="AN658" t="s" s="0">
        <v>77</v>
      </c>
      <c r="AO658" t="s" s="0">
        <v>925</v>
      </c>
      <c r="AP658" t="s" s="0">
        <v>925</v>
      </c>
      <c r="AQ658" t="s" s="0">
        <v>212</v>
      </c>
      <c r="AR658" t="s" s="0">
        <v>429</v>
      </c>
      <c r="AS658" t="s" s="0">
        <v>784</v>
      </c>
      <c r="AT658" t="s" s="0">
        <v>14511</v>
      </c>
      <c r="AU658" t="s" s="0">
        <v>81</v>
      </c>
      <c r="AV658" t="s" s="0">
        <v>81</v>
      </c>
      <c r="AW658" t="s" s="0">
        <v>14512</v>
      </c>
      <c r="AX658" t="s" s="0">
        <v>14513</v>
      </c>
      <c r="AY658" t="s" s="0">
        <v>14514</v>
      </c>
      <c r="AZ658" t="s" s="0">
        <v>103</v>
      </c>
      <c r="BA658" t="s" s="0">
        <v>191</v>
      </c>
      <c r="BB658" t="s" s="0">
        <v>97</v>
      </c>
      <c r="BC658" t="s" s="0">
        <v>81</v>
      </c>
      <c r="BD658" t="s" s="0">
        <v>81</v>
      </c>
      <c r="BE658" t="s" s="0">
        <v>81</v>
      </c>
      <c r="BF658" t="s" s="0">
        <v>81</v>
      </c>
      <c r="BG658" t="s" s="0">
        <v>81</v>
      </c>
      <c r="BH658" t="s" s="0">
        <v>81</v>
      </c>
      <c r="BI658" t="s" s="0">
        <v>1635</v>
      </c>
      <c r="BJ658" t="s" s="0">
        <v>14515</v>
      </c>
      <c r="BK658" t="s" s="1307">
        <f>HYPERLINK("http://dx.doi.org/10.1186/s41235-026-00726-w","http://dx.doi.org/10.1186/s41235-026-00726-w")</f>
        <v>14516</v>
      </c>
      <c r="BL658" t="s" s="0">
        <v>81</v>
      </c>
      <c r="BM658" t="s" s="0">
        <v>948</v>
      </c>
      <c r="BN658" t="s" s="0">
        <v>434</v>
      </c>
      <c r="BO658" t="s" s="0">
        <v>5968</v>
      </c>
      <c r="BP658" t="s" s="0">
        <v>2785</v>
      </c>
      <c r="BQ658" t="s" s="0">
        <v>14517</v>
      </c>
      <c r="BR658" t="s" s="0">
        <v>14518</v>
      </c>
      <c r="BS658" t="s" s="0">
        <v>14519</v>
      </c>
      <c r="BT658" t="s" s="1308">
        <f>HYPERLINK("https://www.webofscience.com/wos/woscc/full-record/WOS:001753852100001","View Record in Web of Science")</f>
        <v>114</v>
      </c>
      <c r="BU658" t="s" s="0">
        <v>301</v>
      </c>
      <c r="BV658" t="s" s="0">
        <v>81</v>
      </c>
      <c r="BW658" t="s" s="0">
        <v>81</v>
      </c>
      <c r="BX658" t="s" s="0">
        <v>116</v>
      </c>
    </row>
    <row r="659">
      <c r="A659" t="s" s="0">
        <v>77</v>
      </c>
      <c r="B659" t="s" s="0">
        <v>77</v>
      </c>
      <c r="C659" t="s" s="0">
        <v>77</v>
      </c>
      <c r="D659" t="s" s="0">
        <v>77</v>
      </c>
      <c r="E659" t="s" s="0">
        <v>14520</v>
      </c>
      <c r="F659" t="s" s="0">
        <v>14521</v>
      </c>
      <c r="G659" t="s" s="0">
        <v>14522</v>
      </c>
      <c r="H659" t="s" s="0">
        <v>81</v>
      </c>
      <c r="I659" t="s" s="0">
        <v>238</v>
      </c>
      <c r="J659" t="s" s="0">
        <v>14523</v>
      </c>
      <c r="K659" t="s" s="0">
        <v>14524</v>
      </c>
      <c r="L659" t="s" s="0">
        <v>81</v>
      </c>
      <c r="M659" t="s" s="0">
        <v>81</v>
      </c>
      <c r="N659" t="s" s="0">
        <v>81</v>
      </c>
      <c r="O659" t="s" s="0">
        <v>14525</v>
      </c>
      <c r="P659" t="s" s="0">
        <v>14526</v>
      </c>
      <c r="Q659" t="s" s="0">
        <v>87</v>
      </c>
      <c r="R659" t="s" s="0">
        <v>81</v>
      </c>
      <c r="S659" t="s" s="0">
        <v>81</v>
      </c>
      <c r="T659" t="s" s="0">
        <v>81</v>
      </c>
      <c r="U659" t="s" s="0">
        <v>81</v>
      </c>
      <c r="V659" t="s" s="0">
        <v>14527</v>
      </c>
      <c r="W659" t="s" s="0">
        <v>14528</v>
      </c>
      <c r="X659" t="s" s="0">
        <v>81</v>
      </c>
      <c r="Y659" t="s" s="0">
        <v>81</v>
      </c>
      <c r="Z659" t="s" s="0">
        <v>90</v>
      </c>
      <c r="AA659" t="s" s="0">
        <v>91</v>
      </c>
      <c r="AB659" t="s" s="0">
        <v>81</v>
      </c>
      <c r="AC659" t="s" s="0">
        <v>81</v>
      </c>
      <c r="AD659" t="s" s="0">
        <v>81</v>
      </c>
      <c r="AE659" t="s" s="0">
        <v>81</v>
      </c>
      <c r="AF659" t="s" s="0">
        <v>81</v>
      </c>
      <c r="AG659" t="s" s="0">
        <v>14529</v>
      </c>
      <c r="AH659" t="s" s="0">
        <v>14530</v>
      </c>
      <c r="AI659" t="s" s="0">
        <v>14531</v>
      </c>
      <c r="AJ659" t="s" s="0">
        <v>81</v>
      </c>
      <c r="AK659" t="s" s="0">
        <v>81</v>
      </c>
      <c r="AL659" t="s" s="0">
        <v>5451</v>
      </c>
      <c r="AM659" t="s" s="0">
        <v>156</v>
      </c>
      <c r="AN659" t="s" s="0">
        <v>156</v>
      </c>
      <c r="AO659" t="s" s="0">
        <v>196</v>
      </c>
      <c r="AP659" t="s" s="0">
        <v>175</v>
      </c>
      <c r="AQ659" t="s" s="0">
        <v>136</v>
      </c>
      <c r="AR659" t="s" s="0">
        <v>137</v>
      </c>
      <c r="AS659" t="s" s="0">
        <v>138</v>
      </c>
      <c r="AT659" t="s" s="0">
        <v>81</v>
      </c>
      <c r="AU659" t="s" s="0">
        <v>14532</v>
      </c>
      <c r="AV659" t="s" s="0">
        <v>81</v>
      </c>
      <c r="AW659" t="s" s="0">
        <v>14533</v>
      </c>
      <c r="AX659" t="s" s="0">
        <v>14534</v>
      </c>
      <c r="AY659" t="s" s="0">
        <v>143</v>
      </c>
      <c r="AZ659" t="s" s="0">
        <v>103</v>
      </c>
      <c r="BA659" t="s" s="0">
        <v>210</v>
      </c>
      <c r="BB659" t="s" s="0">
        <v>81</v>
      </c>
      <c r="BC659" t="s" s="0">
        <v>81</v>
      </c>
      <c r="BD659" t="s" s="0">
        <v>81</v>
      </c>
      <c r="BE659" t="s" s="0">
        <v>81</v>
      </c>
      <c r="BF659" t="s" s="0">
        <v>81</v>
      </c>
      <c r="BG659" t="s" s="0">
        <v>81</v>
      </c>
      <c r="BH659" t="s" s="0">
        <v>81</v>
      </c>
      <c r="BI659" t="s" s="0">
        <v>14535</v>
      </c>
      <c r="BJ659" t="s" s="0">
        <v>14536</v>
      </c>
      <c r="BK659" t="s" s="1309">
        <f>HYPERLINK("http://dx.doi.org/10.1016/j.rico.2025.100647","http://dx.doi.org/10.1016/j.rico.2025.100647")</f>
        <v>14537</v>
      </c>
      <c r="BL659" t="s" s="0">
        <v>81</v>
      </c>
      <c r="BM659" t="s" s="0">
        <v>1940</v>
      </c>
      <c r="BN659" t="s" s="0">
        <v>399</v>
      </c>
      <c r="BO659" t="s" s="0">
        <v>10192</v>
      </c>
      <c r="BP659" t="s" s="0">
        <v>3693</v>
      </c>
      <c r="BQ659" t="s" s="0">
        <v>14538</v>
      </c>
      <c r="BR659" t="s" s="0">
        <v>81</v>
      </c>
      <c r="BS659" t="s" s="0">
        <v>14539</v>
      </c>
      <c r="BT659" t="s" s="1310">
        <f>HYPERLINK("https://www.webofscience.com/wos/woscc/full-record/WOS:001661868900001","View Record in Web of Science")</f>
        <v>114</v>
      </c>
      <c r="BU659" t="s" s="0">
        <v>301</v>
      </c>
      <c r="BV659" t="s" s="0">
        <v>81</v>
      </c>
      <c r="BW659" t="s" s="0">
        <v>81</v>
      </c>
      <c r="BX659" t="s" s="0">
        <v>116</v>
      </c>
    </row>
    <row r="660">
      <c r="A660" t="s" s="0">
        <v>77</v>
      </c>
      <c r="B660" t="s" s="0">
        <v>77</v>
      </c>
      <c r="C660" t="s" s="0">
        <v>97</v>
      </c>
      <c r="D660" t="s" s="0">
        <v>77</v>
      </c>
      <c r="E660" t="s" s="0">
        <v>14540</v>
      </c>
      <c r="F660" t="s" s="0">
        <v>14541</v>
      </c>
      <c r="G660" t="s" s="0">
        <v>14542</v>
      </c>
      <c r="H660" t="s" s="0">
        <v>81</v>
      </c>
      <c r="I660" t="s" s="0">
        <v>82</v>
      </c>
      <c r="J660" t="s" s="0">
        <v>14543</v>
      </c>
      <c r="K660" t="s" s="0">
        <v>14544</v>
      </c>
      <c r="L660" t="s" s="0">
        <v>6513</v>
      </c>
      <c r="M660" t="s" s="0">
        <v>6513</v>
      </c>
      <c r="N660" t="s" s="0">
        <v>6514</v>
      </c>
      <c r="O660" t="s" s="0">
        <v>14545</v>
      </c>
      <c r="P660" t="s" s="0">
        <v>14546</v>
      </c>
      <c r="Q660" t="s" s="0">
        <v>87</v>
      </c>
      <c r="R660" t="s" s="0">
        <v>81</v>
      </c>
      <c r="S660" t="s" s="0">
        <v>81</v>
      </c>
      <c r="T660" t="s" s="0">
        <v>81</v>
      </c>
      <c r="U660" t="s" s="0">
        <v>81</v>
      </c>
      <c r="V660" t="s" s="0">
        <v>14547</v>
      </c>
      <c r="W660" t="s" s="0">
        <v>910</v>
      </c>
      <c r="X660" t="s" s="0">
        <v>81</v>
      </c>
      <c r="Y660" t="s" s="0">
        <v>81</v>
      </c>
      <c r="Z660" t="s" s="0">
        <v>90</v>
      </c>
      <c r="AA660" t="s" s="0">
        <v>91</v>
      </c>
      <c r="AB660" t="s" s="0">
        <v>81</v>
      </c>
      <c r="AC660" t="s" s="0">
        <v>81</v>
      </c>
      <c r="AD660" t="s" s="0">
        <v>81</v>
      </c>
      <c r="AE660" t="s" s="0">
        <v>81</v>
      </c>
      <c r="AF660" t="s" s="0">
        <v>81</v>
      </c>
      <c r="AG660" t="s" s="0">
        <v>14548</v>
      </c>
      <c r="AH660" t="s" s="0">
        <v>81</v>
      </c>
      <c r="AI660" t="s" s="0">
        <v>14549</v>
      </c>
      <c r="AJ660" t="s" s="0">
        <v>14550</v>
      </c>
      <c r="AK660" t="s" s="0">
        <v>81</v>
      </c>
      <c r="AL660" t="s" s="0">
        <v>1442</v>
      </c>
      <c r="AM660" t="s" s="0">
        <v>156</v>
      </c>
      <c r="AN660" t="s" s="0">
        <v>156</v>
      </c>
      <c r="AO660" t="s" s="0">
        <v>97</v>
      </c>
      <c r="AP660" t="s" s="0">
        <v>133</v>
      </c>
      <c r="AQ660" t="s" s="0">
        <v>915</v>
      </c>
      <c r="AR660" t="s" s="0">
        <v>916</v>
      </c>
      <c r="AS660" t="s" s="0">
        <v>917</v>
      </c>
      <c r="AT660" t="s" s="0">
        <v>918</v>
      </c>
      <c r="AU660" t="s" s="0">
        <v>81</v>
      </c>
      <c r="AV660" t="s" s="0">
        <v>81</v>
      </c>
      <c r="AW660" t="s" s="0">
        <v>919</v>
      </c>
      <c r="AX660" t="s" s="0">
        <v>920</v>
      </c>
      <c r="AY660" t="s" s="0">
        <v>14551</v>
      </c>
      <c r="AZ660" t="s" s="0">
        <v>290</v>
      </c>
      <c r="BA660" t="s" s="0">
        <v>291</v>
      </c>
      <c r="BB660" t="s" s="0">
        <v>97</v>
      </c>
      <c r="BC660" t="s" s="0">
        <v>81</v>
      </c>
      <c r="BD660" t="s" s="0">
        <v>81</v>
      </c>
      <c r="BE660" t="s" s="0">
        <v>81</v>
      </c>
      <c r="BF660" t="s" s="0">
        <v>81</v>
      </c>
      <c r="BG660" t="s" s="0">
        <v>81</v>
      </c>
      <c r="BH660" t="s" s="0">
        <v>81</v>
      </c>
      <c r="BI660" t="s" s="0">
        <v>14552</v>
      </c>
      <c r="BJ660" t="s" s="0">
        <v>14553</v>
      </c>
      <c r="BK660" t="s" s="1311">
        <f>HYPERLINK("http://dx.doi.org/10.1038/s41598-025-19804-y","http://dx.doi.org/10.1038/s41598-025-19804-y")</f>
        <v>14554</v>
      </c>
      <c r="BL660" t="s" s="0">
        <v>81</v>
      </c>
      <c r="BM660" t="s" s="0">
        <v>81</v>
      </c>
      <c r="BN660" t="s" s="0">
        <v>176</v>
      </c>
      <c r="BO660" t="s" s="0">
        <v>926</v>
      </c>
      <c r="BP660" t="s" s="0">
        <v>927</v>
      </c>
      <c r="BQ660" t="s" s="0">
        <v>14555</v>
      </c>
      <c r="BR660" t="s" s="0">
        <v>14556</v>
      </c>
      <c r="BS660" t="s" s="0">
        <v>14557</v>
      </c>
      <c r="BT660" t="s" s="1312">
        <f>HYPERLINK("https://www.webofscience.com/wos/woscc/full-record/WOS:001594840700018","View Record in Web of Science")</f>
        <v>114</v>
      </c>
      <c r="BU660" t="s" s="0">
        <v>301</v>
      </c>
      <c r="BV660" t="s" s="0">
        <v>81</v>
      </c>
      <c r="BW660" t="s" s="0">
        <v>81</v>
      </c>
      <c r="BX660" t="s" s="0">
        <v>116</v>
      </c>
    </row>
    <row r="661">
      <c r="A661" t="s" s="0">
        <v>77</v>
      </c>
      <c r="B661" t="s" s="0">
        <v>77</v>
      </c>
      <c r="C661" t="s" s="0">
        <v>77</v>
      </c>
      <c r="D661" t="s" s="0">
        <v>77</v>
      </c>
      <c r="E661" t="s" s="0">
        <v>14558</v>
      </c>
      <c r="F661" t="s" s="0">
        <v>14559</v>
      </c>
      <c r="G661" t="s" s="0">
        <v>14560</v>
      </c>
      <c r="H661" t="s" s="0">
        <v>81</v>
      </c>
      <c r="I661" t="s" s="0">
        <v>82</v>
      </c>
      <c r="J661" t="s" s="0">
        <v>14561</v>
      </c>
      <c r="K661" t="s" s="0">
        <v>14562</v>
      </c>
      <c r="L661" t="s" s="0">
        <v>14298</v>
      </c>
      <c r="M661" t="s" s="0">
        <v>14298</v>
      </c>
      <c r="N661" t="s" s="0">
        <v>7004</v>
      </c>
      <c r="O661" t="s" s="0">
        <v>14563</v>
      </c>
      <c r="P661" t="s" s="0">
        <v>14564</v>
      </c>
      <c r="Q661" t="s" s="0">
        <v>87</v>
      </c>
      <c r="R661" t="s" s="0">
        <v>81</v>
      </c>
      <c r="S661" t="s" s="0">
        <v>81</v>
      </c>
      <c r="T661" t="s" s="0">
        <v>81</v>
      </c>
      <c r="U661" t="s" s="0">
        <v>81</v>
      </c>
      <c r="V661" t="s" s="0">
        <v>14565</v>
      </c>
      <c r="W661" t="s" s="0">
        <v>1954</v>
      </c>
      <c r="X661" t="s" s="0">
        <v>81</v>
      </c>
      <c r="Y661" t="s" s="0">
        <v>81</v>
      </c>
      <c r="Z661" t="s" s="0">
        <v>90</v>
      </c>
      <c r="AA661" t="s" s="0">
        <v>91</v>
      </c>
      <c r="AB661" t="s" s="0">
        <v>81</v>
      </c>
      <c r="AC661" t="s" s="0">
        <v>81</v>
      </c>
      <c r="AD661" t="s" s="0">
        <v>81</v>
      </c>
      <c r="AE661" t="s" s="0">
        <v>81</v>
      </c>
      <c r="AF661" t="s" s="0">
        <v>81</v>
      </c>
      <c r="AG661" t="s" s="0">
        <v>14566</v>
      </c>
      <c r="AH661" t="s" s="0">
        <v>14567</v>
      </c>
      <c r="AI661" t="s" s="0">
        <v>14568</v>
      </c>
      <c r="AJ661" t="s" s="0">
        <v>14569</v>
      </c>
      <c r="AK661" t="s" s="0">
        <v>81</v>
      </c>
      <c r="AL661" t="s" s="0">
        <v>252</v>
      </c>
      <c r="AM661" t="s" s="0">
        <v>77</v>
      </c>
      <c r="AN661" t="s" s="0">
        <v>77</v>
      </c>
      <c r="AO661" t="s" s="0">
        <v>77</v>
      </c>
      <c r="AP661" t="s" s="0">
        <v>77</v>
      </c>
      <c r="AQ661" t="s" s="0">
        <v>665</v>
      </c>
      <c r="AR661" t="s" s="0">
        <v>546</v>
      </c>
      <c r="AS661" t="s" s="0">
        <v>666</v>
      </c>
      <c r="AT661" t="s" s="0">
        <v>81</v>
      </c>
      <c r="AU661" t="s" s="0">
        <v>1957</v>
      </c>
      <c r="AV661" t="s" s="0">
        <v>81</v>
      </c>
      <c r="AW661" t="s" s="0">
        <v>1958</v>
      </c>
      <c r="AX661" t="s" s="0">
        <v>1959</v>
      </c>
      <c r="AY661" t="s" s="0">
        <v>14570</v>
      </c>
      <c r="AZ661" t="s" s="0">
        <v>103</v>
      </c>
      <c r="BA661" t="s" s="0">
        <v>228</v>
      </c>
      <c r="BB661" t="s" s="0">
        <v>97</v>
      </c>
      <c r="BC661" t="s" s="0">
        <v>81</v>
      </c>
      <c r="BD661" t="s" s="0">
        <v>81</v>
      </c>
      <c r="BE661" t="s" s="0">
        <v>81</v>
      </c>
      <c r="BF661" t="s" s="0">
        <v>81</v>
      </c>
      <c r="BG661" t="s" s="0">
        <v>81</v>
      </c>
      <c r="BH661" t="s" s="0">
        <v>81</v>
      </c>
      <c r="BI661" t="s" s="0">
        <v>14571</v>
      </c>
      <c r="BJ661" t="s" s="0">
        <v>14572</v>
      </c>
      <c r="BK661" t="s" s="1313">
        <f>HYPERLINK("http://dx.doi.org/10.1186/s12911-026-03553-7","http://dx.doi.org/10.1186/s12911-026-03553-7")</f>
        <v>14573</v>
      </c>
      <c r="BL661" t="s" s="0">
        <v>81</v>
      </c>
      <c r="BM661" t="s" s="0">
        <v>675</v>
      </c>
      <c r="BN661" t="s" s="0">
        <v>291</v>
      </c>
      <c r="BO661" t="s" s="0">
        <v>1963</v>
      </c>
      <c r="BP661" t="s" s="0">
        <v>1963</v>
      </c>
      <c r="BQ661" t="s" s="0">
        <v>14574</v>
      </c>
      <c r="BR661" t="s" s="0">
        <v>14575</v>
      </c>
      <c r="BS661" t="s" s="0">
        <v>14576</v>
      </c>
      <c r="BT661" t="s" s="1314">
        <f>HYPERLINK("https://www.webofscience.com/wos/woscc/full-record/WOS:001773289800001","View Record in Web of Science")</f>
        <v>114</v>
      </c>
      <c r="BU661" t="s" s="0">
        <v>301</v>
      </c>
      <c r="BV661" t="s" s="0">
        <v>81</v>
      </c>
      <c r="BW661" t="s" s="0">
        <v>81</v>
      </c>
      <c r="BX661" t="s" s="0">
        <v>116</v>
      </c>
    </row>
    <row r="662">
      <c r="A662" t="s" s="0">
        <v>77</v>
      </c>
      <c r="B662" t="s" s="0">
        <v>77</v>
      </c>
      <c r="C662" t="s" s="0">
        <v>77</v>
      </c>
      <c r="D662" t="s" s="0">
        <v>77</v>
      </c>
      <c r="E662" t="s" s="0">
        <v>14577</v>
      </c>
      <c r="F662" t="s" s="0">
        <v>14578</v>
      </c>
      <c r="G662" t="s" s="0">
        <v>14579</v>
      </c>
      <c r="H662" t="s" s="0">
        <v>81</v>
      </c>
      <c r="I662" t="s" s="0">
        <v>82</v>
      </c>
      <c r="J662" t="s" s="0">
        <v>14580</v>
      </c>
      <c r="K662" t="s" s="0">
        <v>14581</v>
      </c>
      <c r="L662" t="s" s="0">
        <v>81</v>
      </c>
      <c r="M662" t="s" s="0">
        <v>81</v>
      </c>
      <c r="N662" t="s" s="0">
        <v>81</v>
      </c>
      <c r="O662" t="s" s="0">
        <v>14582</v>
      </c>
      <c r="P662" t="s" s="0">
        <v>81</v>
      </c>
      <c r="Q662" t="s" s="0">
        <v>87</v>
      </c>
      <c r="R662" t="s" s="0">
        <v>81</v>
      </c>
      <c r="S662" t="s" s="0">
        <v>81</v>
      </c>
      <c r="T662" t="s" s="0">
        <v>81</v>
      </c>
      <c r="U662" t="s" s="0">
        <v>81</v>
      </c>
      <c r="V662" t="s" s="0">
        <v>14583</v>
      </c>
      <c r="W662" t="s" s="0">
        <v>14584</v>
      </c>
      <c r="X662" t="s" s="0">
        <v>81</v>
      </c>
      <c r="Y662" t="s" s="0">
        <v>81</v>
      </c>
      <c r="Z662" t="s" s="0">
        <v>90</v>
      </c>
      <c r="AA662" t="s" s="0">
        <v>91</v>
      </c>
      <c r="AB662" t="s" s="0">
        <v>81</v>
      </c>
      <c r="AC662" t="s" s="0">
        <v>81</v>
      </c>
      <c r="AD662" t="s" s="0">
        <v>81</v>
      </c>
      <c r="AE662" t="s" s="0">
        <v>81</v>
      </c>
      <c r="AF662" t="s" s="0">
        <v>81</v>
      </c>
      <c r="AG662" t="s" s="0">
        <v>14585</v>
      </c>
      <c r="AH662" t="s" s="0">
        <v>81</v>
      </c>
      <c r="AI662" t="s" s="0">
        <v>14586</v>
      </c>
      <c r="AJ662" t="s" s="0">
        <v>81</v>
      </c>
      <c r="AK662" t="s" s="0">
        <v>81</v>
      </c>
      <c r="AL662" t="s" s="0">
        <v>874</v>
      </c>
      <c r="AM662" t="s" s="0">
        <v>77</v>
      </c>
      <c r="AN662" t="s" s="0">
        <v>77</v>
      </c>
      <c r="AO662" t="s" s="0">
        <v>97</v>
      </c>
      <c r="AP662" t="s" s="0">
        <v>97</v>
      </c>
      <c r="AQ662" t="s" s="0">
        <v>14587</v>
      </c>
      <c r="AR662" t="s" s="0">
        <v>14588</v>
      </c>
      <c r="AS662" t="s" s="0">
        <v>14589</v>
      </c>
      <c r="AT662" t="s" s="0">
        <v>14590</v>
      </c>
      <c r="AU662" t="s" s="0">
        <v>14591</v>
      </c>
      <c r="AV662" t="s" s="0">
        <v>81</v>
      </c>
      <c r="AW662" t="s" s="0">
        <v>14592</v>
      </c>
      <c r="AX662" t="s" s="0">
        <v>14593</v>
      </c>
      <c r="AY662" t="s" s="0">
        <v>3366</v>
      </c>
      <c r="AZ662" t="s" s="0">
        <v>103</v>
      </c>
      <c r="BA662" t="s" s="0">
        <v>1635</v>
      </c>
      <c r="BB662" t="s" s="0">
        <v>234</v>
      </c>
      <c r="BC662" t="s" s="0">
        <v>81</v>
      </c>
      <c r="BD662" t="s" s="0">
        <v>81</v>
      </c>
      <c r="BE662" t="s" s="0">
        <v>81</v>
      </c>
      <c r="BF662" t="s" s="0">
        <v>81</v>
      </c>
      <c r="BG662" t="s" s="0">
        <v>14594</v>
      </c>
      <c r="BH662" t="s" s="0">
        <v>14595</v>
      </c>
      <c r="BI662" t="s" s="0">
        <v>81</v>
      </c>
      <c r="BJ662" t="s" s="0">
        <v>14596</v>
      </c>
      <c r="BK662" t="s" s="1315">
        <f>HYPERLINK("http://dx.doi.org/10.29271/jcpsp.2026.07.945","http://dx.doi.org/10.29271/jcpsp.2026.07.945")</f>
        <v>14597</v>
      </c>
      <c r="BL662" t="s" s="0">
        <v>81</v>
      </c>
      <c r="BM662" t="s" s="0">
        <v>81</v>
      </c>
      <c r="BN662" t="s" s="0">
        <v>175</v>
      </c>
      <c r="BO662" t="s" s="0">
        <v>296</v>
      </c>
      <c r="BP662" t="s" s="0">
        <v>297</v>
      </c>
      <c r="BQ662" t="s" s="0">
        <v>14598</v>
      </c>
      <c r="BR662" t="s" s="0">
        <v>14599</v>
      </c>
      <c r="BS662" t="s" s="0">
        <v>14600</v>
      </c>
      <c r="BT662" t="s" s="1316">
        <f>HYPERLINK("https://www.webofscience.com/wos/woscc/full-record/WOS:001818945100020","View Record in Web of Science")</f>
        <v>114</v>
      </c>
      <c r="BU662" t="s" s="0">
        <v>115</v>
      </c>
      <c r="BV662" t="s" s="0">
        <v>81</v>
      </c>
      <c r="BW662" t="s" s="0">
        <v>81</v>
      </c>
      <c r="BX662" t="s" s="0">
        <v>116</v>
      </c>
    </row>
    <row r="663">
      <c r="A663" t="s" s="0">
        <v>77</v>
      </c>
      <c r="B663" t="s" s="0">
        <v>77</v>
      </c>
      <c r="C663" t="s" s="0">
        <v>77</v>
      </c>
      <c r="D663" t="s" s="0">
        <v>77</v>
      </c>
      <c r="E663" t="s" s="0">
        <v>14601</v>
      </c>
      <c r="F663" t="s" s="0">
        <v>14602</v>
      </c>
      <c r="G663" t="s" s="0">
        <v>14603</v>
      </c>
      <c r="H663" t="s" s="0">
        <v>81</v>
      </c>
      <c r="I663" t="s" s="0">
        <v>14604</v>
      </c>
      <c r="J663" t="s" s="0">
        <v>14605</v>
      </c>
      <c r="K663" t="s" s="0">
        <v>14606</v>
      </c>
      <c r="L663" t="s" s="0">
        <v>81</v>
      </c>
      <c r="M663" t="s" s="0">
        <v>81</v>
      </c>
      <c r="N663" t="s" s="0">
        <v>81</v>
      </c>
      <c r="O663" t="s" s="0">
        <v>14607</v>
      </c>
      <c r="P663" t="s" s="0">
        <v>14608</v>
      </c>
      <c r="Q663" t="s" s="0">
        <v>87</v>
      </c>
      <c r="R663" t="s" s="0">
        <v>81</v>
      </c>
      <c r="S663" t="s" s="0">
        <v>81</v>
      </c>
      <c r="T663" t="s" s="0">
        <v>81</v>
      </c>
      <c r="U663" t="s" s="0">
        <v>81</v>
      </c>
      <c r="V663" t="s" s="0">
        <v>14609</v>
      </c>
      <c r="W663" t="s" s="0">
        <v>14610</v>
      </c>
      <c r="X663" t="s" s="0">
        <v>81</v>
      </c>
      <c r="Y663" t="s" s="0">
        <v>81</v>
      </c>
      <c r="Z663" t="s" s="0">
        <v>90</v>
      </c>
      <c r="AA663" t="s" s="0">
        <v>14611</v>
      </c>
      <c r="AB663" t="s" s="0">
        <v>14612</v>
      </c>
      <c r="AC663" t="s" s="0">
        <v>14613</v>
      </c>
      <c r="AD663" t="s" s="0">
        <v>14614</v>
      </c>
      <c r="AE663" t="s" s="0">
        <v>81</v>
      </c>
      <c r="AF663" t="s" s="0">
        <v>81</v>
      </c>
      <c r="AG663" t="s" s="0">
        <v>81</v>
      </c>
      <c r="AH663" t="s" s="0">
        <v>81</v>
      </c>
      <c r="AI663" t="s" s="0">
        <v>14615</v>
      </c>
      <c r="AJ663" t="s" s="0">
        <v>14616</v>
      </c>
      <c r="AK663" t="s" s="0">
        <v>81</v>
      </c>
      <c r="AL663" t="s" s="0">
        <v>77</v>
      </c>
      <c r="AM663" t="s" s="0">
        <v>77</v>
      </c>
      <c r="AN663" t="s" s="0">
        <v>97</v>
      </c>
      <c r="AO663" t="s" s="0">
        <v>77</v>
      </c>
      <c r="AP663" t="s" s="0">
        <v>381</v>
      </c>
      <c r="AQ663" t="s" s="0">
        <v>14617</v>
      </c>
      <c r="AR663" t="s" s="0">
        <v>14618</v>
      </c>
      <c r="AS663" t="s" s="0">
        <v>14619</v>
      </c>
      <c r="AT663" t="s" s="0">
        <v>14620</v>
      </c>
      <c r="AU663" t="s" s="0">
        <v>14621</v>
      </c>
      <c r="AV663" t="s" s="0">
        <v>81</v>
      </c>
      <c r="AW663" t="s" s="0">
        <v>14622</v>
      </c>
      <c r="AX663" t="s" s="0">
        <v>14623</v>
      </c>
      <c r="AY663" t="s" s="0">
        <v>320</v>
      </c>
      <c r="AZ663" t="s" s="0">
        <v>185</v>
      </c>
      <c r="BA663" t="s" s="0">
        <v>210</v>
      </c>
      <c r="BB663" t="s" s="0">
        <v>81</v>
      </c>
      <c r="BC663" t="s" s="0">
        <v>81</v>
      </c>
      <c r="BD663" t="s" s="0">
        <v>81</v>
      </c>
      <c r="BE663" t="s" s="0">
        <v>14624</v>
      </c>
      <c r="BF663" t="s" s="0">
        <v>81</v>
      </c>
      <c r="BG663" t="s" s="0">
        <v>81</v>
      </c>
      <c r="BH663" t="s" s="0">
        <v>81</v>
      </c>
      <c r="BI663" t="s" s="0">
        <v>14625</v>
      </c>
      <c r="BJ663" t="s" s="0">
        <v>14626</v>
      </c>
      <c r="BK663" t="s" s="1317">
        <f>HYPERLINK("http://dx.doi.org/10.6004/jnccn.2024.5009","http://dx.doi.org/10.6004/jnccn.2024.5009")</f>
        <v>14627</v>
      </c>
      <c r="BL663" t="s" s="0">
        <v>81</v>
      </c>
      <c r="BM663" t="s" s="0">
        <v>81</v>
      </c>
      <c r="BN663" t="s" s="0">
        <v>196</v>
      </c>
      <c r="BO663" t="s" s="0">
        <v>1380</v>
      </c>
      <c r="BP663" t="s" s="0">
        <v>1380</v>
      </c>
      <c r="BQ663" t="s" s="0">
        <v>14628</v>
      </c>
      <c r="BR663" t="s" s="0">
        <v>81</v>
      </c>
      <c r="BS663" t="s" s="0">
        <v>14629</v>
      </c>
      <c r="BT663" t="s" s="1318">
        <f>HYPERLINK("https://www.webofscience.com/wos/woscc/full-record/WOS:001276868500009","View Record in Web of Science")</f>
        <v>114</v>
      </c>
      <c r="BU663" t="s" s="0">
        <v>2239</v>
      </c>
      <c r="BV663" t="s" s="0">
        <v>81</v>
      </c>
      <c r="BW663" t="s" s="0">
        <v>81</v>
      </c>
      <c r="BX663" t="s" s="0">
        <v>116</v>
      </c>
    </row>
    <row r="664">
      <c r="A664" t="s" s="0">
        <v>77</v>
      </c>
      <c r="B664" t="s" s="0">
        <v>77</v>
      </c>
      <c r="C664" t="s" s="0">
        <v>77</v>
      </c>
      <c r="D664" t="s" s="0">
        <v>77</v>
      </c>
      <c r="E664" t="s" s="0">
        <v>14630</v>
      </c>
      <c r="F664" t="s" s="0">
        <v>14631</v>
      </c>
      <c r="G664" t="s" s="0">
        <v>14632</v>
      </c>
      <c r="H664" t="s" s="0">
        <v>81</v>
      </c>
      <c r="I664" t="s" s="0">
        <v>238</v>
      </c>
      <c r="J664" t="s" s="0">
        <v>14633</v>
      </c>
      <c r="K664" t="s" s="0">
        <v>14634</v>
      </c>
      <c r="L664" t="s" s="0">
        <v>81</v>
      </c>
      <c r="M664" t="s" s="0">
        <v>81</v>
      </c>
      <c r="N664" t="s" s="0">
        <v>81</v>
      </c>
      <c r="O664" t="s" s="0">
        <v>14635</v>
      </c>
      <c r="P664" t="s" s="0">
        <v>14636</v>
      </c>
      <c r="Q664" t="s" s="0">
        <v>87</v>
      </c>
      <c r="R664" t="s" s="0">
        <v>81</v>
      </c>
      <c r="S664" t="s" s="0">
        <v>81</v>
      </c>
      <c r="T664" t="s" s="0">
        <v>81</v>
      </c>
      <c r="U664" t="s" s="0">
        <v>81</v>
      </c>
      <c r="V664" t="s" s="0">
        <v>14637</v>
      </c>
      <c r="W664" t="s" s="0">
        <v>14638</v>
      </c>
      <c r="X664" t="s" s="0">
        <v>81</v>
      </c>
      <c r="Y664" t="s" s="0">
        <v>81</v>
      </c>
      <c r="Z664" t="s" s="0">
        <v>90</v>
      </c>
      <c r="AA664" t="s" s="0">
        <v>91</v>
      </c>
      <c r="AB664" t="s" s="0">
        <v>81</v>
      </c>
      <c r="AC664" t="s" s="0">
        <v>81</v>
      </c>
      <c r="AD664" t="s" s="0">
        <v>81</v>
      </c>
      <c r="AE664" t="s" s="0">
        <v>81</v>
      </c>
      <c r="AF664" t="s" s="0">
        <v>81</v>
      </c>
      <c r="AG664" t="s" s="0">
        <v>14639</v>
      </c>
      <c r="AH664" t="s" s="0">
        <v>14640</v>
      </c>
      <c r="AI664" t="s" s="0">
        <v>14641</v>
      </c>
      <c r="AJ664" t="s" s="0">
        <v>14642</v>
      </c>
      <c r="AK664" t="s" s="0">
        <v>81</v>
      </c>
      <c r="AL664" t="s" s="0">
        <v>756</v>
      </c>
      <c r="AM664" t="s" s="0">
        <v>175</v>
      </c>
      <c r="AN664" t="s" s="0">
        <v>316</v>
      </c>
      <c r="AO664" t="s" s="0">
        <v>77</v>
      </c>
      <c r="AP664" t="s" s="0">
        <v>485</v>
      </c>
      <c r="AQ664" t="s" s="0">
        <v>14643</v>
      </c>
      <c r="AR664" t="s" s="0">
        <v>14644</v>
      </c>
      <c r="AS664" t="s" s="0">
        <v>14645</v>
      </c>
      <c r="AT664" t="s" s="0">
        <v>14646</v>
      </c>
      <c r="AU664" t="s" s="0">
        <v>81</v>
      </c>
      <c r="AV664" t="s" s="0">
        <v>81</v>
      </c>
      <c r="AW664" t="s" s="0">
        <v>14647</v>
      </c>
      <c r="AX664" t="s" s="0">
        <v>14648</v>
      </c>
      <c r="AY664" t="s" s="0">
        <v>260</v>
      </c>
      <c r="AZ664" t="s" s="0">
        <v>260</v>
      </c>
      <c r="BA664" t="s" s="0">
        <v>734</v>
      </c>
      <c r="BB664" t="s" s="0">
        <v>81</v>
      </c>
      <c r="BC664" t="s" s="0">
        <v>81</v>
      </c>
      <c r="BD664" t="s" s="0">
        <v>81</v>
      </c>
      <c r="BE664" t="s" s="0">
        <v>81</v>
      </c>
      <c r="BF664" t="s" s="0">
        <v>81</v>
      </c>
      <c r="BG664" t="s" s="0">
        <v>14649</v>
      </c>
      <c r="BH664" t="s" s="0">
        <v>14650</v>
      </c>
      <c r="BI664" t="s" s="0">
        <v>81</v>
      </c>
      <c r="BJ664" t="s" s="0">
        <v>14651</v>
      </c>
      <c r="BK664" t="s" s="1319">
        <f>HYPERLINK("http://dx.doi.org/10.17705/1CAIS.05218","http://dx.doi.org/10.17705/1CAIS.05218")</f>
        <v>14652</v>
      </c>
      <c r="BL664" t="s" s="0">
        <v>81</v>
      </c>
      <c r="BM664" t="s" s="0">
        <v>81</v>
      </c>
      <c r="BN664" t="s" s="0">
        <v>222</v>
      </c>
      <c r="BO664" t="s" s="0">
        <v>5722</v>
      </c>
      <c r="BP664" t="s" s="0">
        <v>152</v>
      </c>
      <c r="BQ664" t="s" s="0">
        <v>14653</v>
      </c>
      <c r="BR664" t="s" s="0">
        <v>81</v>
      </c>
      <c r="BS664" t="s" s="0">
        <v>14654</v>
      </c>
      <c r="BT664" t="s" s="1320">
        <f>HYPERLINK("https://www.webofscience.com/wos/woscc/full-record/WOS:001022677400001","View Record in Web of Science")</f>
        <v>114</v>
      </c>
      <c r="BU664" t="s" s="0">
        <v>2239</v>
      </c>
      <c r="BV664" t="s" s="0">
        <v>81</v>
      </c>
      <c r="BW664" t="s" s="0">
        <v>81</v>
      </c>
      <c r="BX664" t="s" s="0">
        <v>116</v>
      </c>
    </row>
    <row r="665">
      <c r="A665" t="s" s="0">
        <v>77</v>
      </c>
      <c r="B665" t="s" s="0">
        <v>77</v>
      </c>
      <c r="C665" t="s" s="0">
        <v>77</v>
      </c>
      <c r="D665" t="s" s="0">
        <v>77</v>
      </c>
      <c r="E665" t="s" s="0">
        <v>14655</v>
      </c>
      <c r="F665" t="s" s="0">
        <v>14656</v>
      </c>
      <c r="G665" t="s" s="0">
        <v>14657</v>
      </c>
      <c r="H665" t="s" s="0">
        <v>81</v>
      </c>
      <c r="I665" t="s" s="0">
        <v>528</v>
      </c>
      <c r="J665" t="s" s="0">
        <v>14658</v>
      </c>
      <c r="K665" t="s" s="0">
        <v>14659</v>
      </c>
      <c r="L665" t="s" s="0">
        <v>81</v>
      </c>
      <c r="M665" t="s" s="0">
        <v>81</v>
      </c>
      <c r="N665" t="s" s="0">
        <v>81</v>
      </c>
      <c r="O665" t="s" s="0">
        <v>14660</v>
      </c>
      <c r="P665" t="s" s="0">
        <v>14661</v>
      </c>
      <c r="Q665" t="s" s="0">
        <v>87</v>
      </c>
      <c r="R665" t="s" s="0">
        <v>81</v>
      </c>
      <c r="S665" t="s" s="0">
        <v>14662</v>
      </c>
      <c r="T665" t="s" s="0">
        <v>81</v>
      </c>
      <c r="U665" t="s" s="0">
        <v>81</v>
      </c>
      <c r="V665" t="s" s="0">
        <v>14663</v>
      </c>
      <c r="W665" t="s" s="0">
        <v>14664</v>
      </c>
      <c r="X665" t="s" s="0">
        <v>81</v>
      </c>
      <c r="Y665" t="s" s="0">
        <v>81</v>
      </c>
      <c r="Z665" t="s" s="0">
        <v>90</v>
      </c>
      <c r="AA665" t="s" s="0">
        <v>91</v>
      </c>
      <c r="AB665" t="s" s="0">
        <v>81</v>
      </c>
      <c r="AC665" t="s" s="0">
        <v>81</v>
      </c>
      <c r="AD665" t="s" s="0">
        <v>81</v>
      </c>
      <c r="AE665" t="s" s="0">
        <v>81</v>
      </c>
      <c r="AF665" t="s" s="0">
        <v>81</v>
      </c>
      <c r="AG665" t="s" s="0">
        <v>14665</v>
      </c>
      <c r="AH665" t="s" s="0">
        <v>14666</v>
      </c>
      <c r="AI665" t="s" s="0">
        <v>14667</v>
      </c>
      <c r="AJ665" t="s" s="0">
        <v>81</v>
      </c>
      <c r="AK665" t="s" s="0">
        <v>81</v>
      </c>
      <c r="AL665" t="s" s="0">
        <v>697</v>
      </c>
      <c r="AM665" t="s" s="0">
        <v>77</v>
      </c>
      <c r="AN665" t="s" s="0">
        <v>77</v>
      </c>
      <c r="AO665" t="s" s="0">
        <v>175</v>
      </c>
      <c r="AP665" t="s" s="0">
        <v>175</v>
      </c>
      <c r="AQ665" t="s" s="0">
        <v>428</v>
      </c>
      <c r="AR665" t="s" s="0">
        <v>429</v>
      </c>
      <c r="AS665" t="s" s="0">
        <v>430</v>
      </c>
      <c r="AT665" t="s" s="0">
        <v>14668</v>
      </c>
      <c r="AU665" t="s" s="0">
        <v>14669</v>
      </c>
      <c r="AV665" t="s" s="0">
        <v>81</v>
      </c>
      <c r="AW665" t="s" s="0">
        <v>14670</v>
      </c>
      <c r="AX665" t="s" s="0">
        <v>14671</v>
      </c>
      <c r="AY665" t="s" s="0">
        <v>948</v>
      </c>
      <c r="AZ665" t="s" s="0">
        <v>103</v>
      </c>
      <c r="BA665" t="s" s="0">
        <v>150</v>
      </c>
      <c r="BB665" t="s" s="0">
        <v>175</v>
      </c>
      <c r="BC665" t="s" s="0">
        <v>81</v>
      </c>
      <c r="BD665" t="s" s="0">
        <v>81</v>
      </c>
      <c r="BE665" t="s" s="0">
        <v>81</v>
      </c>
      <c r="BF665" t="s" s="0">
        <v>81</v>
      </c>
      <c r="BG665" t="s" s="0">
        <v>14672</v>
      </c>
      <c r="BH665" t="s" s="0">
        <v>14673</v>
      </c>
      <c r="BI665" t="s" s="0">
        <v>81</v>
      </c>
      <c r="BJ665" t="s" s="0">
        <v>14674</v>
      </c>
      <c r="BK665" t="s" s="1321">
        <f>HYPERLINK("http://dx.doi.org/10.1016/j.jagp.2025.12.012","http://dx.doi.org/10.1016/j.jagp.2025.12.012")</f>
        <v>14675</v>
      </c>
      <c r="BL665" t="s" s="0">
        <v>81</v>
      </c>
      <c r="BM665" t="s" s="0">
        <v>81</v>
      </c>
      <c r="BN665" t="s" s="0">
        <v>485</v>
      </c>
      <c r="BO665" t="s" s="0">
        <v>14676</v>
      </c>
      <c r="BP665" t="s" s="0">
        <v>14677</v>
      </c>
      <c r="BQ665" t="s" s="0">
        <v>14678</v>
      </c>
      <c r="BR665" t="s" s="0">
        <v>14679</v>
      </c>
      <c r="BS665" t="s" s="0">
        <v>14680</v>
      </c>
      <c r="BT665" t="s" s="1322">
        <f>HYPERLINK("https://www.webofscience.com/wos/woscc/full-record/WOS:001706693200001","View Record in Web of Science")</f>
        <v>114</v>
      </c>
      <c r="BU665" t="s" s="0">
        <v>1055</v>
      </c>
      <c r="BV665" t="s" s="0">
        <v>81</v>
      </c>
      <c r="BW665" t="s" s="0">
        <v>81</v>
      </c>
      <c r="BX665" t="s" s="0">
        <v>116</v>
      </c>
    </row>
    <row r="666">
      <c r="A666" t="s" s="0">
        <v>77</v>
      </c>
      <c r="B666" t="s" s="0">
        <v>77</v>
      </c>
      <c r="C666" t="s" s="0">
        <v>77</v>
      </c>
      <c r="D666" t="s" s="0">
        <v>77</v>
      </c>
      <c r="E666" t="s" s="0">
        <v>14681</v>
      </c>
      <c r="F666" t="s" s="0">
        <v>14682</v>
      </c>
      <c r="G666" t="s" s="0">
        <v>14683</v>
      </c>
      <c r="H666" t="s" s="0">
        <v>81</v>
      </c>
      <c r="I666" t="s" s="0">
        <v>238</v>
      </c>
      <c r="J666" t="s" s="0">
        <v>14684</v>
      </c>
      <c r="K666" t="s" s="0">
        <v>14685</v>
      </c>
      <c r="L666" t="s" s="0">
        <v>14686</v>
      </c>
      <c r="M666" t="s" s="0">
        <v>14687</v>
      </c>
      <c r="N666" t="s" s="0">
        <v>14688</v>
      </c>
      <c r="O666" t="s" s="0">
        <v>14689</v>
      </c>
      <c r="P666" t="s" s="0">
        <v>14690</v>
      </c>
      <c r="Q666" t="s" s="0">
        <v>87</v>
      </c>
      <c r="R666" t="s" s="0">
        <v>81</v>
      </c>
      <c r="S666" t="s" s="0">
        <v>81</v>
      </c>
      <c r="T666" t="s" s="0">
        <v>81</v>
      </c>
      <c r="U666" t="s" s="0">
        <v>81</v>
      </c>
      <c r="V666" t="s" s="0">
        <v>14691</v>
      </c>
      <c r="W666" t="s" s="0">
        <v>14692</v>
      </c>
      <c r="X666" t="s" s="0">
        <v>81</v>
      </c>
      <c r="Y666" t="s" s="0">
        <v>81</v>
      </c>
      <c r="Z666" t="s" s="0">
        <v>90</v>
      </c>
      <c r="AA666" t="s" s="0">
        <v>91</v>
      </c>
      <c r="AB666" t="s" s="0">
        <v>81</v>
      </c>
      <c r="AC666" t="s" s="0">
        <v>81</v>
      </c>
      <c r="AD666" t="s" s="0">
        <v>81</v>
      </c>
      <c r="AE666" t="s" s="0">
        <v>81</v>
      </c>
      <c r="AF666" t="s" s="0">
        <v>81</v>
      </c>
      <c r="AG666" t="s" s="0">
        <v>81</v>
      </c>
      <c r="AH666" t="s" s="0">
        <v>14693</v>
      </c>
      <c r="AI666" t="s" s="0">
        <v>14694</v>
      </c>
      <c r="AJ666" t="s" s="0">
        <v>81</v>
      </c>
      <c r="AK666" t="s" s="0">
        <v>81</v>
      </c>
      <c r="AL666" t="s" s="0">
        <v>1883</v>
      </c>
      <c r="AM666" t="s" s="0">
        <v>97</v>
      </c>
      <c r="AN666" t="s" s="0">
        <v>97</v>
      </c>
      <c r="AO666" t="s" s="0">
        <v>77</v>
      </c>
      <c r="AP666" t="s" s="0">
        <v>77</v>
      </c>
      <c r="AQ666" t="s" s="0">
        <v>14695</v>
      </c>
      <c r="AR666" t="s" s="0">
        <v>14696</v>
      </c>
      <c r="AS666" t="s" s="0">
        <v>14697</v>
      </c>
      <c r="AT666" t="s" s="0">
        <v>14698</v>
      </c>
      <c r="AU666" t="s" s="0">
        <v>14699</v>
      </c>
      <c r="AV666" t="s" s="0">
        <v>81</v>
      </c>
      <c r="AW666" t="s" s="0">
        <v>14700</v>
      </c>
      <c r="AX666" t="s" s="0">
        <v>14701</v>
      </c>
      <c r="AY666" t="s" s="0">
        <v>10240</v>
      </c>
      <c r="AZ666" t="s" s="0">
        <v>103</v>
      </c>
      <c r="BA666" t="s" s="0">
        <v>10741</v>
      </c>
      <c r="BB666" t="s" s="0">
        <v>14702</v>
      </c>
      <c r="BC666" t="s" s="0">
        <v>81</v>
      </c>
      <c r="BD666" t="s" s="0">
        <v>81</v>
      </c>
      <c r="BE666" t="s" s="0">
        <v>81</v>
      </c>
      <c r="BF666" t="s" s="0">
        <v>81</v>
      </c>
      <c r="BG666" t="s" s="0">
        <v>8214</v>
      </c>
      <c r="BH666" t="s" s="0">
        <v>783</v>
      </c>
      <c r="BI666" t="s" s="0">
        <v>81</v>
      </c>
      <c r="BJ666" t="s" s="0">
        <v>81</v>
      </c>
      <c r="BK666" t="s" s="0">
        <v>81</v>
      </c>
      <c r="BL666" t="s" s="0">
        <v>81</v>
      </c>
      <c r="BM666" t="s" s="0">
        <v>81</v>
      </c>
      <c r="BN666" t="s" s="0">
        <v>381</v>
      </c>
      <c r="BO666" t="s" s="0">
        <v>296</v>
      </c>
      <c r="BP666" t="s" s="0">
        <v>297</v>
      </c>
      <c r="BQ666" t="s" s="0">
        <v>14703</v>
      </c>
      <c r="BR666" t="s" s="0">
        <v>14704</v>
      </c>
      <c r="BS666" t="s" s="0">
        <v>14705</v>
      </c>
      <c r="BT666" t="s" s="1323">
        <f>HYPERLINK("https://www.webofscience.com/wos/woscc/full-record/WOS:001695074700008","View Record in Web of Science")</f>
        <v>114</v>
      </c>
      <c r="BU666" t="s" s="0">
        <v>81</v>
      </c>
      <c r="BV666" t="s" s="0">
        <v>81</v>
      </c>
      <c r="BW666" t="s" s="0">
        <v>81</v>
      </c>
      <c r="BX666" t="s" s="0">
        <v>116</v>
      </c>
    </row>
    <row r="667">
      <c r="A667" t="s" s="0">
        <v>97</v>
      </c>
      <c r="B667" t="s" s="0">
        <v>77</v>
      </c>
      <c r="C667" t="s" s="0">
        <v>97</v>
      </c>
      <c r="D667" t="s" s="0">
        <v>77</v>
      </c>
      <c r="E667" t="s" s="0">
        <v>14706</v>
      </c>
      <c r="F667" t="s" s="0">
        <v>14707</v>
      </c>
      <c r="G667" t="s" s="0">
        <v>14708</v>
      </c>
      <c r="H667" t="s" s="0">
        <v>81</v>
      </c>
      <c r="I667" t="s" s="0">
        <v>82</v>
      </c>
      <c r="J667" t="s" s="0">
        <v>14709</v>
      </c>
      <c r="K667" t="s" s="0">
        <v>14710</v>
      </c>
      <c r="L667" t="s" s="0">
        <v>14711</v>
      </c>
      <c r="M667" t="s" s="0">
        <v>6919</v>
      </c>
      <c r="N667" t="s" s="0">
        <v>14712</v>
      </c>
      <c r="O667" t="s" s="0">
        <v>14713</v>
      </c>
      <c r="P667" t="s" s="0">
        <v>14714</v>
      </c>
      <c r="Q667" t="s" s="0">
        <v>87</v>
      </c>
      <c r="R667" t="s" s="0">
        <v>81</v>
      </c>
      <c r="S667" t="s" s="0">
        <v>81</v>
      </c>
      <c r="T667" t="s" s="0">
        <v>81</v>
      </c>
      <c r="U667" t="s" s="0">
        <v>81</v>
      </c>
      <c r="V667" t="s" s="0">
        <v>14715</v>
      </c>
      <c r="W667" t="s" s="0">
        <v>6454</v>
      </c>
      <c r="X667" t="s" s="0">
        <v>81</v>
      </c>
      <c r="Y667" t="s" s="0">
        <v>81</v>
      </c>
      <c r="Z667" t="s" s="0">
        <v>90</v>
      </c>
      <c r="AA667" t="s" s="0">
        <v>91</v>
      </c>
      <c r="AB667" t="s" s="0">
        <v>81</v>
      </c>
      <c r="AC667" t="s" s="0">
        <v>81</v>
      </c>
      <c r="AD667" t="s" s="0">
        <v>81</v>
      </c>
      <c r="AE667" t="s" s="0">
        <v>81</v>
      </c>
      <c r="AF667" t="s" s="0">
        <v>81</v>
      </c>
      <c r="AG667" t="s" s="0">
        <v>14716</v>
      </c>
      <c r="AH667" t="s" s="0">
        <v>14717</v>
      </c>
      <c r="AI667" t="s" s="0">
        <v>14718</v>
      </c>
      <c r="AJ667" t="s" s="0">
        <v>14719</v>
      </c>
      <c r="AK667" t="s" s="0">
        <v>81</v>
      </c>
      <c r="AL667" t="s" s="0">
        <v>173</v>
      </c>
      <c r="AM667" t="s" s="0">
        <v>97</v>
      </c>
      <c r="AN667" t="s" s="0">
        <v>196</v>
      </c>
      <c r="AO667" t="s" s="0">
        <v>97</v>
      </c>
      <c r="AP667" t="s" s="0">
        <v>234</v>
      </c>
      <c r="AQ667" t="s" s="0">
        <v>368</v>
      </c>
      <c r="AR667" t="s" s="0">
        <v>369</v>
      </c>
      <c r="AS667" t="s" s="0">
        <v>370</v>
      </c>
      <c r="AT667" t="s" s="0">
        <v>81</v>
      </c>
      <c r="AU667" t="s" s="0">
        <v>6459</v>
      </c>
      <c r="AV667" t="s" s="0">
        <v>81</v>
      </c>
      <c r="AW667" t="s" s="0">
        <v>6460</v>
      </c>
      <c r="AX667" t="s" s="0">
        <v>6461</v>
      </c>
      <c r="AY667" t="s" s="0">
        <v>12352</v>
      </c>
      <c r="AZ667" t="s" s="0">
        <v>185</v>
      </c>
      <c r="BA667" t="s" s="0">
        <v>191</v>
      </c>
      <c r="BB667" t="s" s="0">
        <v>81</v>
      </c>
      <c r="BC667" t="s" s="0">
        <v>81</v>
      </c>
      <c r="BD667" t="s" s="0">
        <v>81</v>
      </c>
      <c r="BE667" t="s" s="0">
        <v>81</v>
      </c>
      <c r="BF667" t="s" s="0">
        <v>81</v>
      </c>
      <c r="BG667" t="s" s="0">
        <v>81</v>
      </c>
      <c r="BH667" t="s" s="0">
        <v>81</v>
      </c>
      <c r="BI667" t="s" s="0">
        <v>14720</v>
      </c>
      <c r="BJ667" t="s" s="0">
        <v>14721</v>
      </c>
      <c r="BK667" t="s" s="1324">
        <f>HYPERLINK("http://dx.doi.org/10.3389/fmolb.2024.1426964","http://dx.doi.org/10.3389/fmolb.2024.1426964")</f>
        <v>14722</v>
      </c>
      <c r="BL667" t="s" s="0">
        <v>81</v>
      </c>
      <c r="BM667" t="s" s="0">
        <v>81</v>
      </c>
      <c r="BN667" t="s" s="0">
        <v>291</v>
      </c>
      <c r="BO667" t="s" s="0">
        <v>6425</v>
      </c>
      <c r="BP667" t="s" s="0">
        <v>6425</v>
      </c>
      <c r="BQ667" t="s" s="0">
        <v>14723</v>
      </c>
      <c r="BR667" t="s" s="0">
        <v>14724</v>
      </c>
      <c r="BS667" t="s" s="0">
        <v>14725</v>
      </c>
      <c r="BT667" t="s" s="1325">
        <f>HYPERLINK("https://www.webofscience.com/wos/woscc/full-record/WOS:001386254400001","View Record in Web of Science")</f>
        <v>114</v>
      </c>
      <c r="BU667" t="s" s="0">
        <v>301</v>
      </c>
      <c r="BV667" t="s" s="0">
        <v>81</v>
      </c>
      <c r="BW667" t="s" s="0">
        <v>81</v>
      </c>
      <c r="BX667" t="s" s="0">
        <v>116</v>
      </c>
    </row>
    <row r="668">
      <c r="A668" t="s" s="0">
        <v>77</v>
      </c>
      <c r="B668" t="s" s="0">
        <v>77</v>
      </c>
      <c r="C668" t="s" s="0">
        <v>191</v>
      </c>
      <c r="D668" t="s" s="0">
        <v>77</v>
      </c>
      <c r="E668" t="s" s="0">
        <v>14726</v>
      </c>
      <c r="F668" t="s" s="0">
        <v>14727</v>
      </c>
      <c r="G668" t="s" s="0">
        <v>14728</v>
      </c>
      <c r="H668" t="s" s="0">
        <v>81</v>
      </c>
      <c r="I668" t="s" s="0">
        <v>82</v>
      </c>
      <c r="J668" t="s" s="0">
        <v>14729</v>
      </c>
      <c r="K668" t="s" s="0">
        <v>14730</v>
      </c>
      <c r="L668" t="s" s="0">
        <v>14731</v>
      </c>
      <c r="M668" t="s" s="0">
        <v>1850</v>
      </c>
      <c r="N668" t="s" s="0">
        <v>14732</v>
      </c>
      <c r="O668" t="s" s="0">
        <v>14733</v>
      </c>
      <c r="P668" t="s" s="0">
        <v>14734</v>
      </c>
      <c r="Q668" t="s" s="0">
        <v>87</v>
      </c>
      <c r="R668" t="s" s="0">
        <v>81</v>
      </c>
      <c r="S668" t="s" s="0">
        <v>81</v>
      </c>
      <c r="T668" t="s" s="0">
        <v>81</v>
      </c>
      <c r="U668" t="s" s="0">
        <v>81</v>
      </c>
      <c r="V668" t="s" s="0">
        <v>14735</v>
      </c>
      <c r="W668" t="s" s="0">
        <v>910</v>
      </c>
      <c r="X668" t="s" s="0">
        <v>81</v>
      </c>
      <c r="Y668" t="s" s="0">
        <v>81</v>
      </c>
      <c r="Z668" t="s" s="0">
        <v>90</v>
      </c>
      <c r="AA668" t="s" s="0">
        <v>91</v>
      </c>
      <c r="AB668" t="s" s="0">
        <v>81</v>
      </c>
      <c r="AC668" t="s" s="0">
        <v>81</v>
      </c>
      <c r="AD668" t="s" s="0">
        <v>81</v>
      </c>
      <c r="AE668" t="s" s="0">
        <v>81</v>
      </c>
      <c r="AF668" t="s" s="0">
        <v>81</v>
      </c>
      <c r="AG668" t="s" s="0">
        <v>14736</v>
      </c>
      <c r="AH668" t="s" s="0">
        <v>14737</v>
      </c>
      <c r="AI668" t="s" s="0">
        <v>14738</v>
      </c>
      <c r="AJ668" t="s" s="0">
        <v>14739</v>
      </c>
      <c r="AK668" t="s" s="0">
        <v>81</v>
      </c>
      <c r="AL668" t="s" s="0">
        <v>1254</v>
      </c>
      <c r="AM668" t="s" s="0">
        <v>150</v>
      </c>
      <c r="AN668" t="s" s="0">
        <v>343</v>
      </c>
      <c r="AO668" t="s" s="0">
        <v>97</v>
      </c>
      <c r="AP668" t="s" s="0">
        <v>211</v>
      </c>
      <c r="AQ668" t="s" s="0">
        <v>915</v>
      </c>
      <c r="AR668" t="s" s="0">
        <v>916</v>
      </c>
      <c r="AS668" t="s" s="0">
        <v>917</v>
      </c>
      <c r="AT668" t="s" s="0">
        <v>918</v>
      </c>
      <c r="AU668" t="s" s="0">
        <v>81</v>
      </c>
      <c r="AV668" t="s" s="0">
        <v>81</v>
      </c>
      <c r="AW668" t="s" s="0">
        <v>919</v>
      </c>
      <c r="AX668" t="s" s="0">
        <v>920</v>
      </c>
      <c r="AY668" t="s" s="0">
        <v>14740</v>
      </c>
      <c r="AZ668" t="s" s="0">
        <v>185</v>
      </c>
      <c r="BA668" t="s" s="0">
        <v>104</v>
      </c>
      <c r="BB668" t="s" s="0">
        <v>97</v>
      </c>
      <c r="BC668" t="s" s="0">
        <v>81</v>
      </c>
      <c r="BD668" t="s" s="0">
        <v>81</v>
      </c>
      <c r="BE668" t="s" s="0">
        <v>81</v>
      </c>
      <c r="BF668" t="s" s="0">
        <v>81</v>
      </c>
      <c r="BG668" t="s" s="0">
        <v>81</v>
      </c>
      <c r="BH668" t="s" s="0">
        <v>81</v>
      </c>
      <c r="BI668" t="s" s="0">
        <v>14741</v>
      </c>
      <c r="BJ668" t="s" s="0">
        <v>14742</v>
      </c>
      <c r="BK668" t="s" s="1326">
        <f>HYPERLINK("http://dx.doi.org/10.1038/s41598-024-57740-5","http://dx.doi.org/10.1038/s41598-024-57740-5")</f>
        <v>14743</v>
      </c>
      <c r="BL668" t="s" s="0">
        <v>81</v>
      </c>
      <c r="BM668" t="s" s="0">
        <v>81</v>
      </c>
      <c r="BN668" t="s" s="0">
        <v>222</v>
      </c>
      <c r="BO668" t="s" s="0">
        <v>926</v>
      </c>
      <c r="BP668" t="s" s="0">
        <v>927</v>
      </c>
      <c r="BQ668" t="s" s="0">
        <v>14744</v>
      </c>
      <c r="BR668" t="s" s="0">
        <v>14745</v>
      </c>
      <c r="BS668" t="s" s="0">
        <v>14746</v>
      </c>
      <c r="BT668" t="s" s="1327">
        <f>HYPERLINK("https://www.webofscience.com/wos/woscc/full-record/WOS:001201413300021","View Record in Web of Science")</f>
        <v>114</v>
      </c>
      <c r="BU668" t="s" s="0">
        <v>301</v>
      </c>
      <c r="BV668" t="s" s="0">
        <v>81</v>
      </c>
      <c r="BW668" t="s" s="0">
        <v>81</v>
      </c>
      <c r="BX668" t="s" s="0">
        <v>116</v>
      </c>
    </row>
    <row r="669">
      <c r="A669" t="s" s="0">
        <v>77</v>
      </c>
      <c r="B669" t="s" s="0">
        <v>77</v>
      </c>
      <c r="C669" t="s" s="0">
        <v>77</v>
      </c>
      <c r="D669" t="s" s="0">
        <v>77</v>
      </c>
      <c r="E669" t="s" s="0">
        <v>14747</v>
      </c>
      <c r="F669" t="s" s="0">
        <v>14748</v>
      </c>
      <c r="G669" t="s" s="0">
        <v>14749</v>
      </c>
      <c r="H669" t="s" s="0">
        <v>81</v>
      </c>
      <c r="I669" t="s" s="0">
        <v>82</v>
      </c>
      <c r="J669" t="s" s="0">
        <v>14750</v>
      </c>
      <c r="K669" t="s" s="0">
        <v>14751</v>
      </c>
      <c r="L669" t="s" s="0">
        <v>14752</v>
      </c>
      <c r="M669" t="s" s="0">
        <v>14753</v>
      </c>
      <c r="N669" t="s" s="0">
        <v>14754</v>
      </c>
      <c r="O669" t="s" s="0">
        <v>14755</v>
      </c>
      <c r="P669" t="s" s="0">
        <v>14756</v>
      </c>
      <c r="Q669" t="s" s="0">
        <v>87</v>
      </c>
      <c r="R669" t="s" s="0">
        <v>81</v>
      </c>
      <c r="S669" t="s" s="0">
        <v>81</v>
      </c>
      <c r="T669" t="s" s="0">
        <v>81</v>
      </c>
      <c r="U669" t="s" s="0">
        <v>81</v>
      </c>
      <c r="V669" t="s" s="0">
        <v>14757</v>
      </c>
      <c r="W669" t="s" s="0">
        <v>14758</v>
      </c>
      <c r="X669" t="s" s="0">
        <v>81</v>
      </c>
      <c r="Y669" t="s" s="0">
        <v>81</v>
      </c>
      <c r="Z669" t="s" s="0">
        <v>90</v>
      </c>
      <c r="AA669" t="s" s="0">
        <v>91</v>
      </c>
      <c r="AB669" t="s" s="0">
        <v>81</v>
      </c>
      <c r="AC669" t="s" s="0">
        <v>81</v>
      </c>
      <c r="AD669" t="s" s="0">
        <v>81</v>
      </c>
      <c r="AE669" t="s" s="0">
        <v>81</v>
      </c>
      <c r="AF669" t="s" s="0">
        <v>81</v>
      </c>
      <c r="AG669" t="s" s="0">
        <v>14759</v>
      </c>
      <c r="AH669" t="s" s="0">
        <v>14760</v>
      </c>
      <c r="AI669" t="s" s="0">
        <v>81</v>
      </c>
      <c r="AJ669" t="s" s="0">
        <v>81</v>
      </c>
      <c r="AK669" t="s" s="0">
        <v>81</v>
      </c>
      <c r="AL669" t="s" s="0">
        <v>343</v>
      </c>
      <c r="AM669" t="s" s="0">
        <v>77</v>
      </c>
      <c r="AN669" t="s" s="0">
        <v>77</v>
      </c>
      <c r="AO669" t="s" s="0">
        <v>77</v>
      </c>
      <c r="AP669" t="s" s="0">
        <v>77</v>
      </c>
      <c r="AQ669" t="s" s="0">
        <v>726</v>
      </c>
      <c r="AR669" t="s" s="0">
        <v>727</v>
      </c>
      <c r="AS669" t="s" s="0">
        <v>728</v>
      </c>
      <c r="AT669" t="s" s="0">
        <v>14761</v>
      </c>
      <c r="AU669" t="s" s="0">
        <v>14762</v>
      </c>
      <c r="AV669" t="s" s="0">
        <v>81</v>
      </c>
      <c r="AW669" t="s" s="0">
        <v>14763</v>
      </c>
      <c r="AX669" t="s" s="0">
        <v>14764</v>
      </c>
      <c r="AY669" t="s" s="0">
        <v>849</v>
      </c>
      <c r="AZ669" t="s" s="0">
        <v>103</v>
      </c>
      <c r="BA669" t="s" s="0">
        <v>174</v>
      </c>
      <c r="BB669" t="s" s="0">
        <v>191</v>
      </c>
      <c r="BC669" t="s" s="0">
        <v>81</v>
      </c>
      <c r="BD669" t="s" s="0">
        <v>81</v>
      </c>
      <c r="BE669" t="s" s="0">
        <v>81</v>
      </c>
      <c r="BF669" t="s" s="0">
        <v>81</v>
      </c>
      <c r="BG669" t="s" s="0">
        <v>81</v>
      </c>
      <c r="BH669" t="s" s="0">
        <v>81</v>
      </c>
      <c r="BI669" t="s" s="0">
        <v>14765</v>
      </c>
      <c r="BJ669" t="s" s="0">
        <v>14766</v>
      </c>
      <c r="BK669" t="s" s="1328">
        <f>HYPERLINK("http://dx.doi.org/10.1002/cpe.70739","http://dx.doi.org/10.1002/cpe.70739")</f>
        <v>14767</v>
      </c>
      <c r="BL669" t="s" s="0">
        <v>81</v>
      </c>
      <c r="BM669" t="s" s="0">
        <v>81</v>
      </c>
      <c r="BN669" t="s" s="0">
        <v>211</v>
      </c>
      <c r="BO669" t="s" s="0">
        <v>14768</v>
      </c>
      <c r="BP669" t="s" s="0">
        <v>152</v>
      </c>
      <c r="BQ669" t="s" s="0">
        <v>14769</v>
      </c>
      <c r="BR669" t="s" s="0">
        <v>81</v>
      </c>
      <c r="BS669" t="s" s="0">
        <v>14770</v>
      </c>
      <c r="BT669" t="s" s="1329">
        <f>HYPERLINK("https://www.webofscience.com/wos/woscc/full-record/WOS:001788247200019","View Record in Web of Science")</f>
        <v>114</v>
      </c>
      <c r="BU669" t="s" s="0">
        <v>81</v>
      </c>
      <c r="BV669" t="s" s="0">
        <v>81</v>
      </c>
      <c r="BW669" t="s" s="0">
        <v>81</v>
      </c>
      <c r="BX669" t="s" s="0">
        <v>116</v>
      </c>
    </row>
    <row r="670">
      <c r="A670" t="s" s="0">
        <v>77</v>
      </c>
      <c r="B670" t="s" s="0">
        <v>77</v>
      </c>
      <c r="C670" t="s" s="0">
        <v>77</v>
      </c>
      <c r="D670" t="s" s="0">
        <v>77</v>
      </c>
      <c r="E670" t="s" s="0">
        <v>14771</v>
      </c>
      <c r="F670" t="s" s="0">
        <v>14772</v>
      </c>
      <c r="G670" t="s" s="0">
        <v>14773</v>
      </c>
      <c r="H670" t="s" s="0">
        <v>81</v>
      </c>
      <c r="I670" t="s" s="0">
        <v>82</v>
      </c>
      <c r="J670" t="s" s="0">
        <v>14774</v>
      </c>
      <c r="K670" t="s" s="0">
        <v>14775</v>
      </c>
      <c r="L670" t="s" s="0">
        <v>14776</v>
      </c>
      <c r="M670" t="s" s="0">
        <v>14776</v>
      </c>
      <c r="N670" t="s" s="0">
        <v>14777</v>
      </c>
      <c r="O670" t="s" s="0">
        <v>14778</v>
      </c>
      <c r="P670" t="s" s="0">
        <v>14779</v>
      </c>
      <c r="Q670" t="s" s="0">
        <v>87</v>
      </c>
      <c r="R670" t="s" s="0">
        <v>81</v>
      </c>
      <c r="S670" t="s" s="0">
        <v>81</v>
      </c>
      <c r="T670" t="s" s="0">
        <v>81</v>
      </c>
      <c r="U670" t="s" s="0">
        <v>81</v>
      </c>
      <c r="V670" t="s" s="0">
        <v>14780</v>
      </c>
      <c r="W670" t="s" s="0">
        <v>89</v>
      </c>
      <c r="X670" t="s" s="0">
        <v>81</v>
      </c>
      <c r="Y670" t="s" s="0">
        <v>81</v>
      </c>
      <c r="Z670" t="s" s="0">
        <v>90</v>
      </c>
      <c r="AA670" t="s" s="0">
        <v>91</v>
      </c>
      <c r="AB670" t="s" s="0">
        <v>81</v>
      </c>
      <c r="AC670" t="s" s="0">
        <v>81</v>
      </c>
      <c r="AD670" t="s" s="0">
        <v>81</v>
      </c>
      <c r="AE670" t="s" s="0">
        <v>81</v>
      </c>
      <c r="AF670" t="s" s="0">
        <v>81</v>
      </c>
      <c r="AG670" t="s" s="0">
        <v>14781</v>
      </c>
      <c r="AH670" t="s" s="0">
        <v>81</v>
      </c>
      <c r="AI670" t="s" s="0">
        <v>14782</v>
      </c>
      <c r="AJ670" t="s" s="0">
        <v>14783</v>
      </c>
      <c r="AK670" t="s" s="0">
        <v>81</v>
      </c>
      <c r="AL670" t="s" s="0">
        <v>508</v>
      </c>
      <c r="AM670" t="s" s="0">
        <v>156</v>
      </c>
      <c r="AN670" t="s" s="0">
        <v>156</v>
      </c>
      <c r="AO670" t="s" s="0">
        <v>97</v>
      </c>
      <c r="AP670" t="s" s="0">
        <v>261</v>
      </c>
      <c r="AQ670" t="s" s="0">
        <v>98</v>
      </c>
      <c r="AR670" t="s" s="0">
        <v>99</v>
      </c>
      <c r="AS670" t="s" s="0">
        <v>100</v>
      </c>
      <c r="AT670" t="s" s="0">
        <v>101</v>
      </c>
      <c r="AU670" t="s" s="0">
        <v>81</v>
      </c>
      <c r="AV670" t="s" s="0">
        <v>81</v>
      </c>
      <c r="AW670" t="s" s="0">
        <v>89</v>
      </c>
      <c r="AX670" t="s" s="0">
        <v>102</v>
      </c>
      <c r="AY670" t="s" s="0">
        <v>290</v>
      </c>
      <c r="AZ670" t="s" s="0">
        <v>290</v>
      </c>
      <c r="BA670" t="s" s="0">
        <v>486</v>
      </c>
      <c r="BB670" t="s" s="0">
        <v>81</v>
      </c>
      <c r="BC670" t="s" s="0">
        <v>81</v>
      </c>
      <c r="BD670" t="s" s="0">
        <v>81</v>
      </c>
      <c r="BE670" t="s" s="0">
        <v>81</v>
      </c>
      <c r="BF670" t="s" s="0">
        <v>81</v>
      </c>
      <c r="BG670" t="s" s="0">
        <v>14784</v>
      </c>
      <c r="BH670" t="s" s="0">
        <v>14785</v>
      </c>
      <c r="BI670" t="s" s="0">
        <v>81</v>
      </c>
      <c r="BJ670" t="s" s="0">
        <v>14786</v>
      </c>
      <c r="BK670" t="s" s="1330">
        <f>HYPERLINK("http://dx.doi.org/10.1109/ACCESS.2025.3598276","http://dx.doi.org/10.1109/ACCESS.2025.3598276")</f>
        <v>14787</v>
      </c>
      <c r="BL670" t="s" s="0">
        <v>81</v>
      </c>
      <c r="BM670" t="s" s="0">
        <v>81</v>
      </c>
      <c r="BN670" t="s" s="0">
        <v>367</v>
      </c>
      <c r="BO670" t="s" s="0">
        <v>110</v>
      </c>
      <c r="BP670" t="s" s="0">
        <v>111</v>
      </c>
      <c r="BQ670" t="s" s="0">
        <v>14788</v>
      </c>
      <c r="BR670" t="s" s="0">
        <v>81</v>
      </c>
      <c r="BS670" t="s" s="0">
        <v>14789</v>
      </c>
      <c r="BT670" t="s" s="1331">
        <f>HYPERLINK("https://www.webofscience.com/wos/woscc/full-record/WOS:001562578800023","View Record in Web of Science")</f>
        <v>114</v>
      </c>
      <c r="BU670" t="s" s="0">
        <v>301</v>
      </c>
      <c r="BV670" t="s" s="0">
        <v>81</v>
      </c>
      <c r="BW670" t="s" s="0">
        <v>81</v>
      </c>
      <c r="BX670" t="s" s="0">
        <v>116</v>
      </c>
    </row>
    <row r="671">
      <c r="A671" t="s" s="0">
        <v>77</v>
      </c>
      <c r="B671" t="s" s="0">
        <v>77</v>
      </c>
      <c r="C671" t="s" s="0">
        <v>191</v>
      </c>
      <c r="D671" t="s" s="0">
        <v>77</v>
      </c>
      <c r="E671" t="s" s="0">
        <v>14790</v>
      </c>
      <c r="F671" t="s" s="0">
        <v>14791</v>
      </c>
      <c r="G671" t="s" s="0">
        <v>14792</v>
      </c>
      <c r="H671" t="s" s="0">
        <v>81</v>
      </c>
      <c r="I671" t="s" s="0">
        <v>82</v>
      </c>
      <c r="J671" t="s" s="0">
        <v>14793</v>
      </c>
      <c r="K671" t="s" s="0">
        <v>14794</v>
      </c>
      <c r="L671" t="s" s="0">
        <v>81</v>
      </c>
      <c r="M671" t="s" s="0">
        <v>81</v>
      </c>
      <c r="N671" t="s" s="0">
        <v>81</v>
      </c>
      <c r="O671" t="s" s="0">
        <v>14795</v>
      </c>
      <c r="P671" t="s" s="0">
        <v>4666</v>
      </c>
      <c r="Q671" t="s" s="0">
        <v>87</v>
      </c>
      <c r="R671" t="s" s="0">
        <v>81</v>
      </c>
      <c r="S671" t="s" s="0">
        <v>81</v>
      </c>
      <c r="T671" t="s" s="0">
        <v>81</v>
      </c>
      <c r="U671" t="s" s="0">
        <v>81</v>
      </c>
      <c r="V671" t="s" s="0">
        <v>14796</v>
      </c>
      <c r="W671" t="s" s="0">
        <v>1340</v>
      </c>
      <c r="X671" t="s" s="0">
        <v>81</v>
      </c>
      <c r="Y671" t="s" s="0">
        <v>81</v>
      </c>
      <c r="Z671" t="s" s="0">
        <v>90</v>
      </c>
      <c r="AA671" t="s" s="0">
        <v>91</v>
      </c>
      <c r="AB671" t="s" s="0">
        <v>81</v>
      </c>
      <c r="AC671" t="s" s="0">
        <v>81</v>
      </c>
      <c r="AD671" t="s" s="0">
        <v>81</v>
      </c>
      <c r="AE671" t="s" s="0">
        <v>81</v>
      </c>
      <c r="AF671" t="s" s="0">
        <v>81</v>
      </c>
      <c r="AG671" t="s" s="0">
        <v>14797</v>
      </c>
      <c r="AH671" t="s" s="0">
        <v>14798</v>
      </c>
      <c r="AI671" t="s" s="0">
        <v>14799</v>
      </c>
      <c r="AJ671" t="s" s="0">
        <v>14800</v>
      </c>
      <c r="AK671" t="s" s="0">
        <v>81</v>
      </c>
      <c r="AL671" t="s" s="0">
        <v>734</v>
      </c>
      <c r="AM671" t="s" s="0">
        <v>890</v>
      </c>
      <c r="AN671" t="s" s="0">
        <v>1912</v>
      </c>
      <c r="AO671" t="s" s="0">
        <v>97</v>
      </c>
      <c r="AP671" t="s" s="0">
        <v>109</v>
      </c>
      <c r="AQ671" t="s" s="0">
        <v>1344</v>
      </c>
      <c r="AR671" t="s" s="0">
        <v>1345</v>
      </c>
      <c r="AS671" t="s" s="0">
        <v>1346</v>
      </c>
      <c r="AT671" t="s" s="0">
        <v>1347</v>
      </c>
      <c r="AU671" t="s" s="0">
        <v>1348</v>
      </c>
      <c r="AV671" t="s" s="0">
        <v>81</v>
      </c>
      <c r="AW671" t="s" s="0">
        <v>1349</v>
      </c>
      <c r="AX671" t="s" s="0">
        <v>1350</v>
      </c>
      <c r="AY671" t="s" s="0">
        <v>14801</v>
      </c>
      <c r="AZ671" t="s" s="0">
        <v>260</v>
      </c>
      <c r="BA671" t="s" s="0">
        <v>14802</v>
      </c>
      <c r="BB671" t="s" s="0">
        <v>81</v>
      </c>
      <c r="BC671" t="s" s="0">
        <v>81</v>
      </c>
      <c r="BD671" t="s" s="0">
        <v>81</v>
      </c>
      <c r="BE671" t="s" s="0">
        <v>81</v>
      </c>
      <c r="BF671" t="s" s="0">
        <v>81</v>
      </c>
      <c r="BG671" t="s" s="0">
        <v>81</v>
      </c>
      <c r="BH671" t="s" s="0">
        <v>81</v>
      </c>
      <c r="BI671" t="s" s="0">
        <v>14803</v>
      </c>
      <c r="BJ671" t="s" s="0">
        <v>14804</v>
      </c>
      <c r="BK671" t="s" s="1332">
        <f>HYPERLINK("http://dx.doi.org/10.1016/j.eswa.2023.120130","http://dx.doi.org/10.1016/j.eswa.2023.120130")</f>
        <v>14805</v>
      </c>
      <c r="BL671" t="s" s="0">
        <v>81</v>
      </c>
      <c r="BM671" t="s" s="0">
        <v>6608</v>
      </c>
      <c r="BN671" t="s" s="0">
        <v>104</v>
      </c>
      <c r="BO671" t="s" s="0">
        <v>1356</v>
      </c>
      <c r="BP671" t="s" s="0">
        <v>1357</v>
      </c>
      <c r="BQ671" t="s" s="0">
        <v>14806</v>
      </c>
      <c r="BR671" t="s" s="0">
        <v>81</v>
      </c>
      <c r="BS671" t="s" s="0">
        <v>14807</v>
      </c>
      <c r="BT671" t="s" s="1333">
        <f>HYPERLINK("https://www.webofscience.com/wos/woscc/full-record/WOS:000983733400001","View Record in Web of Science")</f>
        <v>114</v>
      </c>
      <c r="BU671" t="s" s="0">
        <v>81</v>
      </c>
      <c r="BV671" t="s" s="0">
        <v>81</v>
      </c>
      <c r="BW671" t="s" s="0">
        <v>81</v>
      </c>
      <c r="BX671" t="s" s="0">
        <v>116</v>
      </c>
    </row>
    <row r="672">
      <c r="A672" t="s" s="0">
        <v>77</v>
      </c>
      <c r="B672" t="s" s="0">
        <v>77</v>
      </c>
      <c r="C672" t="s" s="0">
        <v>77</v>
      </c>
      <c r="D672" t="s" s="0">
        <v>77</v>
      </c>
      <c r="E672" t="s" s="0">
        <v>14808</v>
      </c>
      <c r="F672" t="s" s="0">
        <v>14809</v>
      </c>
      <c r="G672" t="s" s="0">
        <v>14810</v>
      </c>
      <c r="H672" t="s" s="0">
        <v>81</v>
      </c>
      <c r="I672" t="s" s="0">
        <v>82</v>
      </c>
      <c r="J672" t="s" s="0">
        <v>14811</v>
      </c>
      <c r="K672" t="s" s="0">
        <v>14812</v>
      </c>
      <c r="L672" t="s" s="0">
        <v>81</v>
      </c>
      <c r="M672" t="s" s="0">
        <v>81</v>
      </c>
      <c r="N672" t="s" s="0">
        <v>81</v>
      </c>
      <c r="O672" t="s" s="0">
        <v>14813</v>
      </c>
      <c r="P672" t="s" s="0">
        <v>14814</v>
      </c>
      <c r="Q672" t="s" s="0">
        <v>87</v>
      </c>
      <c r="R672" t="s" s="0">
        <v>81</v>
      </c>
      <c r="S672" t="s" s="0">
        <v>81</v>
      </c>
      <c r="T672" t="s" s="0">
        <v>81</v>
      </c>
      <c r="U672" t="s" s="0">
        <v>81</v>
      </c>
      <c r="V672" t="s" s="0">
        <v>14815</v>
      </c>
      <c r="W672" t="s" s="0">
        <v>14816</v>
      </c>
      <c r="X672" t="s" s="0">
        <v>81</v>
      </c>
      <c r="Y672" t="s" s="0">
        <v>81</v>
      </c>
      <c r="Z672" t="s" s="0">
        <v>90</v>
      </c>
      <c r="AA672" t="s" s="0">
        <v>1581</v>
      </c>
      <c r="AB672" t="s" s="0">
        <v>81</v>
      </c>
      <c r="AC672" t="s" s="0">
        <v>81</v>
      </c>
      <c r="AD672" t="s" s="0">
        <v>81</v>
      </c>
      <c r="AE672" t="s" s="0">
        <v>81</v>
      </c>
      <c r="AF672" t="s" s="0">
        <v>81</v>
      </c>
      <c r="AG672" t="s" s="0">
        <v>14817</v>
      </c>
      <c r="AH672" t="s" s="0">
        <v>8249</v>
      </c>
      <c r="AI672" t="s" s="0">
        <v>81</v>
      </c>
      <c r="AJ672" t="s" s="0">
        <v>81</v>
      </c>
      <c r="AK672" t="s" s="0">
        <v>81</v>
      </c>
      <c r="AL672" t="s" s="0">
        <v>664</v>
      </c>
      <c r="AM672" t="s" s="0">
        <v>77</v>
      </c>
      <c r="AN672" t="s" s="0">
        <v>77</v>
      </c>
      <c r="AO672" t="s" s="0">
        <v>77</v>
      </c>
      <c r="AP672" t="s" s="0">
        <v>77</v>
      </c>
      <c r="AQ672" t="s" s="0">
        <v>636</v>
      </c>
      <c r="AR672" t="s" s="0">
        <v>637</v>
      </c>
      <c r="AS672" t="s" s="0">
        <v>638</v>
      </c>
      <c r="AT672" t="s" s="0">
        <v>14818</v>
      </c>
      <c r="AU672" t="s" s="0">
        <v>14819</v>
      </c>
      <c r="AV672" t="s" s="0">
        <v>81</v>
      </c>
      <c r="AW672" t="s" s="0">
        <v>14820</v>
      </c>
      <c r="AX672" t="s" s="0">
        <v>14821</v>
      </c>
      <c r="AY672" t="s" s="0">
        <v>81</v>
      </c>
      <c r="AZ672" t="s" s="0">
        <v>103</v>
      </c>
      <c r="BA672" t="s" s="0">
        <v>81</v>
      </c>
      <c r="BB672" t="s" s="0">
        <v>81</v>
      </c>
      <c r="BC672" t="s" s="0">
        <v>81</v>
      </c>
      <c r="BD672" t="s" s="0">
        <v>81</v>
      </c>
      <c r="BE672" t="s" s="0">
        <v>81</v>
      </c>
      <c r="BF672" t="s" s="0">
        <v>81</v>
      </c>
      <c r="BG672" t="s" s="0">
        <v>81</v>
      </c>
      <c r="BH672" t="s" s="0">
        <v>81</v>
      </c>
      <c r="BI672" t="s" s="0">
        <v>81</v>
      </c>
      <c r="BJ672" t="s" s="0">
        <v>14822</v>
      </c>
      <c r="BK672" t="s" s="1334">
        <f>HYPERLINK("http://dx.doi.org/10.1080/01616412.2026.2661743","http://dx.doi.org/10.1080/01616412.2026.2661743")</f>
        <v>14823</v>
      </c>
      <c r="BL672" t="s" s="0">
        <v>81</v>
      </c>
      <c r="BM672" t="s" s="0">
        <v>948</v>
      </c>
      <c r="BN672" t="s" s="0">
        <v>1635</v>
      </c>
      <c r="BO672" t="s" s="0">
        <v>3906</v>
      </c>
      <c r="BP672" t="s" s="0">
        <v>2504</v>
      </c>
      <c r="BQ672" t="s" s="0">
        <v>14824</v>
      </c>
      <c r="BR672" t="s" s="0">
        <v>14825</v>
      </c>
      <c r="BS672" t="s" s="0">
        <v>14826</v>
      </c>
      <c r="BT672" t="s" s="1335">
        <f>HYPERLINK("https://www.webofscience.com/wos/woscc/full-record/WOS:001746465200001","View Record in Web of Science")</f>
        <v>114</v>
      </c>
      <c r="BU672" t="s" s="0">
        <v>81</v>
      </c>
      <c r="BV672" t="s" s="0">
        <v>81</v>
      </c>
      <c r="BW672" t="s" s="0">
        <v>81</v>
      </c>
      <c r="BX672" t="s" s="0">
        <v>116</v>
      </c>
    </row>
    <row r="673">
      <c r="A673" t="s" s="0">
        <v>77</v>
      </c>
      <c r="B673" t="s" s="0">
        <v>77</v>
      </c>
      <c r="C673" t="s" s="0">
        <v>77</v>
      </c>
      <c r="D673" t="s" s="0">
        <v>77</v>
      </c>
      <c r="E673" t="s" s="0">
        <v>14827</v>
      </c>
      <c r="F673" t="s" s="0">
        <v>14828</v>
      </c>
      <c r="G673" t="s" s="0">
        <v>14829</v>
      </c>
      <c r="H673" t="s" s="0">
        <v>81</v>
      </c>
      <c r="I673" t="s" s="0">
        <v>238</v>
      </c>
      <c r="J673" t="s" s="0">
        <v>14830</v>
      </c>
      <c r="K673" t="s" s="0">
        <v>14831</v>
      </c>
      <c r="L673" t="s" s="0">
        <v>14832</v>
      </c>
      <c r="M673" t="s" s="0">
        <v>4877</v>
      </c>
      <c r="N673" t="s" s="0">
        <v>14833</v>
      </c>
      <c r="O673" t="s" s="0">
        <v>14834</v>
      </c>
      <c r="P673" t="s" s="0">
        <v>14835</v>
      </c>
      <c r="Q673" t="s" s="0">
        <v>87</v>
      </c>
      <c r="R673" t="s" s="0">
        <v>81</v>
      </c>
      <c r="S673" t="s" s="0">
        <v>81</v>
      </c>
      <c r="T673" t="s" s="0">
        <v>81</v>
      </c>
      <c r="U673" t="s" s="0">
        <v>81</v>
      </c>
      <c r="V673" t="s" s="0">
        <v>14836</v>
      </c>
      <c r="W673" t="s" s="0">
        <v>14837</v>
      </c>
      <c r="X673" t="s" s="0">
        <v>81</v>
      </c>
      <c r="Y673" t="s" s="0">
        <v>81</v>
      </c>
      <c r="Z673" t="s" s="0">
        <v>90</v>
      </c>
      <c r="AA673" t="s" s="0">
        <v>91</v>
      </c>
      <c r="AB673" t="s" s="0">
        <v>81</v>
      </c>
      <c r="AC673" t="s" s="0">
        <v>81</v>
      </c>
      <c r="AD673" t="s" s="0">
        <v>81</v>
      </c>
      <c r="AE673" t="s" s="0">
        <v>81</v>
      </c>
      <c r="AF673" t="s" s="0">
        <v>81</v>
      </c>
      <c r="AG673" t="s" s="0">
        <v>14838</v>
      </c>
      <c r="AH673" t="s" s="0">
        <v>14839</v>
      </c>
      <c r="AI673" t="s" s="0">
        <v>14840</v>
      </c>
      <c r="AJ673" t="s" s="0">
        <v>14841</v>
      </c>
      <c r="AK673" t="s" s="0">
        <v>81</v>
      </c>
      <c r="AL673" t="s" s="0">
        <v>1785</v>
      </c>
      <c r="AM673" t="s" s="0">
        <v>97</v>
      </c>
      <c r="AN673" t="s" s="0">
        <v>97</v>
      </c>
      <c r="AO673" t="s" s="0">
        <v>77</v>
      </c>
      <c r="AP673" t="s" s="0">
        <v>77</v>
      </c>
      <c r="AQ673" t="s" s="0">
        <v>726</v>
      </c>
      <c r="AR673" t="s" s="0">
        <v>727</v>
      </c>
      <c r="AS673" t="s" s="0">
        <v>728</v>
      </c>
      <c r="AT673" t="s" s="0">
        <v>14842</v>
      </c>
      <c r="AU673" t="s" s="0">
        <v>81</v>
      </c>
      <c r="AV673" t="s" s="0">
        <v>81</v>
      </c>
      <c r="AW673" t="s" s="0">
        <v>14843</v>
      </c>
      <c r="AX673" t="s" s="0">
        <v>14844</v>
      </c>
      <c r="AY673" t="s" s="0">
        <v>4429</v>
      </c>
      <c r="AZ673" t="s" s="0">
        <v>103</v>
      </c>
      <c r="BA673" t="s" s="0">
        <v>211</v>
      </c>
      <c r="BB673" t="s" s="0">
        <v>81</v>
      </c>
      <c r="BC673" t="s" s="0">
        <v>81</v>
      </c>
      <c r="BD673" t="s" s="0">
        <v>81</v>
      </c>
      <c r="BE673" t="s" s="0">
        <v>97</v>
      </c>
      <c r="BF673" t="s" s="0">
        <v>81</v>
      </c>
      <c r="BG673" t="s" s="0">
        <v>81</v>
      </c>
      <c r="BH673" t="s" s="0">
        <v>81</v>
      </c>
      <c r="BI673" t="s" s="0">
        <v>14845</v>
      </c>
      <c r="BJ673" t="s" s="0">
        <v>14846</v>
      </c>
      <c r="BK673" t="s" s="1336">
        <f>HYPERLINK("http://dx.doi.org/10.1002/lrh2.70091","http://dx.doi.org/10.1002/lrh2.70091")</f>
        <v>14847</v>
      </c>
      <c r="BL673" t="s" s="0">
        <v>81</v>
      </c>
      <c r="BM673" t="s" s="0">
        <v>81</v>
      </c>
      <c r="BN673" t="s" s="0">
        <v>381</v>
      </c>
      <c r="BO673" t="s" s="0">
        <v>14848</v>
      </c>
      <c r="BP673" t="s" s="0">
        <v>792</v>
      </c>
      <c r="BQ673" t="s" s="0">
        <v>14849</v>
      </c>
      <c r="BR673" t="s" s="0">
        <v>14850</v>
      </c>
      <c r="BS673" t="s" s="0">
        <v>14851</v>
      </c>
      <c r="BT673" t="s" s="1337">
        <f>HYPERLINK("https://www.webofscience.com/wos/woscc/full-record/WOS:001778559200001","View Record in Web of Science")</f>
        <v>114</v>
      </c>
      <c r="BU673" t="s" s="0">
        <v>301</v>
      </c>
      <c r="BV673" t="s" s="0">
        <v>81</v>
      </c>
      <c r="BW673" t="s" s="0">
        <v>81</v>
      </c>
      <c r="BX673" t="s" s="0">
        <v>116</v>
      </c>
    </row>
    <row r="674">
      <c r="A674" t="s" s="0">
        <v>77</v>
      </c>
      <c r="B674" t="s" s="0">
        <v>77</v>
      </c>
      <c r="C674" t="s" s="0">
        <v>211</v>
      </c>
      <c r="D674" t="s" s="0">
        <v>77</v>
      </c>
      <c r="E674" t="s" s="0">
        <v>14852</v>
      </c>
      <c r="F674" t="s" s="0">
        <v>14853</v>
      </c>
      <c r="G674" t="s" s="0">
        <v>14854</v>
      </c>
      <c r="H674" t="s" s="0">
        <v>81</v>
      </c>
      <c r="I674" t="s" s="0">
        <v>82</v>
      </c>
      <c r="J674" t="s" s="0">
        <v>14855</v>
      </c>
      <c r="K674" t="s" s="0">
        <v>14856</v>
      </c>
      <c r="L674" t="s" s="0">
        <v>12126</v>
      </c>
      <c r="M674" t="s" s="0">
        <v>1850</v>
      </c>
      <c r="N674" t="s" s="0">
        <v>14857</v>
      </c>
      <c r="O674" t="s" s="0">
        <v>14858</v>
      </c>
      <c r="P674" t="s" s="0">
        <v>14859</v>
      </c>
      <c r="Q674" t="s" s="0">
        <v>87</v>
      </c>
      <c r="R674" t="s" s="0">
        <v>81</v>
      </c>
      <c r="S674" t="s" s="0">
        <v>81</v>
      </c>
      <c r="T674" t="s" s="0">
        <v>81</v>
      </c>
      <c r="U674" t="s" s="0">
        <v>81</v>
      </c>
      <c r="V674" t="s" s="0">
        <v>14860</v>
      </c>
      <c r="W674" t="s" s="0">
        <v>14117</v>
      </c>
      <c r="X674" t="s" s="0">
        <v>81</v>
      </c>
      <c r="Y674" t="s" s="0">
        <v>81</v>
      </c>
      <c r="Z674" t="s" s="0">
        <v>90</v>
      </c>
      <c r="AA674" t="s" s="0">
        <v>91</v>
      </c>
      <c r="AB674" t="s" s="0">
        <v>81</v>
      </c>
      <c r="AC674" t="s" s="0">
        <v>81</v>
      </c>
      <c r="AD674" t="s" s="0">
        <v>81</v>
      </c>
      <c r="AE674" t="s" s="0">
        <v>81</v>
      </c>
      <c r="AF674" t="s" s="0">
        <v>81</v>
      </c>
      <c r="AG674" t="s" s="0">
        <v>14861</v>
      </c>
      <c r="AH674" t="s" s="0">
        <v>81</v>
      </c>
      <c r="AI674" t="s" s="0">
        <v>14862</v>
      </c>
      <c r="AJ674" t="s" s="0">
        <v>14863</v>
      </c>
      <c r="AK674" t="s" s="0">
        <v>81</v>
      </c>
      <c r="AL674" t="s" s="0">
        <v>253</v>
      </c>
      <c r="AM674" t="s" s="0">
        <v>210</v>
      </c>
      <c r="AN674" t="s" s="0">
        <v>176</v>
      </c>
      <c r="AO674" t="s" s="0">
        <v>77</v>
      </c>
      <c r="AP674" t="s" s="0">
        <v>211</v>
      </c>
      <c r="AQ674" t="s" s="0">
        <v>9192</v>
      </c>
      <c r="AR674" t="s" s="0">
        <v>9193</v>
      </c>
      <c r="AS674" t="s" s="0">
        <v>9194</v>
      </c>
      <c r="AT674" t="s" s="0">
        <v>14121</v>
      </c>
      <c r="AU674" t="s" s="0">
        <v>14122</v>
      </c>
      <c r="AV674" t="s" s="0">
        <v>81</v>
      </c>
      <c r="AW674" t="s" s="0">
        <v>14123</v>
      </c>
      <c r="AX674" t="s" s="0">
        <v>14124</v>
      </c>
      <c r="AY674" t="s" s="0">
        <v>185</v>
      </c>
      <c r="AZ674" t="s" s="0">
        <v>185</v>
      </c>
      <c r="BA674" t="s" s="0">
        <v>12115</v>
      </c>
      <c r="BB674" t="s" s="0">
        <v>196</v>
      </c>
      <c r="BC674" t="s" s="0">
        <v>81</v>
      </c>
      <c r="BD674" t="s" s="0">
        <v>81</v>
      </c>
      <c r="BE674" t="s" s="0">
        <v>81</v>
      </c>
      <c r="BF674" t="s" s="0">
        <v>81</v>
      </c>
      <c r="BG674" t="s" s="0">
        <v>14864</v>
      </c>
      <c r="BH674" t="s" s="0">
        <v>14865</v>
      </c>
      <c r="BI674" t="s" s="0">
        <v>81</v>
      </c>
      <c r="BJ674" t="s" s="0">
        <v>14866</v>
      </c>
      <c r="BK674" t="s" s="1338">
        <f>HYPERLINK("http://dx.doi.org/10.32604/cmes.2024.050760","http://dx.doi.org/10.32604/cmes.2024.050760")</f>
        <v>14867</v>
      </c>
      <c r="BL674" t="s" s="0">
        <v>81</v>
      </c>
      <c r="BM674" t="s" s="0">
        <v>184</v>
      </c>
      <c r="BN674" t="s" s="0">
        <v>434</v>
      </c>
      <c r="BO674" t="s" s="0">
        <v>14128</v>
      </c>
      <c r="BP674" t="s" s="0">
        <v>14129</v>
      </c>
      <c r="BQ674" t="s" s="0">
        <v>14868</v>
      </c>
      <c r="BR674" t="s" s="0">
        <v>81</v>
      </c>
      <c r="BS674" t="s" s="0">
        <v>14869</v>
      </c>
      <c r="BT674" t="s" s="1339">
        <f>HYPERLINK("https://www.webofscience.com/wos/woscc/full-record/WOS:001241483700001","View Record in Web of Science")</f>
        <v>114</v>
      </c>
      <c r="BU674" t="s" s="0">
        <v>301</v>
      </c>
      <c r="BV674" t="s" s="0">
        <v>81</v>
      </c>
      <c r="BW674" t="s" s="0">
        <v>81</v>
      </c>
      <c r="BX674" t="s" s="0">
        <v>116</v>
      </c>
    </row>
    <row r="675">
      <c r="A675" t="s" s="0">
        <v>77</v>
      </c>
      <c r="B675" t="s" s="0">
        <v>77</v>
      </c>
      <c r="C675" t="s" s="0">
        <v>77</v>
      </c>
      <c r="D675" t="s" s="0">
        <v>77</v>
      </c>
      <c r="E675" t="s" s="0">
        <v>14870</v>
      </c>
      <c r="F675" t="s" s="0">
        <v>14871</v>
      </c>
      <c r="G675" t="s" s="0">
        <v>14872</v>
      </c>
      <c r="H675" t="s" s="0">
        <v>81</v>
      </c>
      <c r="I675" t="s" s="0">
        <v>238</v>
      </c>
      <c r="J675" t="s" s="0">
        <v>14873</v>
      </c>
      <c r="K675" t="s" s="0">
        <v>14874</v>
      </c>
      <c r="L675" t="s" s="0">
        <v>81</v>
      </c>
      <c r="M675" t="s" s="0">
        <v>81</v>
      </c>
      <c r="N675" t="s" s="0">
        <v>81</v>
      </c>
      <c r="O675" t="s" s="0">
        <v>14875</v>
      </c>
      <c r="P675" t="s" s="0">
        <v>14876</v>
      </c>
      <c r="Q675" t="s" s="0">
        <v>87</v>
      </c>
      <c r="R675" t="s" s="0">
        <v>81</v>
      </c>
      <c r="S675" t="s" s="0">
        <v>81</v>
      </c>
      <c r="T675" t="s" s="0">
        <v>81</v>
      </c>
      <c r="U675" t="s" s="0">
        <v>81</v>
      </c>
      <c r="V675" t="s" s="0">
        <v>14877</v>
      </c>
      <c r="W675" t="s" s="0">
        <v>14878</v>
      </c>
      <c r="X675" t="s" s="0">
        <v>81</v>
      </c>
      <c r="Y675" t="s" s="0">
        <v>81</v>
      </c>
      <c r="Z675" t="s" s="0">
        <v>90</v>
      </c>
      <c r="AA675" t="s" s="0">
        <v>91</v>
      </c>
      <c r="AB675" t="s" s="0">
        <v>81</v>
      </c>
      <c r="AC675" t="s" s="0">
        <v>81</v>
      </c>
      <c r="AD675" t="s" s="0">
        <v>81</v>
      </c>
      <c r="AE675" t="s" s="0">
        <v>81</v>
      </c>
      <c r="AF675" t="s" s="0">
        <v>81</v>
      </c>
      <c r="AG675" t="s" s="0">
        <v>14879</v>
      </c>
      <c r="AH675" t="s" s="0">
        <v>14880</v>
      </c>
      <c r="AI675" t="s" s="0">
        <v>14881</v>
      </c>
      <c r="AJ675" t="s" s="0">
        <v>14882</v>
      </c>
      <c r="AK675" t="s" s="0">
        <v>81</v>
      </c>
      <c r="AL675" t="s" s="0">
        <v>228</v>
      </c>
      <c r="AM675" t="s" s="0">
        <v>77</v>
      </c>
      <c r="AN675" t="s" s="0">
        <v>77</v>
      </c>
      <c r="AO675" t="s" s="0">
        <v>156</v>
      </c>
      <c r="AP675" t="s" s="0">
        <v>156</v>
      </c>
      <c r="AQ675" t="s" s="0">
        <v>284</v>
      </c>
      <c r="AR675" t="s" s="0">
        <v>285</v>
      </c>
      <c r="AS675" t="s" s="0">
        <v>286</v>
      </c>
      <c r="AT675" t="s" s="0">
        <v>81</v>
      </c>
      <c r="AU675" t="s" s="0">
        <v>14883</v>
      </c>
      <c r="AV675" t="s" s="0">
        <v>81</v>
      </c>
      <c r="AW675" t="s" s="0">
        <v>14884</v>
      </c>
      <c r="AX675" t="s" s="0">
        <v>14885</v>
      </c>
      <c r="AY675" t="s" s="0">
        <v>8664</v>
      </c>
      <c r="AZ675" t="s" s="0">
        <v>103</v>
      </c>
      <c r="BA675" t="s" s="0">
        <v>104</v>
      </c>
      <c r="BB675" t="s" s="0">
        <v>156</v>
      </c>
      <c r="BC675" t="s" s="0">
        <v>81</v>
      </c>
      <c r="BD675" t="s" s="0">
        <v>81</v>
      </c>
      <c r="BE675" t="s" s="0">
        <v>81</v>
      </c>
      <c r="BF675" t="s" s="0">
        <v>81</v>
      </c>
      <c r="BG675" t="s" s="0">
        <v>81</v>
      </c>
      <c r="BH675" t="s" s="0">
        <v>81</v>
      </c>
      <c r="BI675" t="s" s="0">
        <v>5527</v>
      </c>
      <c r="BJ675" t="s" s="0">
        <v>14886</v>
      </c>
      <c r="BK675" t="s" s="1340">
        <f>HYPERLINK("http://dx.doi.org/10.3390/dj14020128","http://dx.doi.org/10.3390/dj14020128")</f>
        <v>14887</v>
      </c>
      <c r="BL675" t="s" s="0">
        <v>81</v>
      </c>
      <c r="BM675" t="s" s="0">
        <v>81</v>
      </c>
      <c r="BN675" t="s" s="0">
        <v>486</v>
      </c>
      <c r="BO675" t="s" s="0">
        <v>5166</v>
      </c>
      <c r="BP675" t="s" s="0">
        <v>5166</v>
      </c>
      <c r="BQ675" t="s" s="0">
        <v>14888</v>
      </c>
      <c r="BR675" t="s" s="0">
        <v>14889</v>
      </c>
      <c r="BS675" t="s" s="0">
        <v>14890</v>
      </c>
      <c r="BT675" t="s" s="1341">
        <f>HYPERLINK("https://www.webofscience.com/wos/woscc/full-record/WOS:001701485400001","View Record in Web of Science")</f>
        <v>114</v>
      </c>
      <c r="BU675" t="s" s="0">
        <v>301</v>
      </c>
      <c r="BV675" t="s" s="0">
        <v>81</v>
      </c>
      <c r="BW675" t="s" s="0">
        <v>81</v>
      </c>
      <c r="BX675" t="s" s="0">
        <v>116</v>
      </c>
    </row>
    <row r="676">
      <c r="A676" t="s" s="0">
        <v>77</v>
      </c>
      <c r="B676" t="s" s="0">
        <v>77</v>
      </c>
      <c r="C676" t="s" s="0">
        <v>97</v>
      </c>
      <c r="D676" t="s" s="0">
        <v>77</v>
      </c>
      <c r="E676" t="s" s="0">
        <v>14891</v>
      </c>
      <c r="F676" t="s" s="0">
        <v>14892</v>
      </c>
      <c r="G676" t="s" s="0">
        <v>14893</v>
      </c>
      <c r="H676" t="s" s="0">
        <v>81</v>
      </c>
      <c r="I676" t="s" s="0">
        <v>82</v>
      </c>
      <c r="J676" t="s" s="0">
        <v>14894</v>
      </c>
      <c r="K676" t="s" s="0">
        <v>14895</v>
      </c>
      <c r="L676" t="s" s="0">
        <v>14896</v>
      </c>
      <c r="M676" t="s" s="0">
        <v>14897</v>
      </c>
      <c r="N676" t="s" s="0">
        <v>14898</v>
      </c>
      <c r="O676" t="s" s="0">
        <v>14899</v>
      </c>
      <c r="P676" t="s" s="0">
        <v>14900</v>
      </c>
      <c r="Q676" t="s" s="0">
        <v>87</v>
      </c>
      <c r="R676" t="s" s="0">
        <v>81</v>
      </c>
      <c r="S676" t="s" s="0">
        <v>81</v>
      </c>
      <c r="T676" t="s" s="0">
        <v>81</v>
      </c>
      <c r="U676" t="s" s="0">
        <v>81</v>
      </c>
      <c r="V676" t="s" s="0">
        <v>14901</v>
      </c>
      <c r="W676" t="s" s="0">
        <v>2541</v>
      </c>
      <c r="X676" t="s" s="0">
        <v>81</v>
      </c>
      <c r="Y676" t="s" s="0">
        <v>81</v>
      </c>
      <c r="Z676" t="s" s="0">
        <v>90</v>
      </c>
      <c r="AA676" t="s" s="0">
        <v>91</v>
      </c>
      <c r="AB676" t="s" s="0">
        <v>81</v>
      </c>
      <c r="AC676" t="s" s="0">
        <v>81</v>
      </c>
      <c r="AD676" t="s" s="0">
        <v>81</v>
      </c>
      <c r="AE676" t="s" s="0">
        <v>81</v>
      </c>
      <c r="AF676" t="s" s="0">
        <v>81</v>
      </c>
      <c r="AG676" t="s" s="0">
        <v>81</v>
      </c>
      <c r="AH676" t="s" s="0">
        <v>14902</v>
      </c>
      <c r="AI676" t="s" s="0">
        <v>14903</v>
      </c>
      <c r="AJ676" t="s" s="0">
        <v>81</v>
      </c>
      <c r="AK676" t="s" s="0">
        <v>81</v>
      </c>
      <c r="AL676" t="s" s="0">
        <v>3425</v>
      </c>
      <c r="AM676" t="s" s="0">
        <v>196</v>
      </c>
      <c r="AN676" t="s" s="0">
        <v>175</v>
      </c>
      <c r="AO676" t="s" s="0">
        <v>156</v>
      </c>
      <c r="AP676" t="s" s="0">
        <v>191</v>
      </c>
      <c r="AQ676" t="s" s="0">
        <v>2544</v>
      </c>
      <c r="AR676" t="s" s="0">
        <v>255</v>
      </c>
      <c r="AS676" t="s" s="0">
        <v>2545</v>
      </c>
      <c r="AT676" t="s" s="0">
        <v>2546</v>
      </c>
      <c r="AU676" t="s" s="0">
        <v>81</v>
      </c>
      <c r="AV676" t="s" s="0">
        <v>81</v>
      </c>
      <c r="AW676" t="s" s="0">
        <v>2547</v>
      </c>
      <c r="AX676" t="s" s="0">
        <v>2548</v>
      </c>
      <c r="AY676" t="s" s="0">
        <v>552</v>
      </c>
      <c r="AZ676" t="s" s="0">
        <v>290</v>
      </c>
      <c r="BA676" t="s" s="0">
        <v>81</v>
      </c>
      <c r="BB676" t="s" s="0">
        <v>6401</v>
      </c>
      <c r="BC676" t="s" s="0">
        <v>81</v>
      </c>
      <c r="BD676" t="s" s="0">
        <v>81</v>
      </c>
      <c r="BE676" t="s" s="0">
        <v>81</v>
      </c>
      <c r="BF676" t="s" s="0">
        <v>81</v>
      </c>
      <c r="BG676" t="s" s="0">
        <v>81</v>
      </c>
      <c r="BH676" t="s" s="0">
        <v>81</v>
      </c>
      <c r="BI676" t="s" s="0">
        <v>14904</v>
      </c>
      <c r="BJ676" t="s" s="0">
        <v>14905</v>
      </c>
      <c r="BK676" t="s" s="1342">
        <f>HYPERLINK("http://dx.doi.org/10.3791/67525","http://dx.doi.org/10.3791/67525")</f>
        <v>14906</v>
      </c>
      <c r="BL676" t="s" s="0">
        <v>81</v>
      </c>
      <c r="BM676" t="s" s="0">
        <v>81</v>
      </c>
      <c r="BN676" t="s" s="0">
        <v>671</v>
      </c>
      <c r="BO676" t="s" s="0">
        <v>926</v>
      </c>
      <c r="BP676" t="s" s="0">
        <v>927</v>
      </c>
      <c r="BQ676" t="s" s="0">
        <v>14907</v>
      </c>
      <c r="BR676" t="s" s="0">
        <v>14908</v>
      </c>
      <c r="BS676" t="s" s="0">
        <v>14909</v>
      </c>
      <c r="BT676" t="s" s="1343">
        <f>HYPERLINK("https://www.webofscience.com/wos/woscc/full-record/WOS:001531065900023","View Record in Web of Science")</f>
        <v>114</v>
      </c>
      <c r="BU676" t="s" s="0">
        <v>81</v>
      </c>
      <c r="BV676" t="s" s="0">
        <v>81</v>
      </c>
      <c r="BW676" t="s" s="0">
        <v>81</v>
      </c>
      <c r="BX676" t="s" s="0">
        <v>116</v>
      </c>
    </row>
    <row r="677">
      <c r="A677" t="s" s="0">
        <v>77</v>
      </c>
      <c r="B677" t="s" s="0">
        <v>77</v>
      </c>
      <c r="C677" t="s" s="0">
        <v>77</v>
      </c>
      <c r="D677" t="s" s="0">
        <v>77</v>
      </c>
      <c r="E677" t="s" s="0">
        <v>14910</v>
      </c>
      <c r="F677" t="s" s="0">
        <v>14911</v>
      </c>
      <c r="G677" t="s" s="0">
        <v>14912</v>
      </c>
      <c r="H677" t="s" s="0">
        <v>81</v>
      </c>
      <c r="I677" t="s" s="0">
        <v>82</v>
      </c>
      <c r="J677" t="s" s="0">
        <v>14913</v>
      </c>
      <c r="K677" t="s" s="0">
        <v>14914</v>
      </c>
      <c r="L677" t="s" s="0">
        <v>81</v>
      </c>
      <c r="M677" t="s" s="0">
        <v>81</v>
      </c>
      <c r="N677" t="s" s="0">
        <v>81</v>
      </c>
      <c r="O677" t="s" s="0">
        <v>14915</v>
      </c>
      <c r="P677" t="s" s="0">
        <v>14916</v>
      </c>
      <c r="Q677" t="s" s="0">
        <v>87</v>
      </c>
      <c r="R677" t="s" s="0">
        <v>81</v>
      </c>
      <c r="S677" t="s" s="0">
        <v>81</v>
      </c>
      <c r="T677" t="s" s="0">
        <v>81</v>
      </c>
      <c r="U677" t="s" s="0">
        <v>81</v>
      </c>
      <c r="V677" t="s" s="0">
        <v>14917</v>
      </c>
      <c r="W677" t="s" s="0">
        <v>2070</v>
      </c>
      <c r="X677" t="s" s="0">
        <v>81</v>
      </c>
      <c r="Y677" t="s" s="0">
        <v>81</v>
      </c>
      <c r="Z677" t="s" s="0">
        <v>90</v>
      </c>
      <c r="AA677" t="s" s="0">
        <v>91</v>
      </c>
      <c r="AB677" t="s" s="0">
        <v>81</v>
      </c>
      <c r="AC677" t="s" s="0">
        <v>81</v>
      </c>
      <c r="AD677" t="s" s="0">
        <v>81</v>
      </c>
      <c r="AE677" t="s" s="0">
        <v>81</v>
      </c>
      <c r="AF677" t="s" s="0">
        <v>81</v>
      </c>
      <c r="AG677" t="s" s="0">
        <v>14918</v>
      </c>
      <c r="AH677" t="s" s="0">
        <v>14919</v>
      </c>
      <c r="AI677" t="s" s="0">
        <v>14920</v>
      </c>
      <c r="AJ677" t="s" s="0">
        <v>81</v>
      </c>
      <c r="AK677" t="s" s="0">
        <v>81</v>
      </c>
      <c r="AL677" t="s" s="0">
        <v>1635</v>
      </c>
      <c r="AM677" t="s" s="0">
        <v>77</v>
      </c>
      <c r="AN677" t="s" s="0">
        <v>77</v>
      </c>
      <c r="AO677" t="s" s="0">
        <v>77</v>
      </c>
      <c r="AP677" t="s" s="0">
        <v>77</v>
      </c>
      <c r="AQ677" t="s" s="0">
        <v>177</v>
      </c>
      <c r="AR677" t="s" s="0">
        <v>178</v>
      </c>
      <c r="AS677" t="s" s="0">
        <v>179</v>
      </c>
      <c r="AT677" t="s" s="0">
        <v>2073</v>
      </c>
      <c r="AU677" t="s" s="0">
        <v>2074</v>
      </c>
      <c r="AV677" t="s" s="0">
        <v>81</v>
      </c>
      <c r="AW677" t="s" s="0">
        <v>2075</v>
      </c>
      <c r="AX677" t="s" s="0">
        <v>2076</v>
      </c>
      <c r="AY677" t="s" s="0">
        <v>2276</v>
      </c>
      <c r="AZ677" t="s" s="0">
        <v>103</v>
      </c>
      <c r="BA677" t="s" s="0">
        <v>5496</v>
      </c>
      <c r="BB677" t="s" s="0">
        <v>81</v>
      </c>
      <c r="BC677" t="s" s="0">
        <v>81</v>
      </c>
      <c r="BD677" t="s" s="0">
        <v>145</v>
      </c>
      <c r="BE677" t="s" s="0">
        <v>81</v>
      </c>
      <c r="BF677" t="s" s="0">
        <v>81</v>
      </c>
      <c r="BG677" t="s" s="0">
        <v>81</v>
      </c>
      <c r="BH677" t="s" s="0">
        <v>81</v>
      </c>
      <c r="BI677" t="s" s="0">
        <v>14921</v>
      </c>
      <c r="BJ677" t="s" s="0">
        <v>14922</v>
      </c>
      <c r="BK677" t="s" s="1344">
        <f>HYPERLINK("http://dx.doi.org/10.1016/j.bspc.2026.110958","http://dx.doi.org/10.1016/j.bspc.2026.110958")</f>
        <v>14923</v>
      </c>
      <c r="BL677" t="s" s="0">
        <v>81</v>
      </c>
      <c r="BM677" t="s" s="0">
        <v>3366</v>
      </c>
      <c r="BN677" t="s" s="0">
        <v>485</v>
      </c>
      <c r="BO677" t="s" s="0">
        <v>2082</v>
      </c>
      <c r="BP677" t="s" s="0">
        <v>1003</v>
      </c>
      <c r="BQ677" t="s" s="0">
        <v>14924</v>
      </c>
      <c r="BR677" t="s" s="0">
        <v>81</v>
      </c>
      <c r="BS677" t="s" s="0">
        <v>14925</v>
      </c>
      <c r="BT677" t="s" s="1345">
        <f>HYPERLINK("https://www.webofscience.com/wos/woscc/full-record/WOS:001823445300001","View Record in Web of Science")</f>
        <v>114</v>
      </c>
      <c r="BU677" t="s" s="0">
        <v>81</v>
      </c>
      <c r="BV677" t="s" s="0">
        <v>81</v>
      </c>
      <c r="BW677" t="s" s="0">
        <v>81</v>
      </c>
      <c r="BX677" t="s" s="0">
        <v>116</v>
      </c>
    </row>
    <row r="678">
      <c r="A678" t="s" s="0">
        <v>77</v>
      </c>
      <c r="B678" t="s" s="0">
        <v>77</v>
      </c>
      <c r="C678" t="s" s="0">
        <v>77</v>
      </c>
      <c r="D678" t="s" s="0">
        <v>77</v>
      </c>
      <c r="E678" t="s" s="0">
        <v>14926</v>
      </c>
      <c r="F678" t="s" s="0">
        <v>14927</v>
      </c>
      <c r="G678" t="s" s="0">
        <v>14928</v>
      </c>
      <c r="H678" t="s" s="0">
        <v>81</v>
      </c>
      <c r="I678" t="s" s="0">
        <v>82</v>
      </c>
      <c r="J678" t="s" s="0">
        <v>14929</v>
      </c>
      <c r="K678" t="s" s="0">
        <v>14930</v>
      </c>
      <c r="L678" t="s" s="0">
        <v>14931</v>
      </c>
      <c r="M678" t="s" s="0">
        <v>14932</v>
      </c>
      <c r="N678" t="s" s="0">
        <v>14933</v>
      </c>
      <c r="O678" t="s" s="0">
        <v>14934</v>
      </c>
      <c r="P678" t="s" s="0">
        <v>14935</v>
      </c>
      <c r="Q678" t="s" s="0">
        <v>87</v>
      </c>
      <c r="R678" t="s" s="0">
        <v>81</v>
      </c>
      <c r="S678" t="s" s="0">
        <v>81</v>
      </c>
      <c r="T678" t="s" s="0">
        <v>81</v>
      </c>
      <c r="U678" t="s" s="0">
        <v>81</v>
      </c>
      <c r="V678" t="s" s="0">
        <v>14936</v>
      </c>
      <c r="W678" t="s" s="0">
        <v>1855</v>
      </c>
      <c r="X678" t="s" s="0">
        <v>81</v>
      </c>
      <c r="Y678" t="s" s="0">
        <v>81</v>
      </c>
      <c r="Z678" t="s" s="0">
        <v>90</v>
      </c>
      <c r="AA678" t="s" s="0">
        <v>91</v>
      </c>
      <c r="AB678" t="s" s="0">
        <v>81</v>
      </c>
      <c r="AC678" t="s" s="0">
        <v>81</v>
      </c>
      <c r="AD678" t="s" s="0">
        <v>81</v>
      </c>
      <c r="AE678" t="s" s="0">
        <v>81</v>
      </c>
      <c r="AF678" t="s" s="0">
        <v>81</v>
      </c>
      <c r="AG678" t="s" s="0">
        <v>14937</v>
      </c>
      <c r="AH678" t="s" s="0">
        <v>14938</v>
      </c>
      <c r="AI678" t="s" s="0">
        <v>14939</v>
      </c>
      <c r="AJ678" t="s" s="0">
        <v>81</v>
      </c>
      <c r="AK678" t="s" s="0">
        <v>81</v>
      </c>
      <c r="AL678" t="s" s="0">
        <v>366</v>
      </c>
      <c r="AM678" t="s" s="0">
        <v>97</v>
      </c>
      <c r="AN678" t="s" s="0">
        <v>97</v>
      </c>
      <c r="AO678" t="s" s="0">
        <v>381</v>
      </c>
      <c r="AP678" t="s" s="0">
        <v>381</v>
      </c>
      <c r="AQ678" t="s" s="0">
        <v>136</v>
      </c>
      <c r="AR678" t="s" s="0">
        <v>137</v>
      </c>
      <c r="AS678" t="s" s="0">
        <v>138</v>
      </c>
      <c r="AT678" t="s" s="0">
        <v>1860</v>
      </c>
      <c r="AU678" t="s" s="0">
        <v>1861</v>
      </c>
      <c r="AV678" t="s" s="0">
        <v>81</v>
      </c>
      <c r="AW678" t="s" s="0">
        <v>1862</v>
      </c>
      <c r="AX678" t="s" s="0">
        <v>1863</v>
      </c>
      <c r="AY678" t="s" s="0">
        <v>5600</v>
      </c>
      <c r="AZ678" t="s" s="0">
        <v>103</v>
      </c>
      <c r="BA678" t="s" s="0">
        <v>14940</v>
      </c>
      <c r="BB678" t="s" s="0">
        <v>81</v>
      </c>
      <c r="BC678" t="s" s="0">
        <v>81</v>
      </c>
      <c r="BD678" t="s" s="0">
        <v>81</v>
      </c>
      <c r="BE678" t="s" s="0">
        <v>81</v>
      </c>
      <c r="BF678" t="s" s="0">
        <v>81</v>
      </c>
      <c r="BG678" t="s" s="0">
        <v>81</v>
      </c>
      <c r="BH678" t="s" s="0">
        <v>81</v>
      </c>
      <c r="BI678" t="s" s="0">
        <v>14941</v>
      </c>
      <c r="BJ678" t="s" s="0">
        <v>14942</v>
      </c>
      <c r="BK678" t="s" s="1346">
        <f>HYPERLINK("http://dx.doi.org/10.1016/j.knosys.2026.115660","http://dx.doi.org/10.1016/j.knosys.2026.115660")</f>
        <v>14943</v>
      </c>
      <c r="BL678" t="s" s="0">
        <v>81</v>
      </c>
      <c r="BM678" t="s" s="0">
        <v>81</v>
      </c>
      <c r="BN678" t="s" s="0">
        <v>135</v>
      </c>
      <c r="BO678" t="s" s="0">
        <v>409</v>
      </c>
      <c r="BP678" t="s" s="0">
        <v>152</v>
      </c>
      <c r="BQ678" t="s" s="0">
        <v>14944</v>
      </c>
      <c r="BR678" t="s" s="0">
        <v>81</v>
      </c>
      <c r="BS678" t="s" s="0">
        <v>14945</v>
      </c>
      <c r="BT678" t="s" s="1347">
        <f>HYPERLINK("https://www.webofscience.com/wos/woscc/full-record/WOS:001716020200001","View Record in Web of Science")</f>
        <v>114</v>
      </c>
      <c r="BU678" t="s" s="0">
        <v>1055</v>
      </c>
      <c r="BV678" t="s" s="0">
        <v>81</v>
      </c>
      <c r="BW678" t="s" s="0">
        <v>81</v>
      </c>
      <c r="BX678" t="s" s="0">
        <v>116</v>
      </c>
    </row>
    <row r="679">
      <c r="A679" t="s" s="0">
        <v>77</v>
      </c>
      <c r="B679" t="s" s="0">
        <v>77</v>
      </c>
      <c r="C679" t="s" s="0">
        <v>77</v>
      </c>
      <c r="D679" t="s" s="0">
        <v>77</v>
      </c>
      <c r="E679" t="s" s="0">
        <v>14946</v>
      </c>
      <c r="F679" t="s" s="0">
        <v>14947</v>
      </c>
      <c r="G679" t="s" s="0">
        <v>14948</v>
      </c>
      <c r="H679" t="s" s="0">
        <v>81</v>
      </c>
      <c r="I679" t="s" s="0">
        <v>589</v>
      </c>
      <c r="J679" t="s" s="0">
        <v>14949</v>
      </c>
      <c r="K679" t="s" s="0">
        <v>14950</v>
      </c>
      <c r="L679" t="s" s="0">
        <v>14951</v>
      </c>
      <c r="M679" t="s" s="0">
        <v>14952</v>
      </c>
      <c r="N679" t="s" s="0">
        <v>14953</v>
      </c>
      <c r="O679" t="s" s="0">
        <v>14954</v>
      </c>
      <c r="P679" t="s" s="0">
        <v>14955</v>
      </c>
      <c r="Q679" t="s" s="0">
        <v>87</v>
      </c>
      <c r="R679" t="s" s="0">
        <v>81</v>
      </c>
      <c r="S679" t="s" s="0">
        <v>81</v>
      </c>
      <c r="T679" t="s" s="0">
        <v>81</v>
      </c>
      <c r="U679" t="s" s="0">
        <v>81</v>
      </c>
      <c r="V679" t="s" s="0">
        <v>14956</v>
      </c>
      <c r="W679" t="s" s="0">
        <v>14957</v>
      </c>
      <c r="X679" t="s" s="0">
        <v>81</v>
      </c>
      <c r="Y679" t="s" s="0">
        <v>81</v>
      </c>
      <c r="Z679" t="s" s="0">
        <v>90</v>
      </c>
      <c r="AA679" t="s" s="0">
        <v>91</v>
      </c>
      <c r="AB679" t="s" s="0">
        <v>81</v>
      </c>
      <c r="AC679" t="s" s="0">
        <v>81</v>
      </c>
      <c r="AD679" t="s" s="0">
        <v>81</v>
      </c>
      <c r="AE679" t="s" s="0">
        <v>81</v>
      </c>
      <c r="AF679" t="s" s="0">
        <v>81</v>
      </c>
      <c r="AG679" t="s" s="0">
        <v>14958</v>
      </c>
      <c r="AH679" t="s" s="0">
        <v>14959</v>
      </c>
      <c r="AI679" t="s" s="0">
        <v>14960</v>
      </c>
      <c r="AJ679" t="s" s="0">
        <v>81</v>
      </c>
      <c r="AK679" t="s" s="0">
        <v>81</v>
      </c>
      <c r="AL679" t="s" s="0">
        <v>456</v>
      </c>
      <c r="AM679" t="s" s="0">
        <v>97</v>
      </c>
      <c r="AN679" t="s" s="0">
        <v>97</v>
      </c>
      <c r="AO679" t="s" s="0">
        <v>486</v>
      </c>
      <c r="AP679" t="s" s="0">
        <v>486</v>
      </c>
      <c r="AQ679" t="s" s="0">
        <v>177</v>
      </c>
      <c r="AR679" t="s" s="0">
        <v>178</v>
      </c>
      <c r="AS679" t="s" s="0">
        <v>179</v>
      </c>
      <c r="AT679" t="s" s="0">
        <v>14961</v>
      </c>
      <c r="AU679" t="s" s="0">
        <v>14962</v>
      </c>
      <c r="AV679" t="s" s="0">
        <v>81</v>
      </c>
      <c r="AW679" t="s" s="0">
        <v>14963</v>
      </c>
      <c r="AX679" t="s" s="0">
        <v>14964</v>
      </c>
      <c r="AY679" t="s" s="0">
        <v>2301</v>
      </c>
      <c r="AZ679" t="s" s="0">
        <v>103</v>
      </c>
      <c r="BA679" t="s" s="0">
        <v>2877</v>
      </c>
      <c r="BB679" t="s" s="0">
        <v>81</v>
      </c>
      <c r="BC679" t="s" s="0">
        <v>81</v>
      </c>
      <c r="BD679" t="s" s="0">
        <v>81</v>
      </c>
      <c r="BE679" t="s" s="0">
        <v>81</v>
      </c>
      <c r="BF679" t="s" s="0">
        <v>81</v>
      </c>
      <c r="BG679" t="s" s="0">
        <v>81</v>
      </c>
      <c r="BH679" t="s" s="0">
        <v>81</v>
      </c>
      <c r="BI679" t="s" s="0">
        <v>14965</v>
      </c>
      <c r="BJ679" t="s" s="0">
        <v>14966</v>
      </c>
      <c r="BK679" t="s" s="1348">
        <f>HYPERLINK("http://dx.doi.org/10.1016/j.ijhm.2026.104730","http://dx.doi.org/10.1016/j.ijhm.2026.104730")</f>
        <v>14967</v>
      </c>
      <c r="BL679" t="s" s="0">
        <v>81</v>
      </c>
      <c r="BM679" t="s" s="0">
        <v>675</v>
      </c>
      <c r="BN679" t="s" s="0">
        <v>291</v>
      </c>
      <c r="BO679" t="s" s="0">
        <v>14968</v>
      </c>
      <c r="BP679" t="s" s="0">
        <v>3208</v>
      </c>
      <c r="BQ679" t="s" s="0">
        <v>14969</v>
      </c>
      <c r="BR679" t="s" s="0">
        <v>81</v>
      </c>
      <c r="BS679" t="s" s="0">
        <v>14970</v>
      </c>
      <c r="BT679" t="s" s="1349">
        <f>HYPERLINK("https://www.webofscience.com/wos/woscc/full-record/WOS:001763066000001","View Record in Web of Science")</f>
        <v>114</v>
      </c>
      <c r="BU679" t="s" s="0">
        <v>81</v>
      </c>
      <c r="BV679" t="s" s="0">
        <v>81</v>
      </c>
      <c r="BW679" t="s" s="0">
        <v>81</v>
      </c>
      <c r="BX679" t="s" s="0">
        <v>116</v>
      </c>
    </row>
    <row r="680">
      <c r="A680" t="s" s="0">
        <v>77</v>
      </c>
      <c r="B680" t="s" s="0">
        <v>77</v>
      </c>
      <c r="C680" t="s" s="0">
        <v>77</v>
      </c>
      <c r="D680" t="s" s="0">
        <v>77</v>
      </c>
      <c r="E680" t="s" s="0">
        <v>14971</v>
      </c>
      <c r="F680" t="s" s="0">
        <v>14972</v>
      </c>
      <c r="G680" t="s" s="0">
        <v>14973</v>
      </c>
      <c r="H680" t="s" s="0">
        <v>81</v>
      </c>
      <c r="I680" t="s" s="0">
        <v>14974</v>
      </c>
      <c r="J680" t="s" s="0">
        <v>14975</v>
      </c>
      <c r="K680" t="s" s="0">
        <v>14976</v>
      </c>
      <c r="L680" t="s" s="0">
        <v>7003</v>
      </c>
      <c r="M680" t="s" s="0">
        <v>7003</v>
      </c>
      <c r="N680" t="s" s="0">
        <v>14977</v>
      </c>
      <c r="O680" t="s" s="0">
        <v>14978</v>
      </c>
      <c r="P680" t="s" s="0">
        <v>14979</v>
      </c>
      <c r="Q680" t="s" s="0">
        <v>87</v>
      </c>
      <c r="R680" t="s" s="0">
        <v>81</v>
      </c>
      <c r="S680" t="s" s="0">
        <v>81</v>
      </c>
      <c r="T680" t="s" s="0">
        <v>81</v>
      </c>
      <c r="U680" t="s" s="0">
        <v>81</v>
      </c>
      <c r="V680" t="s" s="0">
        <v>14980</v>
      </c>
      <c r="W680" t="s" s="0">
        <v>14981</v>
      </c>
      <c r="X680" t="s" s="0">
        <v>81</v>
      </c>
      <c r="Y680" t="s" s="0">
        <v>81</v>
      </c>
      <c r="Z680" t="s" s="0">
        <v>90</v>
      </c>
      <c r="AA680" t="s" s="0">
        <v>91</v>
      </c>
      <c r="AB680" t="s" s="0">
        <v>81</v>
      </c>
      <c r="AC680" t="s" s="0">
        <v>81</v>
      </c>
      <c r="AD680" t="s" s="0">
        <v>81</v>
      </c>
      <c r="AE680" t="s" s="0">
        <v>81</v>
      </c>
      <c r="AF680" t="s" s="0">
        <v>81</v>
      </c>
      <c r="AG680" t="s" s="0">
        <v>14982</v>
      </c>
      <c r="AH680" t="s" s="0">
        <v>81</v>
      </c>
      <c r="AI680" t="s" s="0">
        <v>14983</v>
      </c>
      <c r="AJ680" t="s" s="0">
        <v>13023</v>
      </c>
      <c r="AK680" t="s" s="0">
        <v>81</v>
      </c>
      <c r="AL680" t="s" s="0">
        <v>96</v>
      </c>
      <c r="AM680" t="s" s="0">
        <v>316</v>
      </c>
      <c r="AN680" t="s" s="0">
        <v>316</v>
      </c>
      <c r="AO680" t="s" s="0">
        <v>222</v>
      </c>
      <c r="AP680" t="s" s="0">
        <v>1635</v>
      </c>
      <c r="AQ680" t="s" s="0">
        <v>212</v>
      </c>
      <c r="AR680" t="s" s="0">
        <v>213</v>
      </c>
      <c r="AS680" t="s" s="0">
        <v>214</v>
      </c>
      <c r="AT680" t="s" s="0">
        <v>14984</v>
      </c>
      <c r="AU680" t="s" s="0">
        <v>14985</v>
      </c>
      <c r="AV680" t="s" s="0">
        <v>81</v>
      </c>
      <c r="AW680" t="s" s="0">
        <v>14986</v>
      </c>
      <c r="AX680" t="s" s="0">
        <v>14987</v>
      </c>
      <c r="AY680" t="s" s="0">
        <v>6906</v>
      </c>
      <c r="AZ680" t="s" s="0">
        <v>290</v>
      </c>
      <c r="BA680" t="s" s="0">
        <v>671</v>
      </c>
      <c r="BB680" t="s" s="0">
        <v>175</v>
      </c>
      <c r="BC680" t="s" s="0">
        <v>81</v>
      </c>
      <c r="BD680" t="s" s="0">
        <v>81</v>
      </c>
      <c r="BE680" t="s" s="0">
        <v>81</v>
      </c>
      <c r="BF680" t="s" s="0">
        <v>81</v>
      </c>
      <c r="BG680" t="s" s="0">
        <v>81</v>
      </c>
      <c r="BH680" t="s" s="0">
        <v>81</v>
      </c>
      <c r="BI680" t="s" s="0">
        <v>914</v>
      </c>
      <c r="BJ680" t="s" s="0">
        <v>14988</v>
      </c>
      <c r="BK680" t="s" s="1350">
        <f>HYPERLINK("http://dx.doi.org/10.1007/s10676-025-09867-w","http://dx.doi.org/10.1007/s10676-025-09867-w")</f>
        <v>14989</v>
      </c>
      <c r="BL680" t="s" s="0">
        <v>81</v>
      </c>
      <c r="BM680" t="s" s="0">
        <v>81</v>
      </c>
      <c r="BN680" t="s" s="0">
        <v>486</v>
      </c>
      <c r="BO680" t="s" s="0">
        <v>14990</v>
      </c>
      <c r="BP680" t="s" s="0">
        <v>14991</v>
      </c>
      <c r="BQ680" t="s" s="0">
        <v>14992</v>
      </c>
      <c r="BR680" t="s" s="0">
        <v>81</v>
      </c>
      <c r="BS680" t="s" s="0">
        <v>14993</v>
      </c>
      <c r="BT680" t="s" s="1351">
        <f>HYPERLINK("https://www.webofscience.com/wos/woscc/full-record/WOS:001598394700001","View Record in Web of Science")</f>
        <v>114</v>
      </c>
      <c r="BU680" t="s" s="0">
        <v>155</v>
      </c>
      <c r="BV680" t="s" s="0">
        <v>81</v>
      </c>
      <c r="BW680" t="s" s="0">
        <v>81</v>
      </c>
      <c r="BX680" t="s" s="0">
        <v>116</v>
      </c>
    </row>
    <row r="681">
      <c r="A681" t="s" s="0">
        <v>77</v>
      </c>
      <c r="B681" t="s" s="0">
        <v>77</v>
      </c>
      <c r="C681" t="s" s="0">
        <v>77</v>
      </c>
      <c r="D681" t="s" s="0">
        <v>77</v>
      </c>
      <c r="E681" t="s" s="0">
        <v>14994</v>
      </c>
      <c r="F681" t="s" s="0">
        <v>14995</v>
      </c>
      <c r="G681" t="s" s="0">
        <v>14996</v>
      </c>
      <c r="H681" t="s" s="0">
        <v>81</v>
      </c>
      <c r="I681" t="s" s="0">
        <v>238</v>
      </c>
      <c r="J681" t="s" s="0">
        <v>14997</v>
      </c>
      <c r="K681" t="s" s="0">
        <v>14998</v>
      </c>
      <c r="L681" t="s" s="0">
        <v>14999</v>
      </c>
      <c r="M681" t="s" s="0">
        <v>15000</v>
      </c>
      <c r="N681" t="s" s="0">
        <v>15001</v>
      </c>
      <c r="O681" t="s" s="0">
        <v>15002</v>
      </c>
      <c r="P681" t="s" s="0">
        <v>15003</v>
      </c>
      <c r="Q681" t="s" s="0">
        <v>87</v>
      </c>
      <c r="R681" t="s" s="0">
        <v>81</v>
      </c>
      <c r="S681" t="s" s="0">
        <v>81</v>
      </c>
      <c r="T681" t="s" s="0">
        <v>81</v>
      </c>
      <c r="U681" t="s" s="0">
        <v>81</v>
      </c>
      <c r="V681" t="s" s="0">
        <v>15004</v>
      </c>
      <c r="W681" t="s" s="0">
        <v>5713</v>
      </c>
      <c r="X681" t="s" s="0">
        <v>81</v>
      </c>
      <c r="Y681" t="s" s="0">
        <v>81</v>
      </c>
      <c r="Z681" t="s" s="0">
        <v>90</v>
      </c>
      <c r="AA681" t="s" s="0">
        <v>91</v>
      </c>
      <c r="AB681" t="s" s="0">
        <v>81</v>
      </c>
      <c r="AC681" t="s" s="0">
        <v>81</v>
      </c>
      <c r="AD681" t="s" s="0">
        <v>81</v>
      </c>
      <c r="AE681" t="s" s="0">
        <v>81</v>
      </c>
      <c r="AF681" t="s" s="0">
        <v>81</v>
      </c>
      <c r="AG681" t="s" s="0">
        <v>15005</v>
      </c>
      <c r="AH681" t="s" s="0">
        <v>8788</v>
      </c>
      <c r="AI681" t="s" s="0">
        <v>15006</v>
      </c>
      <c r="AJ681" t="s" s="0">
        <v>15007</v>
      </c>
      <c r="AK681" t="s" s="0">
        <v>81</v>
      </c>
      <c r="AL681" t="s" s="0">
        <v>3518</v>
      </c>
      <c r="AM681" t="s" s="0">
        <v>381</v>
      </c>
      <c r="AN681" t="s" s="0">
        <v>381</v>
      </c>
      <c r="AO681" t="s" s="0">
        <v>77</v>
      </c>
      <c r="AP681" t="s" s="0">
        <v>77</v>
      </c>
      <c r="AQ681" t="s" s="0">
        <v>284</v>
      </c>
      <c r="AR681" t="s" s="0">
        <v>285</v>
      </c>
      <c r="AS681" t="s" s="0">
        <v>286</v>
      </c>
      <c r="AT681" t="s" s="0">
        <v>81</v>
      </c>
      <c r="AU681" t="s" s="0">
        <v>5717</v>
      </c>
      <c r="AV681" t="s" s="0">
        <v>81</v>
      </c>
      <c r="AW681" t="s" s="0">
        <v>5713</v>
      </c>
      <c r="AX681" t="s" s="0">
        <v>5718</v>
      </c>
      <c r="AY681" t="s" s="0">
        <v>15008</v>
      </c>
      <c r="AZ681" t="s" s="0">
        <v>290</v>
      </c>
      <c r="BA681" t="s" s="0">
        <v>925</v>
      </c>
      <c r="BB681" t="s" s="0">
        <v>134</v>
      </c>
      <c r="BC681" t="s" s="0">
        <v>81</v>
      </c>
      <c r="BD681" t="s" s="0">
        <v>81</v>
      </c>
      <c r="BE681" t="s" s="0">
        <v>81</v>
      </c>
      <c r="BF681" t="s" s="0">
        <v>81</v>
      </c>
      <c r="BG681" t="s" s="0">
        <v>81</v>
      </c>
      <c r="BH681" t="s" s="0">
        <v>81</v>
      </c>
      <c r="BI681" t="s" s="0">
        <v>15009</v>
      </c>
      <c r="BJ681" t="s" s="0">
        <v>15010</v>
      </c>
      <c r="BK681" t="s" s="1352">
        <f>HYPERLINK("http://dx.doi.org/10.3390/info16121048","http://dx.doi.org/10.3390/info16121048")</f>
        <v>15011</v>
      </c>
      <c r="BL681" t="s" s="0">
        <v>81</v>
      </c>
      <c r="BM681" t="s" s="0">
        <v>81</v>
      </c>
      <c r="BN681" t="s" s="0">
        <v>252</v>
      </c>
      <c r="BO681" t="s" s="0">
        <v>5722</v>
      </c>
      <c r="BP681" t="s" s="0">
        <v>152</v>
      </c>
      <c r="BQ681" t="s" s="0">
        <v>15012</v>
      </c>
      <c r="BR681" t="s" s="0">
        <v>81</v>
      </c>
      <c r="BS681" t="s" s="0">
        <v>15013</v>
      </c>
      <c r="BT681" t="s" s="1353">
        <f>HYPERLINK("https://www.webofscience.com/wos/woscc/full-record/WOS:001646694600001","View Record in Web of Science")</f>
        <v>114</v>
      </c>
      <c r="BU681" t="s" s="0">
        <v>301</v>
      </c>
      <c r="BV681" t="s" s="0">
        <v>81</v>
      </c>
      <c r="BW681" t="s" s="0">
        <v>81</v>
      </c>
      <c r="BX681" t="s" s="0">
        <v>116</v>
      </c>
    </row>
    <row r="682">
      <c r="A682" t="s" s="0">
        <v>97</v>
      </c>
      <c r="B682" t="s" s="0">
        <v>77</v>
      </c>
      <c r="C682" t="s" s="0">
        <v>316</v>
      </c>
      <c r="D682" t="s" s="0">
        <v>77</v>
      </c>
      <c r="E682" t="s" s="0">
        <v>15014</v>
      </c>
      <c r="F682" t="s" s="0">
        <v>15015</v>
      </c>
      <c r="G682" t="s" s="0">
        <v>15016</v>
      </c>
      <c r="H682" t="s" s="0">
        <v>81</v>
      </c>
      <c r="I682" t="s" s="0">
        <v>82</v>
      </c>
      <c r="J682" t="s" s="0">
        <v>15017</v>
      </c>
      <c r="K682" t="s" s="0">
        <v>15018</v>
      </c>
      <c r="L682" t="s" s="0">
        <v>15019</v>
      </c>
      <c r="M682" t="s" s="0">
        <v>15020</v>
      </c>
      <c r="N682" t="s" s="0">
        <v>15021</v>
      </c>
      <c r="O682" t="s" s="0">
        <v>15022</v>
      </c>
      <c r="P682" t="s" s="0">
        <v>15023</v>
      </c>
      <c r="Q682" t="s" s="0">
        <v>87</v>
      </c>
      <c r="R682" t="s" s="0">
        <v>81</v>
      </c>
      <c r="S682" t="s" s="0">
        <v>81</v>
      </c>
      <c r="T682" t="s" s="0">
        <v>81</v>
      </c>
      <c r="U682" t="s" s="0">
        <v>81</v>
      </c>
      <c r="V682" t="s" s="0">
        <v>15024</v>
      </c>
      <c r="W682" t="s" s="0">
        <v>692</v>
      </c>
      <c r="X682" t="s" s="0">
        <v>81</v>
      </c>
      <c r="Y682" t="s" s="0">
        <v>81</v>
      </c>
      <c r="Z682" t="s" s="0">
        <v>90</v>
      </c>
      <c r="AA682" t="s" s="0">
        <v>91</v>
      </c>
      <c r="AB682" t="s" s="0">
        <v>81</v>
      </c>
      <c r="AC682" t="s" s="0">
        <v>81</v>
      </c>
      <c r="AD682" t="s" s="0">
        <v>81</v>
      </c>
      <c r="AE682" t="s" s="0">
        <v>81</v>
      </c>
      <c r="AF682" t="s" s="0">
        <v>81</v>
      </c>
      <c r="AG682" t="s" s="0">
        <v>15025</v>
      </c>
      <c r="AH682" t="s" s="0">
        <v>15026</v>
      </c>
      <c r="AI682" t="s" s="0">
        <v>15027</v>
      </c>
      <c r="AJ682" t="s" s="0">
        <v>15028</v>
      </c>
      <c r="AK682" t="s" s="0">
        <v>81</v>
      </c>
      <c r="AL682" t="s" s="0">
        <v>1685</v>
      </c>
      <c r="AM682" t="s" s="0">
        <v>1684</v>
      </c>
      <c r="AN682" t="s" s="0">
        <v>1762</v>
      </c>
      <c r="AO682" t="s" s="0">
        <v>210</v>
      </c>
      <c r="AP682" t="s" s="0">
        <v>12620</v>
      </c>
      <c r="AQ682" t="s" s="0">
        <v>698</v>
      </c>
      <c r="AR682" t="s" s="0">
        <v>699</v>
      </c>
      <c r="AS682" t="s" s="0">
        <v>700</v>
      </c>
      <c r="AT682" t="s" s="0">
        <v>701</v>
      </c>
      <c r="AU682" t="s" s="0">
        <v>702</v>
      </c>
      <c r="AV682" t="s" s="0">
        <v>81</v>
      </c>
      <c r="AW682" t="s" s="0">
        <v>703</v>
      </c>
      <c r="AX682" t="s" s="0">
        <v>704</v>
      </c>
      <c r="AY682" t="s" s="0">
        <v>4259</v>
      </c>
      <c r="AZ682" t="s" s="0">
        <v>260</v>
      </c>
      <c r="BA682" t="s" s="0">
        <v>2168</v>
      </c>
      <c r="BB682" t="s" s="0">
        <v>81</v>
      </c>
      <c r="BC682" t="s" s="0">
        <v>81</v>
      </c>
      <c r="BD682" t="s" s="0">
        <v>81</v>
      </c>
      <c r="BE682" t="s" s="0">
        <v>81</v>
      </c>
      <c r="BF682" t="s" s="0">
        <v>81</v>
      </c>
      <c r="BG682" t="s" s="0">
        <v>81</v>
      </c>
      <c r="BH682" t="s" s="0">
        <v>81</v>
      </c>
      <c r="BI682" t="s" s="0">
        <v>15029</v>
      </c>
      <c r="BJ682" t="s" s="0">
        <v>15030</v>
      </c>
      <c r="BK682" t="s" s="1354">
        <f>HYPERLINK("http://dx.doi.org/10.1016/j.jbi.2023.104550","http://dx.doi.org/10.1016/j.jbi.2023.104550")</f>
        <v>15031</v>
      </c>
      <c r="BL682" t="s" s="0">
        <v>81</v>
      </c>
      <c r="BM682" t="s" s="0">
        <v>6339</v>
      </c>
      <c r="BN682" t="s" s="0">
        <v>104</v>
      </c>
      <c r="BO682" t="s" s="0">
        <v>708</v>
      </c>
      <c r="BP682" t="s" s="0">
        <v>709</v>
      </c>
      <c r="BQ682" t="s" s="0">
        <v>15032</v>
      </c>
      <c r="BR682" t="s" s="0">
        <v>15033</v>
      </c>
      <c r="BS682" t="s" s="0">
        <v>15034</v>
      </c>
      <c r="BT682" t="s" s="1355">
        <f>HYPERLINK("https://www.webofscience.com/wos/woscc/full-record/WOS:001125236600001","View Record in Web of Science")</f>
        <v>114</v>
      </c>
      <c r="BU682" t="s" s="0">
        <v>233</v>
      </c>
      <c r="BV682" t="s" s="0">
        <v>81</v>
      </c>
      <c r="BW682" t="s" s="0">
        <v>81</v>
      </c>
      <c r="BX682" t="s" s="0">
        <v>116</v>
      </c>
    </row>
    <row r="683">
      <c r="A683" t="s" s="0">
        <v>77</v>
      </c>
      <c r="B683" t="s" s="0">
        <v>77</v>
      </c>
      <c r="C683" t="s" s="0">
        <v>77</v>
      </c>
      <c r="D683" t="s" s="0">
        <v>77</v>
      </c>
      <c r="E683" t="s" s="0">
        <v>15035</v>
      </c>
      <c r="F683" t="s" s="0">
        <v>15036</v>
      </c>
      <c r="G683" t="s" s="0">
        <v>15037</v>
      </c>
      <c r="H683" t="s" s="0">
        <v>81</v>
      </c>
      <c r="I683" t="s" s="0">
        <v>82</v>
      </c>
      <c r="J683" t="s" s="0">
        <v>15038</v>
      </c>
      <c r="K683" t="s" s="0">
        <v>15039</v>
      </c>
      <c r="L683" t="s" s="0">
        <v>15040</v>
      </c>
      <c r="M683" t="s" s="0">
        <v>15040</v>
      </c>
      <c r="N683" t="s" s="0">
        <v>15041</v>
      </c>
      <c r="O683" t="s" s="0">
        <v>15042</v>
      </c>
      <c r="P683" t="s" s="0">
        <v>15043</v>
      </c>
      <c r="Q683" t="s" s="0">
        <v>87</v>
      </c>
      <c r="R683" t="s" s="0">
        <v>81</v>
      </c>
      <c r="S683" t="s" s="0">
        <v>81</v>
      </c>
      <c r="T683" t="s" s="0">
        <v>81</v>
      </c>
      <c r="U683" t="s" s="0">
        <v>81</v>
      </c>
      <c r="V683" t="s" s="0">
        <v>15044</v>
      </c>
      <c r="W683" t="s" s="0">
        <v>15045</v>
      </c>
      <c r="X683" t="s" s="0">
        <v>81</v>
      </c>
      <c r="Y683" t="s" s="0">
        <v>81</v>
      </c>
      <c r="Z683" t="s" s="0">
        <v>90</v>
      </c>
      <c r="AA683" t="s" s="0">
        <v>91</v>
      </c>
      <c r="AB683" t="s" s="0">
        <v>81</v>
      </c>
      <c r="AC683" t="s" s="0">
        <v>81</v>
      </c>
      <c r="AD683" t="s" s="0">
        <v>81</v>
      </c>
      <c r="AE683" t="s" s="0">
        <v>81</v>
      </c>
      <c r="AF683" t="s" s="0">
        <v>81</v>
      </c>
      <c r="AG683" t="s" s="0">
        <v>15046</v>
      </c>
      <c r="AH683" t="s" s="0">
        <v>15047</v>
      </c>
      <c r="AI683" t="s" s="0">
        <v>15048</v>
      </c>
      <c r="AJ683" t="s" s="0">
        <v>15049</v>
      </c>
      <c r="AK683" t="s" s="0">
        <v>81</v>
      </c>
      <c r="AL683" t="s" s="0">
        <v>819</v>
      </c>
      <c r="AM683" t="s" s="0">
        <v>316</v>
      </c>
      <c r="AN683" t="s" s="0">
        <v>234</v>
      </c>
      <c r="AO683" t="s" s="0">
        <v>196</v>
      </c>
      <c r="AP683" t="s" s="0">
        <v>485</v>
      </c>
      <c r="AQ683" t="s" s="0">
        <v>726</v>
      </c>
      <c r="AR683" t="s" s="0">
        <v>727</v>
      </c>
      <c r="AS683" t="s" s="0">
        <v>728</v>
      </c>
      <c r="AT683" t="s" s="0">
        <v>81</v>
      </c>
      <c r="AU683" t="s" s="0">
        <v>15050</v>
      </c>
      <c r="AV683" t="s" s="0">
        <v>81</v>
      </c>
      <c r="AW683" t="s" s="0">
        <v>15051</v>
      </c>
      <c r="AX683" t="s" s="0">
        <v>15052</v>
      </c>
      <c r="AY683" t="s" s="0">
        <v>13948</v>
      </c>
      <c r="AZ683" t="s" s="0">
        <v>290</v>
      </c>
      <c r="BA683" t="s" s="0">
        <v>191</v>
      </c>
      <c r="BB683" t="s" s="0">
        <v>156</v>
      </c>
      <c r="BC683" t="s" s="0">
        <v>81</v>
      </c>
      <c r="BD683" t="s" s="0">
        <v>81</v>
      </c>
      <c r="BE683" t="s" s="0">
        <v>81</v>
      </c>
      <c r="BF683" t="s" s="0">
        <v>81</v>
      </c>
      <c r="BG683" t="s" s="0">
        <v>81</v>
      </c>
      <c r="BH683" t="s" s="0">
        <v>81</v>
      </c>
      <c r="BI683" t="s" s="0">
        <v>15053</v>
      </c>
      <c r="BJ683" t="s" s="0">
        <v>15054</v>
      </c>
      <c r="BK683" t="s" s="1356">
        <f>HYPERLINK("http://dx.doi.org/10.1002/2056-4538.70023","http://dx.doi.org/10.1002/2056-4538.70023")</f>
        <v>15055</v>
      </c>
      <c r="BL683" t="s" s="0">
        <v>81</v>
      </c>
      <c r="BM683" t="s" s="0">
        <v>81</v>
      </c>
      <c r="BN683" t="s" s="0">
        <v>486</v>
      </c>
      <c r="BO683" t="s" s="0">
        <v>10955</v>
      </c>
      <c r="BP683" t="s" s="0">
        <v>10955</v>
      </c>
      <c r="BQ683" t="s" s="0">
        <v>15056</v>
      </c>
      <c r="BR683" t="s" s="0">
        <v>15057</v>
      </c>
      <c r="BS683" t="s" s="0">
        <v>15058</v>
      </c>
      <c r="BT683" t="s" s="1357">
        <f>HYPERLINK("https://www.webofscience.com/wos/woscc/full-record/WOS:001443467300001","View Record in Web of Science")</f>
        <v>114</v>
      </c>
      <c r="BU683" t="s" s="0">
        <v>301</v>
      </c>
      <c r="BV683" t="s" s="0">
        <v>81</v>
      </c>
      <c r="BW683" t="s" s="0">
        <v>81</v>
      </c>
      <c r="BX683" t="s" s="0">
        <v>116</v>
      </c>
    </row>
    <row r="684">
      <c r="A684" t="s" s="0">
        <v>77</v>
      </c>
      <c r="B684" t="s" s="0">
        <v>77</v>
      </c>
      <c r="C684" t="s" s="0">
        <v>97</v>
      </c>
      <c r="D684" t="s" s="0">
        <v>77</v>
      </c>
      <c r="E684" t="s" s="0">
        <v>15059</v>
      </c>
      <c r="F684" t="s" s="0">
        <v>15060</v>
      </c>
      <c r="G684" t="s" s="0">
        <v>15061</v>
      </c>
      <c r="H684" t="s" s="0">
        <v>81</v>
      </c>
      <c r="I684" t="s" s="0">
        <v>238</v>
      </c>
      <c r="J684" t="s" s="0">
        <v>15062</v>
      </c>
      <c r="K684" t="s" s="0">
        <v>15063</v>
      </c>
      <c r="L684" t="s" s="0">
        <v>81</v>
      </c>
      <c r="M684" t="s" s="0">
        <v>81</v>
      </c>
      <c r="N684" t="s" s="0">
        <v>81</v>
      </c>
      <c r="O684" t="s" s="0">
        <v>15064</v>
      </c>
      <c r="P684" t="s" s="0">
        <v>81</v>
      </c>
      <c r="Q684" t="s" s="0">
        <v>87</v>
      </c>
      <c r="R684" t="s" s="0">
        <v>81</v>
      </c>
      <c r="S684" t="s" s="0">
        <v>81</v>
      </c>
      <c r="T684" t="s" s="0">
        <v>81</v>
      </c>
      <c r="U684" t="s" s="0">
        <v>81</v>
      </c>
      <c r="V684" t="s" s="0">
        <v>15065</v>
      </c>
      <c r="W684" t="s" s="0">
        <v>15066</v>
      </c>
      <c r="X684" t="s" s="0">
        <v>81</v>
      </c>
      <c r="Y684" t="s" s="0">
        <v>81</v>
      </c>
      <c r="Z684" t="s" s="0">
        <v>90</v>
      </c>
      <c r="AA684" t="s" s="0">
        <v>91</v>
      </c>
      <c r="AB684" t="s" s="0">
        <v>81</v>
      </c>
      <c r="AC684" t="s" s="0">
        <v>81</v>
      </c>
      <c r="AD684" t="s" s="0">
        <v>81</v>
      </c>
      <c r="AE684" t="s" s="0">
        <v>81</v>
      </c>
      <c r="AF684" t="s" s="0">
        <v>81</v>
      </c>
      <c r="AG684" t="s" s="0">
        <v>15067</v>
      </c>
      <c r="AH684" t="s" s="0">
        <v>81</v>
      </c>
      <c r="AI684" t="s" s="0">
        <v>15068</v>
      </c>
      <c r="AJ684" t="s" s="0">
        <v>81</v>
      </c>
      <c r="AK684" t="s" s="0">
        <v>81</v>
      </c>
      <c r="AL684" t="s" s="0">
        <v>671</v>
      </c>
      <c r="AM684" t="s" s="0">
        <v>97</v>
      </c>
      <c r="AN684" t="s" s="0">
        <v>97</v>
      </c>
      <c r="AO684" t="s" s="0">
        <v>156</v>
      </c>
      <c r="AP684" t="s" s="0">
        <v>196</v>
      </c>
      <c r="AQ684" t="s" s="0">
        <v>136</v>
      </c>
      <c r="AR684" t="s" s="0">
        <v>137</v>
      </c>
      <c r="AS684" t="s" s="0">
        <v>138</v>
      </c>
      <c r="AT684" t="s" s="0">
        <v>15069</v>
      </c>
      <c r="AU684" t="s" s="0">
        <v>81</v>
      </c>
      <c r="AV684" t="s" s="0">
        <v>81</v>
      </c>
      <c r="AW684" t="s" s="0">
        <v>15070</v>
      </c>
      <c r="AX684" t="s" s="0">
        <v>15071</v>
      </c>
      <c r="AY684" t="s" s="0">
        <v>1183</v>
      </c>
      <c r="AZ684" t="s" s="0">
        <v>185</v>
      </c>
      <c r="BA684" t="s" s="0">
        <v>228</v>
      </c>
      <c r="BB684" t="s" s="0">
        <v>81</v>
      </c>
      <c r="BC684" t="s" s="0">
        <v>81</v>
      </c>
      <c r="BD684" t="s" s="0">
        <v>81</v>
      </c>
      <c r="BE684" t="s" s="0">
        <v>81</v>
      </c>
      <c r="BF684" t="s" s="0">
        <v>81</v>
      </c>
      <c r="BG684" t="s" s="0">
        <v>81</v>
      </c>
      <c r="BH684" t="s" s="0">
        <v>81</v>
      </c>
      <c r="BI684" t="s" s="0">
        <v>15072</v>
      </c>
      <c r="BJ684" t="s" s="0">
        <v>15073</v>
      </c>
      <c r="BK684" t="s" s="1358">
        <f>HYPERLINK("http://dx.doi.org/10.1016/j.sciaf.2024.e02432","http://dx.doi.org/10.1016/j.sciaf.2024.e02432")</f>
        <v>15074</v>
      </c>
      <c r="BL684" t="s" s="0">
        <v>81</v>
      </c>
      <c r="BM684" t="s" s="0">
        <v>1816</v>
      </c>
      <c r="BN684" t="s" s="0">
        <v>191</v>
      </c>
      <c r="BO684" t="s" s="0">
        <v>926</v>
      </c>
      <c r="BP684" t="s" s="0">
        <v>927</v>
      </c>
      <c r="BQ684" t="s" s="0">
        <v>15075</v>
      </c>
      <c r="BR684" t="s" s="0">
        <v>81</v>
      </c>
      <c r="BS684" t="s" s="0">
        <v>15076</v>
      </c>
      <c r="BT684" t="s" s="1359">
        <f>HYPERLINK("https://www.webofscience.com/wos/woscc/full-record/WOS:001339599500001","View Record in Web of Science")</f>
        <v>114</v>
      </c>
      <c r="BU684" t="s" s="0">
        <v>115</v>
      </c>
      <c r="BV684" t="s" s="0">
        <v>81</v>
      </c>
      <c r="BW684" t="s" s="0">
        <v>81</v>
      </c>
      <c r="BX684" t="s" s="0">
        <v>116</v>
      </c>
    </row>
    <row r="685">
      <c r="A685" t="s" s="0">
        <v>77</v>
      </c>
      <c r="B685" t="s" s="0">
        <v>77</v>
      </c>
      <c r="C685" t="s" s="0">
        <v>77</v>
      </c>
      <c r="D685" t="s" s="0">
        <v>77</v>
      </c>
      <c r="E685" t="s" s="0">
        <v>15077</v>
      </c>
      <c r="F685" t="s" s="0">
        <v>15078</v>
      </c>
      <c r="G685" t="s" s="0">
        <v>15079</v>
      </c>
      <c r="H685" t="s" s="0">
        <v>81</v>
      </c>
      <c r="I685" t="s" s="0">
        <v>82</v>
      </c>
      <c r="J685" t="s" s="0">
        <v>15080</v>
      </c>
      <c r="K685" t="s" s="0">
        <v>15081</v>
      </c>
      <c r="L685" t="s" s="0">
        <v>81</v>
      </c>
      <c r="M685" t="s" s="0">
        <v>81</v>
      </c>
      <c r="N685" t="s" s="0">
        <v>81</v>
      </c>
      <c r="O685" t="s" s="0">
        <v>15082</v>
      </c>
      <c r="P685" t="s" s="0">
        <v>81</v>
      </c>
      <c r="Q685" t="s" s="0">
        <v>87</v>
      </c>
      <c r="R685" t="s" s="0">
        <v>81</v>
      </c>
      <c r="S685" t="s" s="0">
        <v>81</v>
      </c>
      <c r="T685" t="s" s="0">
        <v>81</v>
      </c>
      <c r="U685" t="s" s="0">
        <v>81</v>
      </c>
      <c r="V685" t="s" s="0">
        <v>15083</v>
      </c>
      <c r="W685" t="s" s="0">
        <v>1855</v>
      </c>
      <c r="X685" t="s" s="0">
        <v>81</v>
      </c>
      <c r="Y685" t="s" s="0">
        <v>81</v>
      </c>
      <c r="Z685" t="s" s="0">
        <v>90</v>
      </c>
      <c r="AA685" t="s" s="0">
        <v>91</v>
      </c>
      <c r="AB685" t="s" s="0">
        <v>81</v>
      </c>
      <c r="AC685" t="s" s="0">
        <v>81</v>
      </c>
      <c r="AD685" t="s" s="0">
        <v>81</v>
      </c>
      <c r="AE685" t="s" s="0">
        <v>81</v>
      </c>
      <c r="AF685" t="s" s="0">
        <v>81</v>
      </c>
      <c r="AG685" t="s" s="0">
        <v>15084</v>
      </c>
      <c r="AH685" t="s" s="0">
        <v>81</v>
      </c>
      <c r="AI685" t="s" s="0">
        <v>15085</v>
      </c>
      <c r="AJ685" t="s" s="0">
        <v>81</v>
      </c>
      <c r="AK685" t="s" s="0">
        <v>81</v>
      </c>
      <c r="AL685" t="s" s="0">
        <v>253</v>
      </c>
      <c r="AM685" t="s" s="0">
        <v>77</v>
      </c>
      <c r="AN685" t="s" s="0">
        <v>77</v>
      </c>
      <c r="AO685" t="s" s="0">
        <v>97</v>
      </c>
      <c r="AP685" t="s" s="0">
        <v>97</v>
      </c>
      <c r="AQ685" t="s" s="0">
        <v>136</v>
      </c>
      <c r="AR685" t="s" s="0">
        <v>137</v>
      </c>
      <c r="AS685" t="s" s="0">
        <v>138</v>
      </c>
      <c r="AT685" t="s" s="0">
        <v>1860</v>
      </c>
      <c r="AU685" t="s" s="0">
        <v>1861</v>
      </c>
      <c r="AV685" t="s" s="0">
        <v>81</v>
      </c>
      <c r="AW685" t="s" s="0">
        <v>1862</v>
      </c>
      <c r="AX685" t="s" s="0">
        <v>1863</v>
      </c>
      <c r="AY685" t="s" s="0">
        <v>15086</v>
      </c>
      <c r="AZ685" t="s" s="0">
        <v>103</v>
      </c>
      <c r="BA685" t="s" s="0">
        <v>15087</v>
      </c>
      <c r="BB685" t="s" s="0">
        <v>81</v>
      </c>
      <c r="BC685" t="s" s="0">
        <v>81</v>
      </c>
      <c r="BD685" t="s" s="0">
        <v>81</v>
      </c>
      <c r="BE685" t="s" s="0">
        <v>81</v>
      </c>
      <c r="BF685" t="s" s="0">
        <v>81</v>
      </c>
      <c r="BG685" t="s" s="0">
        <v>81</v>
      </c>
      <c r="BH685" t="s" s="0">
        <v>81</v>
      </c>
      <c r="BI685" t="s" s="0">
        <v>15088</v>
      </c>
      <c r="BJ685" t="s" s="0">
        <v>15089</v>
      </c>
      <c r="BK685" t="s" s="1360">
        <f>HYPERLINK("http://dx.doi.org/10.1016/j.knosys.2026.116231","http://dx.doi.org/10.1016/j.knosys.2026.116231")</f>
        <v>15090</v>
      </c>
      <c r="BL685" t="s" s="0">
        <v>81</v>
      </c>
      <c r="BM685" t="s" s="0">
        <v>81</v>
      </c>
      <c r="BN685" t="s" s="0">
        <v>486</v>
      </c>
      <c r="BO685" t="s" s="0">
        <v>409</v>
      </c>
      <c r="BP685" t="s" s="0">
        <v>152</v>
      </c>
      <c r="BQ685" t="s" s="0">
        <v>15091</v>
      </c>
      <c r="BR685" t="s" s="0">
        <v>81</v>
      </c>
      <c r="BS685" t="s" s="0">
        <v>15092</v>
      </c>
      <c r="BT685" t="s" s="1361">
        <f>HYPERLINK("https://www.webofscience.com/wos/woscc/full-record/WOS:001785469300001","View Record in Web of Science")</f>
        <v>114</v>
      </c>
      <c r="BU685" t="s" s="0">
        <v>81</v>
      </c>
      <c r="BV685" t="s" s="0">
        <v>81</v>
      </c>
      <c r="BW685" t="s" s="0">
        <v>81</v>
      </c>
      <c r="BX685" t="s" s="0">
        <v>116</v>
      </c>
    </row>
    <row r="686">
      <c r="A686" t="s" s="0">
        <v>77</v>
      </c>
      <c r="B686" t="s" s="0">
        <v>77</v>
      </c>
      <c r="C686" t="s" s="0">
        <v>77</v>
      </c>
      <c r="D686" t="s" s="0">
        <v>77</v>
      </c>
      <c r="E686" t="s" s="0">
        <v>15093</v>
      </c>
      <c r="F686" t="s" s="0">
        <v>15094</v>
      </c>
      <c r="G686" t="s" s="0">
        <v>15095</v>
      </c>
      <c r="H686" t="s" s="0">
        <v>81</v>
      </c>
      <c r="I686" t="s" s="0">
        <v>82</v>
      </c>
      <c r="J686" t="s" s="0">
        <v>15096</v>
      </c>
      <c r="K686" t="s" s="0">
        <v>15097</v>
      </c>
      <c r="L686" t="s" s="0">
        <v>15098</v>
      </c>
      <c r="M686" t="s" s="0">
        <v>15099</v>
      </c>
      <c r="N686" t="s" s="0">
        <v>15100</v>
      </c>
      <c r="O686" t="s" s="0">
        <v>15101</v>
      </c>
      <c r="P686" t="s" s="0">
        <v>15102</v>
      </c>
      <c r="Q686" t="s" s="0">
        <v>87</v>
      </c>
      <c r="R686" t="s" s="0">
        <v>81</v>
      </c>
      <c r="S686" t="s" s="0">
        <v>81</v>
      </c>
      <c r="T686" t="s" s="0">
        <v>81</v>
      </c>
      <c r="U686" t="s" s="0">
        <v>81</v>
      </c>
      <c r="V686" t="s" s="0">
        <v>15103</v>
      </c>
      <c r="W686" t="s" s="0">
        <v>15104</v>
      </c>
      <c r="X686" t="s" s="0">
        <v>81</v>
      </c>
      <c r="Y686" t="s" s="0">
        <v>81</v>
      </c>
      <c r="Z686" t="s" s="0">
        <v>90</v>
      </c>
      <c r="AA686" t="s" s="0">
        <v>91</v>
      </c>
      <c r="AB686" t="s" s="0">
        <v>81</v>
      </c>
      <c r="AC686" t="s" s="0">
        <v>81</v>
      </c>
      <c r="AD686" t="s" s="0">
        <v>81</v>
      </c>
      <c r="AE686" t="s" s="0">
        <v>81</v>
      </c>
      <c r="AF686" t="s" s="0">
        <v>81</v>
      </c>
      <c r="AG686" t="s" s="0">
        <v>15105</v>
      </c>
      <c r="AH686" t="s" s="0">
        <v>15106</v>
      </c>
      <c r="AI686" t="s" s="0">
        <v>15107</v>
      </c>
      <c r="AJ686" t="s" s="0">
        <v>81</v>
      </c>
      <c r="AK686" t="s" s="0">
        <v>81</v>
      </c>
      <c r="AL686" t="s" s="0">
        <v>343</v>
      </c>
      <c r="AM686" t="s" s="0">
        <v>97</v>
      </c>
      <c r="AN686" t="s" s="0">
        <v>97</v>
      </c>
      <c r="AO686" t="s" s="0">
        <v>261</v>
      </c>
      <c r="AP686" t="s" s="0">
        <v>222</v>
      </c>
      <c r="AQ686" t="s" s="0">
        <v>428</v>
      </c>
      <c r="AR686" t="s" s="0">
        <v>429</v>
      </c>
      <c r="AS686" t="s" s="0">
        <v>430</v>
      </c>
      <c r="AT686" t="s" s="0">
        <v>15108</v>
      </c>
      <c r="AU686" t="s" s="0">
        <v>15109</v>
      </c>
      <c r="AV686" t="s" s="0">
        <v>81</v>
      </c>
      <c r="AW686" t="s" s="0">
        <v>15104</v>
      </c>
      <c r="AX686" t="s" s="0">
        <v>15110</v>
      </c>
      <c r="AY686" t="s" s="0">
        <v>1743</v>
      </c>
      <c r="AZ686" t="s" s="0">
        <v>290</v>
      </c>
      <c r="BA686" t="s" s="0">
        <v>15111</v>
      </c>
      <c r="BB686" t="s" s="0">
        <v>81</v>
      </c>
      <c r="BC686" t="s" s="0">
        <v>81</v>
      </c>
      <c r="BD686" t="s" s="0">
        <v>81</v>
      </c>
      <c r="BE686" t="s" s="0">
        <v>81</v>
      </c>
      <c r="BF686" t="s" s="0">
        <v>81</v>
      </c>
      <c r="BG686" t="s" s="0">
        <v>81</v>
      </c>
      <c r="BH686" t="s" s="0">
        <v>81</v>
      </c>
      <c r="BI686" t="s" s="0">
        <v>15112</v>
      </c>
      <c r="BJ686" t="s" s="0">
        <v>15113</v>
      </c>
      <c r="BK686" t="s" s="1362">
        <f>HYPERLINK("http://dx.doi.org/10.1016/j.bone.2025.117592","http://dx.doi.org/10.1016/j.bone.2025.117592")</f>
        <v>15114</v>
      </c>
      <c r="BL686" t="s" s="0">
        <v>81</v>
      </c>
      <c r="BM686" t="s" s="0">
        <v>733</v>
      </c>
      <c r="BN686" t="s" s="0">
        <v>104</v>
      </c>
      <c r="BO686" t="s" s="0">
        <v>6302</v>
      </c>
      <c r="BP686" t="s" s="0">
        <v>6302</v>
      </c>
      <c r="BQ686" t="s" s="0">
        <v>15115</v>
      </c>
      <c r="BR686" t="s" s="0">
        <v>15116</v>
      </c>
      <c r="BS686" t="s" s="0">
        <v>15117</v>
      </c>
      <c r="BT686" t="s" s="1363">
        <f>HYPERLINK("https://www.webofscience.com/wos/woscc/full-record/WOS:001548293800001","View Record in Web of Science")</f>
        <v>114</v>
      </c>
      <c r="BU686" t="s" s="0">
        <v>81</v>
      </c>
      <c r="BV686" t="s" s="0">
        <v>81</v>
      </c>
      <c r="BW686" t="s" s="0">
        <v>81</v>
      </c>
      <c r="BX686" t="s" s="0">
        <v>116</v>
      </c>
    </row>
    <row r="687">
      <c r="A687" t="s" s="0">
        <v>77</v>
      </c>
      <c r="B687" t="s" s="0">
        <v>77</v>
      </c>
      <c r="C687" t="s" s="0">
        <v>97</v>
      </c>
      <c r="D687" t="s" s="0">
        <v>77</v>
      </c>
      <c r="E687" t="s" s="0">
        <v>15118</v>
      </c>
      <c r="F687" t="s" s="0">
        <v>15119</v>
      </c>
      <c r="G687" t="s" s="0">
        <v>15120</v>
      </c>
      <c r="H687" t="s" s="0">
        <v>81</v>
      </c>
      <c r="I687" t="s" s="0">
        <v>82</v>
      </c>
      <c r="J687" t="s" s="0">
        <v>15121</v>
      </c>
      <c r="K687" t="s" s="0">
        <v>15122</v>
      </c>
      <c r="L687" t="s" s="0">
        <v>15123</v>
      </c>
      <c r="M687" t="s" s="0">
        <v>15124</v>
      </c>
      <c r="N687" t="s" s="0">
        <v>15125</v>
      </c>
      <c r="O687" t="s" s="0">
        <v>15126</v>
      </c>
      <c r="P687" t="s" s="0">
        <v>15127</v>
      </c>
      <c r="Q687" t="s" s="0">
        <v>87</v>
      </c>
      <c r="R687" t="s" s="0">
        <v>81</v>
      </c>
      <c r="S687" t="s" s="0">
        <v>81</v>
      </c>
      <c r="T687" t="s" s="0">
        <v>81</v>
      </c>
      <c r="U687" t="s" s="0">
        <v>81</v>
      </c>
      <c r="V687" t="s" s="0">
        <v>15128</v>
      </c>
      <c r="W687" t="s" s="0">
        <v>89</v>
      </c>
      <c r="X687" t="s" s="0">
        <v>81</v>
      </c>
      <c r="Y687" t="s" s="0">
        <v>81</v>
      </c>
      <c r="Z687" t="s" s="0">
        <v>90</v>
      </c>
      <c r="AA687" t="s" s="0">
        <v>91</v>
      </c>
      <c r="AB687" t="s" s="0">
        <v>81</v>
      </c>
      <c r="AC687" t="s" s="0">
        <v>81</v>
      </c>
      <c r="AD687" t="s" s="0">
        <v>81</v>
      </c>
      <c r="AE687" t="s" s="0">
        <v>81</v>
      </c>
      <c r="AF687" t="s" s="0">
        <v>81</v>
      </c>
      <c r="AG687" t="s" s="0">
        <v>15129</v>
      </c>
      <c r="AH687" t="s" s="0">
        <v>81</v>
      </c>
      <c r="AI687" t="s" s="0">
        <v>15130</v>
      </c>
      <c r="AJ687" t="s" s="0">
        <v>15131</v>
      </c>
      <c r="AK687" t="s" s="0">
        <v>81</v>
      </c>
      <c r="AL687" t="s" s="0">
        <v>324</v>
      </c>
      <c r="AM687" t="s" s="0">
        <v>316</v>
      </c>
      <c r="AN687" t="s" s="0">
        <v>261</v>
      </c>
      <c r="AO687" t="s" s="0">
        <v>234</v>
      </c>
      <c r="AP687" t="s" s="0">
        <v>222</v>
      </c>
      <c r="AQ687" t="s" s="0">
        <v>98</v>
      </c>
      <c r="AR687" t="s" s="0">
        <v>99</v>
      </c>
      <c r="AS687" t="s" s="0">
        <v>100</v>
      </c>
      <c r="AT687" t="s" s="0">
        <v>101</v>
      </c>
      <c r="AU687" t="s" s="0">
        <v>81</v>
      </c>
      <c r="AV687" t="s" s="0">
        <v>81</v>
      </c>
      <c r="AW687" t="s" s="0">
        <v>89</v>
      </c>
      <c r="AX687" t="s" s="0">
        <v>102</v>
      </c>
      <c r="AY687" t="s" s="0">
        <v>290</v>
      </c>
      <c r="AZ687" t="s" s="0">
        <v>290</v>
      </c>
      <c r="BA687" t="s" s="0">
        <v>486</v>
      </c>
      <c r="BB687" t="s" s="0">
        <v>81</v>
      </c>
      <c r="BC687" t="s" s="0">
        <v>81</v>
      </c>
      <c r="BD687" t="s" s="0">
        <v>81</v>
      </c>
      <c r="BE687" t="s" s="0">
        <v>81</v>
      </c>
      <c r="BF687" t="s" s="0">
        <v>81</v>
      </c>
      <c r="BG687" t="s" s="0">
        <v>15132</v>
      </c>
      <c r="BH687" t="s" s="0">
        <v>15133</v>
      </c>
      <c r="BI687" t="s" s="0">
        <v>81</v>
      </c>
      <c r="BJ687" t="s" s="0">
        <v>15134</v>
      </c>
      <c r="BK687" t="s" s="1364">
        <f>HYPERLINK("http://dx.doi.org/10.1109/ACCESS.2025.3550577","http://dx.doi.org/10.1109/ACCESS.2025.3550577")</f>
        <v>15135</v>
      </c>
      <c r="BL687" t="s" s="0">
        <v>81</v>
      </c>
      <c r="BM687" t="s" s="0">
        <v>81</v>
      </c>
      <c r="BN687" t="s" s="0">
        <v>109</v>
      </c>
      <c r="BO687" t="s" s="0">
        <v>110</v>
      </c>
      <c r="BP687" t="s" s="0">
        <v>111</v>
      </c>
      <c r="BQ687" t="s" s="0">
        <v>15136</v>
      </c>
      <c r="BR687" t="s" s="0">
        <v>81</v>
      </c>
      <c r="BS687" t="s" s="0">
        <v>15137</v>
      </c>
      <c r="BT687" t="s" s="1365">
        <f>HYPERLINK("https://www.webofscience.com/wos/woscc/full-record/WOS:001457781100020","View Record in Web of Science")</f>
        <v>114</v>
      </c>
      <c r="BU687" t="s" s="0">
        <v>301</v>
      </c>
      <c r="BV687" t="s" s="0">
        <v>81</v>
      </c>
      <c r="BW687" t="s" s="0">
        <v>81</v>
      </c>
      <c r="BX687" t="s" s="0">
        <v>116</v>
      </c>
    </row>
    <row r="688">
      <c r="A688" t="s" s="0">
        <v>77</v>
      </c>
      <c r="B688" t="s" s="0">
        <v>77</v>
      </c>
      <c r="C688" t="s" s="0">
        <v>77</v>
      </c>
      <c r="D688" t="s" s="0">
        <v>77</v>
      </c>
      <c r="E688" t="s" s="0">
        <v>15138</v>
      </c>
      <c r="F688" t="s" s="0">
        <v>15139</v>
      </c>
      <c r="G688" t="s" s="0">
        <v>15140</v>
      </c>
      <c r="H688" t="s" s="0">
        <v>81</v>
      </c>
      <c r="I688" t="s" s="0">
        <v>82</v>
      </c>
      <c r="J688" t="s" s="0">
        <v>15141</v>
      </c>
      <c r="K688" t="s" s="0">
        <v>15142</v>
      </c>
      <c r="L688" t="s" s="0">
        <v>15143</v>
      </c>
      <c r="M688" t="s" s="0">
        <v>15143</v>
      </c>
      <c r="N688" t="s" s="0">
        <v>15144</v>
      </c>
      <c r="O688" t="s" s="0">
        <v>15145</v>
      </c>
      <c r="P688" t="s" s="0">
        <v>15146</v>
      </c>
      <c r="Q688" t="s" s="0">
        <v>87</v>
      </c>
      <c r="R688" t="s" s="0">
        <v>81</v>
      </c>
      <c r="S688" t="s" s="0">
        <v>81</v>
      </c>
      <c r="T688" t="s" s="0">
        <v>81</v>
      </c>
      <c r="U688" t="s" s="0">
        <v>81</v>
      </c>
      <c r="V688" t="s" s="0">
        <v>15147</v>
      </c>
      <c r="W688" t="s" s="0">
        <v>8993</v>
      </c>
      <c r="X688" t="s" s="0">
        <v>81</v>
      </c>
      <c r="Y688" t="s" s="0">
        <v>81</v>
      </c>
      <c r="Z688" t="s" s="0">
        <v>90</v>
      </c>
      <c r="AA688" t="s" s="0">
        <v>91</v>
      </c>
      <c r="AB688" t="s" s="0">
        <v>81</v>
      </c>
      <c r="AC688" t="s" s="0">
        <v>81</v>
      </c>
      <c r="AD688" t="s" s="0">
        <v>81</v>
      </c>
      <c r="AE688" t="s" s="0">
        <v>81</v>
      </c>
      <c r="AF688" t="s" s="0">
        <v>81</v>
      </c>
      <c r="AG688" t="s" s="0">
        <v>81</v>
      </c>
      <c r="AH688" t="s" s="0">
        <v>81</v>
      </c>
      <c r="AI688" t="s" s="0">
        <v>81</v>
      </c>
      <c r="AJ688" t="s" s="0">
        <v>81</v>
      </c>
      <c r="AK688" t="s" s="0">
        <v>81</v>
      </c>
      <c r="AL688" t="s" s="0">
        <v>1912</v>
      </c>
      <c r="AM688" t="s" s="0">
        <v>77</v>
      </c>
      <c r="AN688" t="s" s="0">
        <v>77</v>
      </c>
      <c r="AO688" t="s" s="0">
        <v>77</v>
      </c>
      <c r="AP688" t="s" s="0">
        <v>77</v>
      </c>
      <c r="AQ688" t="s" s="0">
        <v>8996</v>
      </c>
      <c r="AR688" t="s" s="0">
        <v>8997</v>
      </c>
      <c r="AS688" t="s" s="0">
        <v>8998</v>
      </c>
      <c r="AT688" t="s" s="0">
        <v>8999</v>
      </c>
      <c r="AU688" t="s" s="0">
        <v>9000</v>
      </c>
      <c r="AV688" t="s" s="0">
        <v>81</v>
      </c>
      <c r="AW688" t="s" s="0">
        <v>8993</v>
      </c>
      <c r="AX688" t="s" s="0">
        <v>9001</v>
      </c>
      <c r="AY688" t="s" s="0">
        <v>3366</v>
      </c>
      <c r="AZ688" t="s" s="0">
        <v>103</v>
      </c>
      <c r="BA688" t="s" s="0">
        <v>15148</v>
      </c>
      <c r="BB688" t="s" s="0">
        <v>97</v>
      </c>
      <c r="BC688" t="s" s="0">
        <v>81</v>
      </c>
      <c r="BD688" t="s" s="0">
        <v>81</v>
      </c>
      <c r="BE688" t="s" s="0">
        <v>81</v>
      </c>
      <c r="BF688" t="s" s="0">
        <v>81</v>
      </c>
      <c r="BG688" t="s" s="0">
        <v>81</v>
      </c>
      <c r="BH688" t="s" s="0">
        <v>81</v>
      </c>
      <c r="BI688" t="s" s="0">
        <v>15149</v>
      </c>
      <c r="BJ688" t="s" s="0">
        <v>15150</v>
      </c>
      <c r="BK688" t="s" s="1366">
        <f>HYPERLINK("http://dx.doi.org/10.1148/radiol.252590","http://dx.doi.org/10.1148/radiol.252590")</f>
        <v>15151</v>
      </c>
      <c r="BL688" t="s" s="0">
        <v>81</v>
      </c>
      <c r="BM688" t="s" s="0">
        <v>81</v>
      </c>
      <c r="BN688" t="s" s="0">
        <v>261</v>
      </c>
      <c r="BO688" t="s" s="0">
        <v>738</v>
      </c>
      <c r="BP688" t="s" s="0">
        <v>738</v>
      </c>
      <c r="BQ688" t="s" s="0">
        <v>15152</v>
      </c>
      <c r="BR688" t="s" s="0">
        <v>15153</v>
      </c>
      <c r="BS688" t="s" s="0">
        <v>15154</v>
      </c>
      <c r="BT688" t="s" s="1367">
        <f>HYPERLINK("https://www.webofscience.com/wos/woscc/full-record/WOS:001842151400001","View Record in Web of Science")</f>
        <v>114</v>
      </c>
      <c r="BU688" t="s" s="0">
        <v>81</v>
      </c>
      <c r="BV688" t="s" s="0">
        <v>81</v>
      </c>
      <c r="BW688" t="s" s="0">
        <v>81</v>
      </c>
      <c r="BX688" t="s" s="0">
        <v>116</v>
      </c>
    </row>
    <row r="689">
      <c r="A689" t="s" s="0">
        <v>77</v>
      </c>
      <c r="B689" t="s" s="0">
        <v>77</v>
      </c>
      <c r="C689" t="s" s="0">
        <v>156</v>
      </c>
      <c r="D689" t="s" s="0">
        <v>77</v>
      </c>
      <c r="E689" t="s" s="0">
        <v>15155</v>
      </c>
      <c r="F689" t="s" s="0">
        <v>15156</v>
      </c>
      <c r="G689" t="s" s="0">
        <v>15157</v>
      </c>
      <c r="H689" t="s" s="0">
        <v>81</v>
      </c>
      <c r="I689" t="s" s="0">
        <v>82</v>
      </c>
      <c r="J689" t="s" s="0">
        <v>15158</v>
      </c>
      <c r="K689" t="s" s="0">
        <v>15159</v>
      </c>
      <c r="L689" t="s" s="0">
        <v>15160</v>
      </c>
      <c r="M689" t="s" s="0">
        <v>15161</v>
      </c>
      <c r="N689" t="s" s="0">
        <v>15162</v>
      </c>
      <c r="O689" t="s" s="0">
        <v>15163</v>
      </c>
      <c r="P689" t="s" s="0">
        <v>15164</v>
      </c>
      <c r="Q689" t="s" s="0">
        <v>87</v>
      </c>
      <c r="R689" t="s" s="0">
        <v>81</v>
      </c>
      <c r="S689" t="s" s="0">
        <v>81</v>
      </c>
      <c r="T689" t="s" s="0">
        <v>81</v>
      </c>
      <c r="U689" t="s" s="0">
        <v>81</v>
      </c>
      <c r="V689" t="s" s="0">
        <v>15165</v>
      </c>
      <c r="W689" t="s" s="0">
        <v>3220</v>
      </c>
      <c r="X689" t="s" s="0">
        <v>81</v>
      </c>
      <c r="Y689" t="s" s="0">
        <v>81</v>
      </c>
      <c r="Z689" t="s" s="0">
        <v>90</v>
      </c>
      <c r="AA689" t="s" s="0">
        <v>91</v>
      </c>
      <c r="AB689" t="s" s="0">
        <v>81</v>
      </c>
      <c r="AC689" t="s" s="0">
        <v>81</v>
      </c>
      <c r="AD689" t="s" s="0">
        <v>81</v>
      </c>
      <c r="AE689" t="s" s="0">
        <v>81</v>
      </c>
      <c r="AF689" t="s" s="0">
        <v>81</v>
      </c>
      <c r="AG689" t="s" s="0">
        <v>15166</v>
      </c>
      <c r="AH689" t="s" s="0">
        <v>15167</v>
      </c>
      <c r="AI689" t="s" s="0">
        <v>15168</v>
      </c>
      <c r="AJ689" t="s" s="0">
        <v>15169</v>
      </c>
      <c r="AK689" t="s" s="0">
        <v>81</v>
      </c>
      <c r="AL689" t="s" s="0">
        <v>221</v>
      </c>
      <c r="AM689" t="s" s="0">
        <v>175</v>
      </c>
      <c r="AN689" t="s" s="0">
        <v>175</v>
      </c>
      <c r="AO689" t="s" s="0">
        <v>133</v>
      </c>
      <c r="AP689" t="s" s="0">
        <v>291</v>
      </c>
      <c r="AQ689" t="s" s="0">
        <v>1608</v>
      </c>
      <c r="AR689" t="s" s="0">
        <v>1609</v>
      </c>
      <c r="AS689" t="s" s="0">
        <v>1610</v>
      </c>
      <c r="AT689" t="s" s="0">
        <v>3225</v>
      </c>
      <c r="AU689" t="s" s="0">
        <v>3226</v>
      </c>
      <c r="AV689" t="s" s="0">
        <v>81</v>
      </c>
      <c r="AW689" t="s" s="0">
        <v>3227</v>
      </c>
      <c r="AX689" t="s" s="0">
        <v>3228</v>
      </c>
      <c r="AY689" t="s" s="0">
        <v>615</v>
      </c>
      <c r="AZ689" t="s" s="0">
        <v>290</v>
      </c>
      <c r="BA689" t="s" s="0">
        <v>397</v>
      </c>
      <c r="BB689" t="s" s="0">
        <v>81</v>
      </c>
      <c r="BC689" t="s" s="0">
        <v>81</v>
      </c>
      <c r="BD689" t="s" s="0">
        <v>81</v>
      </c>
      <c r="BE689" t="s" s="0">
        <v>81</v>
      </c>
      <c r="BF689" t="s" s="0">
        <v>81</v>
      </c>
      <c r="BG689" t="s" s="0">
        <v>81</v>
      </c>
      <c r="BH689" t="s" s="0">
        <v>81</v>
      </c>
      <c r="BI689" t="s" s="0">
        <v>15170</v>
      </c>
      <c r="BJ689" t="s" s="0">
        <v>15171</v>
      </c>
      <c r="BK689" t="s" s="1368">
        <f>HYPERLINK("http://dx.doi.org/10.1016/j.cmpb.2025.108645","http://dx.doi.org/10.1016/j.cmpb.2025.108645")</f>
        <v>15172</v>
      </c>
      <c r="BL689" t="s" s="0">
        <v>81</v>
      </c>
      <c r="BM689" t="s" s="0">
        <v>289</v>
      </c>
      <c r="BN689" t="s" s="0">
        <v>925</v>
      </c>
      <c r="BO689" t="s" s="0">
        <v>3234</v>
      </c>
      <c r="BP689" t="s" s="0">
        <v>3235</v>
      </c>
      <c r="BQ689" t="s" s="0">
        <v>15173</v>
      </c>
      <c r="BR689" t="s" s="0">
        <v>15174</v>
      </c>
      <c r="BS689" t="s" s="0">
        <v>15175</v>
      </c>
      <c r="BT689" t="s" s="1369">
        <f>HYPERLINK("https://www.webofscience.com/wos/woscc/full-record/WOS:001434340500001","View Record in Web of Science")</f>
        <v>114</v>
      </c>
      <c r="BU689" t="s" s="0">
        <v>81</v>
      </c>
      <c r="BV689" t="s" s="0">
        <v>81</v>
      </c>
      <c r="BW689" t="s" s="0">
        <v>81</v>
      </c>
      <c r="BX689" t="s" s="0">
        <v>116</v>
      </c>
    </row>
    <row r="690">
      <c r="A690" t="s" s="0">
        <v>97</v>
      </c>
      <c r="B690" t="s" s="0">
        <v>77</v>
      </c>
      <c r="C690" t="s" s="0">
        <v>295</v>
      </c>
      <c r="D690" t="s" s="0">
        <v>77</v>
      </c>
      <c r="E690" t="s" s="0">
        <v>15176</v>
      </c>
      <c r="F690" t="s" s="0">
        <v>15177</v>
      </c>
      <c r="G690" t="s" s="0">
        <v>15178</v>
      </c>
      <c r="H690" t="s" s="0">
        <v>81</v>
      </c>
      <c r="I690" t="s" s="0">
        <v>82</v>
      </c>
      <c r="J690" t="s" s="0">
        <v>14793</v>
      </c>
      <c r="K690" t="s" s="0">
        <v>4661</v>
      </c>
      <c r="L690" t="s" s="0">
        <v>15179</v>
      </c>
      <c r="M690" t="s" s="0">
        <v>15180</v>
      </c>
      <c r="N690" t="s" s="0">
        <v>15181</v>
      </c>
      <c r="O690" t="s" s="0">
        <v>15182</v>
      </c>
      <c r="P690" t="s" s="0">
        <v>15183</v>
      </c>
      <c r="Q690" t="s" s="0">
        <v>87</v>
      </c>
      <c r="R690" t="s" s="0">
        <v>81</v>
      </c>
      <c r="S690" t="s" s="0">
        <v>81</v>
      </c>
      <c r="T690" t="s" s="0">
        <v>81</v>
      </c>
      <c r="U690" t="s" s="0">
        <v>81</v>
      </c>
      <c r="V690" t="s" s="0">
        <v>15184</v>
      </c>
      <c r="W690" t="s" s="0">
        <v>15185</v>
      </c>
      <c r="X690" t="s" s="0">
        <v>81</v>
      </c>
      <c r="Y690" t="s" s="0">
        <v>81</v>
      </c>
      <c r="Z690" t="s" s="0">
        <v>90</v>
      </c>
      <c r="AA690" t="s" s="0">
        <v>91</v>
      </c>
      <c r="AB690" t="s" s="0">
        <v>81</v>
      </c>
      <c r="AC690" t="s" s="0">
        <v>81</v>
      </c>
      <c r="AD690" t="s" s="0">
        <v>81</v>
      </c>
      <c r="AE690" t="s" s="0">
        <v>81</v>
      </c>
      <c r="AF690" t="s" s="0">
        <v>81</v>
      </c>
      <c r="AG690" t="s" s="0">
        <v>15186</v>
      </c>
      <c r="AH690" t="s" s="0">
        <v>15187</v>
      </c>
      <c r="AI690" t="s" s="0">
        <v>15188</v>
      </c>
      <c r="AJ690" t="s" s="0">
        <v>15189</v>
      </c>
      <c r="AK690" t="s" s="0">
        <v>81</v>
      </c>
      <c r="AL690" t="s" s="0">
        <v>1686</v>
      </c>
      <c r="AM690" t="s" s="0">
        <v>3518</v>
      </c>
      <c r="AN690" t="s" s="0">
        <v>542</v>
      </c>
      <c r="AO690" t="s" s="0">
        <v>133</v>
      </c>
      <c r="AP690" t="s" s="0">
        <v>1049</v>
      </c>
      <c r="AQ690" t="s" s="0">
        <v>1344</v>
      </c>
      <c r="AR690" t="s" s="0">
        <v>1345</v>
      </c>
      <c r="AS690" t="s" s="0">
        <v>1346</v>
      </c>
      <c r="AT690" t="s" s="0">
        <v>15190</v>
      </c>
      <c r="AU690" t="s" s="0">
        <v>15191</v>
      </c>
      <c r="AV690" t="s" s="0">
        <v>81</v>
      </c>
      <c r="AW690" t="s" s="0">
        <v>15192</v>
      </c>
      <c r="AX690" t="s" s="0">
        <v>15193</v>
      </c>
      <c r="AY690" t="s" s="0">
        <v>557</v>
      </c>
      <c r="AZ690" t="s" s="0">
        <v>260</v>
      </c>
      <c r="BA690" t="s" s="0">
        <v>13369</v>
      </c>
      <c r="BB690" t="s" s="0">
        <v>81</v>
      </c>
      <c r="BC690" t="s" s="0">
        <v>81</v>
      </c>
      <c r="BD690" t="s" s="0">
        <v>81</v>
      </c>
      <c r="BE690" t="s" s="0">
        <v>81</v>
      </c>
      <c r="BF690" t="s" s="0">
        <v>81</v>
      </c>
      <c r="BG690" t="s" s="0">
        <v>81</v>
      </c>
      <c r="BH690" t="s" s="0">
        <v>81</v>
      </c>
      <c r="BI690" t="s" s="0">
        <v>15194</v>
      </c>
      <c r="BJ690" t="s" s="0">
        <v>15195</v>
      </c>
      <c r="BK690" t="s" s="1370">
        <f>HYPERLINK("http://dx.doi.org/10.1016/j.compbiomed.2023.106544","http://dx.doi.org/10.1016/j.compbiomed.2023.106544")</f>
        <v>15196</v>
      </c>
      <c r="BL690" t="s" s="0">
        <v>81</v>
      </c>
      <c r="BM690" t="s" s="0">
        <v>3838</v>
      </c>
      <c r="BN690" t="s" s="0">
        <v>104</v>
      </c>
      <c r="BO690" t="s" s="0">
        <v>15197</v>
      </c>
      <c r="BP690" t="s" s="0">
        <v>15198</v>
      </c>
      <c r="BQ690" t="s" s="0">
        <v>15199</v>
      </c>
      <c r="BR690" t="s" s="0">
        <v>15200</v>
      </c>
      <c r="BS690" t="s" s="0">
        <v>15201</v>
      </c>
      <c r="BT690" t="s" s="1371">
        <f>HYPERLINK("https://www.webofscience.com/wos/woscc/full-record/WOS:000922646000001","View Record in Web of Science")</f>
        <v>114</v>
      </c>
      <c r="BU690" t="s" s="0">
        <v>81</v>
      </c>
      <c r="BV690" t="s" s="0">
        <v>81</v>
      </c>
      <c r="BW690" t="s" s="0">
        <v>81</v>
      </c>
      <c r="BX690" t="s" s="0">
        <v>116</v>
      </c>
    </row>
    <row r="691">
      <c r="A691" t="s" s="0">
        <v>77</v>
      </c>
      <c r="B691" t="s" s="0">
        <v>77</v>
      </c>
      <c r="C691" t="s" s="0">
        <v>316</v>
      </c>
      <c r="D691" t="s" s="0">
        <v>77</v>
      </c>
      <c r="E691" t="s" s="0">
        <v>15202</v>
      </c>
      <c r="F691" t="s" s="0">
        <v>15203</v>
      </c>
      <c r="G691" t="s" s="0">
        <v>15204</v>
      </c>
      <c r="H691" t="s" s="0">
        <v>81</v>
      </c>
      <c r="I691" t="s" s="0">
        <v>82</v>
      </c>
      <c r="J691" t="s" s="0">
        <v>15205</v>
      </c>
      <c r="K691" t="s" s="0">
        <v>15206</v>
      </c>
      <c r="L691" t="s" s="0">
        <v>15207</v>
      </c>
      <c r="M691" t="s" s="0">
        <v>15208</v>
      </c>
      <c r="N691" t="s" s="0">
        <v>15209</v>
      </c>
      <c r="O691" t="s" s="0">
        <v>15210</v>
      </c>
      <c r="P691" t="s" s="0">
        <v>15211</v>
      </c>
      <c r="Q691" t="s" s="0">
        <v>87</v>
      </c>
      <c r="R691" t="s" s="0">
        <v>81</v>
      </c>
      <c r="S691" t="s" s="0">
        <v>81</v>
      </c>
      <c r="T691" t="s" s="0">
        <v>81</v>
      </c>
      <c r="U691" t="s" s="0">
        <v>81</v>
      </c>
      <c r="V691" t="s" s="0">
        <v>15212</v>
      </c>
      <c r="W691" t="s" s="0">
        <v>1313</v>
      </c>
      <c r="X691" t="s" s="0">
        <v>81</v>
      </c>
      <c r="Y691" t="s" s="0">
        <v>81</v>
      </c>
      <c r="Z691" t="s" s="0">
        <v>90</v>
      </c>
      <c r="AA691" t="s" s="0">
        <v>91</v>
      </c>
      <c r="AB691" t="s" s="0">
        <v>81</v>
      </c>
      <c r="AC691" t="s" s="0">
        <v>81</v>
      </c>
      <c r="AD691" t="s" s="0">
        <v>81</v>
      </c>
      <c r="AE691" t="s" s="0">
        <v>81</v>
      </c>
      <c r="AF691" t="s" s="0">
        <v>81</v>
      </c>
      <c r="AG691" t="s" s="0">
        <v>81</v>
      </c>
      <c r="AH691" t="s" s="0">
        <v>15213</v>
      </c>
      <c r="AI691" t="s" s="0">
        <v>15214</v>
      </c>
      <c r="AJ691" t="s" s="0">
        <v>15215</v>
      </c>
      <c r="AK691" t="s" s="0">
        <v>81</v>
      </c>
      <c r="AL691" t="s" s="0">
        <v>756</v>
      </c>
      <c r="AM691" t="s" s="0">
        <v>252</v>
      </c>
      <c r="AN691" t="s" s="0">
        <v>344</v>
      </c>
      <c r="AO691" t="s" s="0">
        <v>77</v>
      </c>
      <c r="AP691" t="s" s="0">
        <v>211</v>
      </c>
      <c r="AQ691" t="s" s="0">
        <v>1317</v>
      </c>
      <c r="AR691" t="s" s="0">
        <v>1318</v>
      </c>
      <c r="AS691" t="s" s="0">
        <v>1319</v>
      </c>
      <c r="AT691" t="s" s="0">
        <v>81</v>
      </c>
      <c r="AU691" t="s" s="0">
        <v>1320</v>
      </c>
      <c r="AV691" t="s" s="0">
        <v>81</v>
      </c>
      <c r="AW691" t="s" s="0">
        <v>1313</v>
      </c>
      <c r="AX691" t="s" s="0">
        <v>1321</v>
      </c>
      <c r="AY691" t="s" s="0">
        <v>220</v>
      </c>
      <c r="AZ691" t="s" s="0">
        <v>220</v>
      </c>
      <c r="BA691" t="s" s="0">
        <v>222</v>
      </c>
      <c r="BB691" t="s" s="0">
        <v>133</v>
      </c>
      <c r="BC691" t="s" s="0">
        <v>81</v>
      </c>
      <c r="BD691" t="s" s="0">
        <v>81</v>
      </c>
      <c r="BE691" t="s" s="0">
        <v>81</v>
      </c>
      <c r="BF691" t="s" s="0">
        <v>81</v>
      </c>
      <c r="BG691" t="s" s="0">
        <v>81</v>
      </c>
      <c r="BH691" t="s" s="0">
        <v>81</v>
      </c>
      <c r="BI691" t="s" s="0">
        <v>81</v>
      </c>
      <c r="BJ691" t="s" s="0">
        <v>15216</v>
      </c>
      <c r="BK691" t="s" s="1372">
        <f>HYPERLINK("http://dx.doi.org/10.1371/journal.pone.0264695","http://dx.doi.org/10.1371/journal.pone.0264695")</f>
        <v>15217</v>
      </c>
      <c r="BL691" t="s" s="0">
        <v>81</v>
      </c>
      <c r="BM691" t="s" s="0">
        <v>81</v>
      </c>
      <c r="BN691" t="s" s="0">
        <v>1912</v>
      </c>
      <c r="BO691" t="s" s="0">
        <v>926</v>
      </c>
      <c r="BP691" t="s" s="0">
        <v>927</v>
      </c>
      <c r="BQ691" t="s" s="0">
        <v>15218</v>
      </c>
      <c r="BR691" t="s" s="0">
        <v>15219</v>
      </c>
      <c r="BS691" t="s" s="0">
        <v>15220</v>
      </c>
      <c r="BT691" t="s" s="1373">
        <f>HYPERLINK("https://www.webofscience.com/wos/woscc/full-record/WOS:000835222600037","View Record in Web of Science")</f>
        <v>114</v>
      </c>
      <c r="BU691" t="s" s="0">
        <v>301</v>
      </c>
      <c r="BV691" t="s" s="0">
        <v>81</v>
      </c>
      <c r="BW691" t="s" s="0">
        <v>81</v>
      </c>
      <c r="BX691" t="s" s="0">
        <v>116</v>
      </c>
    </row>
    <row r="692">
      <c r="A692" t="s" s="0">
        <v>77</v>
      </c>
      <c r="B692" t="s" s="0">
        <v>77</v>
      </c>
      <c r="C692" t="s" s="0">
        <v>97</v>
      </c>
      <c r="D692" t="s" s="0">
        <v>77</v>
      </c>
      <c r="E692" t="s" s="0">
        <v>15221</v>
      </c>
      <c r="F692" t="s" s="0">
        <v>15222</v>
      </c>
      <c r="G692" t="s" s="0">
        <v>15223</v>
      </c>
      <c r="H692" t="s" s="0">
        <v>81</v>
      </c>
      <c r="I692" t="s" s="0">
        <v>82</v>
      </c>
      <c r="J692" t="s" s="0">
        <v>15224</v>
      </c>
      <c r="K692" t="s" s="0">
        <v>15225</v>
      </c>
      <c r="L692" t="s" s="0">
        <v>15226</v>
      </c>
      <c r="M692" t="s" s="0">
        <v>15227</v>
      </c>
      <c r="N692" t="s" s="0">
        <v>15228</v>
      </c>
      <c r="O692" t="s" s="0">
        <v>15229</v>
      </c>
      <c r="P692" t="s" s="0">
        <v>15230</v>
      </c>
      <c r="Q692" t="s" s="0">
        <v>87</v>
      </c>
      <c r="R692" t="s" s="0">
        <v>81</v>
      </c>
      <c r="S692" t="s" s="0">
        <v>81</v>
      </c>
      <c r="T692" t="s" s="0">
        <v>81</v>
      </c>
      <c r="U692" t="s" s="0">
        <v>81</v>
      </c>
      <c r="V692" t="s" s="0">
        <v>15231</v>
      </c>
      <c r="W692" t="s" s="0">
        <v>910</v>
      </c>
      <c r="X692" t="s" s="0">
        <v>81</v>
      </c>
      <c r="Y692" t="s" s="0">
        <v>81</v>
      </c>
      <c r="Z692" t="s" s="0">
        <v>90</v>
      </c>
      <c r="AA692" t="s" s="0">
        <v>91</v>
      </c>
      <c r="AB692" t="s" s="0">
        <v>81</v>
      </c>
      <c r="AC692" t="s" s="0">
        <v>81</v>
      </c>
      <c r="AD692" t="s" s="0">
        <v>81</v>
      </c>
      <c r="AE692" t="s" s="0">
        <v>81</v>
      </c>
      <c r="AF692" t="s" s="0">
        <v>81</v>
      </c>
      <c r="AG692" t="s" s="0">
        <v>15232</v>
      </c>
      <c r="AH692" t="s" s="0">
        <v>81</v>
      </c>
      <c r="AI692" t="s" s="0">
        <v>15233</v>
      </c>
      <c r="AJ692" t="s" s="0">
        <v>81</v>
      </c>
      <c r="AK692" t="s" s="0">
        <v>81</v>
      </c>
      <c r="AL692" t="s" s="0">
        <v>890</v>
      </c>
      <c r="AM692" t="s" s="0">
        <v>133</v>
      </c>
      <c r="AN692" t="s" s="0">
        <v>234</v>
      </c>
      <c r="AO692" t="s" s="0">
        <v>77</v>
      </c>
      <c r="AP692" t="s" s="0">
        <v>156</v>
      </c>
      <c r="AQ692" t="s" s="0">
        <v>915</v>
      </c>
      <c r="AR692" t="s" s="0">
        <v>916</v>
      </c>
      <c r="AS692" t="s" s="0">
        <v>917</v>
      </c>
      <c r="AT692" t="s" s="0">
        <v>918</v>
      </c>
      <c r="AU692" t="s" s="0">
        <v>81</v>
      </c>
      <c r="AV692" t="s" s="0">
        <v>81</v>
      </c>
      <c r="AW692" t="s" s="0">
        <v>919</v>
      </c>
      <c r="AX692" t="s" s="0">
        <v>920</v>
      </c>
      <c r="AY692" t="s" s="0">
        <v>15234</v>
      </c>
      <c r="AZ692" t="s" s="0">
        <v>290</v>
      </c>
      <c r="BA692" t="s" s="0">
        <v>291</v>
      </c>
      <c r="BB692" t="s" s="0">
        <v>97</v>
      </c>
      <c r="BC692" t="s" s="0">
        <v>81</v>
      </c>
      <c r="BD692" t="s" s="0">
        <v>81</v>
      </c>
      <c r="BE692" t="s" s="0">
        <v>81</v>
      </c>
      <c r="BF692" t="s" s="0">
        <v>81</v>
      </c>
      <c r="BG692" t="s" s="0">
        <v>81</v>
      </c>
      <c r="BH692" t="s" s="0">
        <v>81</v>
      </c>
      <c r="BI692" t="s" s="0">
        <v>15235</v>
      </c>
      <c r="BJ692" t="s" s="0">
        <v>15236</v>
      </c>
      <c r="BK692" t="s" s="1374">
        <f>HYPERLINK("http://dx.doi.org/10.1038/s41598-025-85857-8","http://dx.doi.org/10.1038/s41598-025-85857-8")</f>
        <v>15237</v>
      </c>
      <c r="BL692" t="s" s="0">
        <v>81</v>
      </c>
      <c r="BM692" t="s" s="0">
        <v>81</v>
      </c>
      <c r="BN692" t="s" s="0">
        <v>134</v>
      </c>
      <c r="BO692" t="s" s="0">
        <v>926</v>
      </c>
      <c r="BP692" t="s" s="0">
        <v>927</v>
      </c>
      <c r="BQ692" t="s" s="0">
        <v>15238</v>
      </c>
      <c r="BR692" t="s" s="0">
        <v>15239</v>
      </c>
      <c r="BS692" t="s" s="0">
        <v>15240</v>
      </c>
      <c r="BT692" t="s" s="1375">
        <f>HYPERLINK("https://www.webofscience.com/wos/woscc/full-record/WOS:001396240600019","View Record in Web of Science")</f>
        <v>114</v>
      </c>
      <c r="BU692" t="s" s="0">
        <v>301</v>
      </c>
      <c r="BV692" t="s" s="0">
        <v>81</v>
      </c>
      <c r="BW692" t="s" s="0">
        <v>81</v>
      </c>
      <c r="BX692" t="s" s="0">
        <v>116</v>
      </c>
    </row>
    <row r="693">
      <c r="A693" t="s" s="0">
        <v>77</v>
      </c>
      <c r="B693" t="s" s="0">
        <v>77</v>
      </c>
      <c r="C693" t="s" s="0">
        <v>77</v>
      </c>
      <c r="D693" t="s" s="0">
        <v>77</v>
      </c>
      <c r="E693" t="s" s="0">
        <v>15241</v>
      </c>
      <c r="F693" t="s" s="0">
        <v>15242</v>
      </c>
      <c r="G693" t="s" s="0">
        <v>15243</v>
      </c>
      <c r="H693" t="s" s="0">
        <v>81</v>
      </c>
      <c r="I693" t="s" s="0">
        <v>82</v>
      </c>
      <c r="J693" t="s" s="0">
        <v>15244</v>
      </c>
      <c r="K693" t="s" s="0">
        <v>15245</v>
      </c>
      <c r="L693" t="s" s="0">
        <v>15246</v>
      </c>
      <c r="M693" t="s" s="0">
        <v>15247</v>
      </c>
      <c r="N693" t="s" s="0">
        <v>15248</v>
      </c>
      <c r="O693" t="s" s="0">
        <v>15249</v>
      </c>
      <c r="P693" t="s" s="0">
        <v>15250</v>
      </c>
      <c r="Q693" t="s" s="0">
        <v>87</v>
      </c>
      <c r="R693" t="s" s="0">
        <v>81</v>
      </c>
      <c r="S693" t="s" s="0">
        <v>81</v>
      </c>
      <c r="T693" t="s" s="0">
        <v>81</v>
      </c>
      <c r="U693" t="s" s="0">
        <v>81</v>
      </c>
      <c r="V693" t="s" s="0">
        <v>15251</v>
      </c>
      <c r="W693" t="s" s="0">
        <v>1313</v>
      </c>
      <c r="X693" t="s" s="0">
        <v>81</v>
      </c>
      <c r="Y693" t="s" s="0">
        <v>81</v>
      </c>
      <c r="Z693" t="s" s="0">
        <v>90</v>
      </c>
      <c r="AA693" t="s" s="0">
        <v>91</v>
      </c>
      <c r="AB693" t="s" s="0">
        <v>81</v>
      </c>
      <c r="AC693" t="s" s="0">
        <v>81</v>
      </c>
      <c r="AD693" t="s" s="0">
        <v>81</v>
      </c>
      <c r="AE693" t="s" s="0">
        <v>81</v>
      </c>
      <c r="AF693" t="s" s="0">
        <v>81</v>
      </c>
      <c r="AG693" t="s" s="0">
        <v>81</v>
      </c>
      <c r="AH693" t="s" s="0">
        <v>15252</v>
      </c>
      <c r="AI693" t="s" s="0">
        <v>15253</v>
      </c>
      <c r="AJ693" t="s" s="0">
        <v>15254</v>
      </c>
      <c r="AK693" t="s" s="0">
        <v>81</v>
      </c>
      <c r="AL693" t="s" s="0">
        <v>3786</v>
      </c>
      <c r="AM693" t="s" s="0">
        <v>77</v>
      </c>
      <c r="AN693" t="s" s="0">
        <v>156</v>
      </c>
      <c r="AO693" t="s" s="0">
        <v>234</v>
      </c>
      <c r="AP693" t="s" s="0">
        <v>234</v>
      </c>
      <c r="AQ693" t="s" s="0">
        <v>1317</v>
      </c>
      <c r="AR693" t="s" s="0">
        <v>1318</v>
      </c>
      <c r="AS693" t="s" s="0">
        <v>1319</v>
      </c>
      <c r="AT693" t="s" s="0">
        <v>81</v>
      </c>
      <c r="AU693" t="s" s="0">
        <v>1320</v>
      </c>
      <c r="AV693" t="s" s="0">
        <v>81</v>
      </c>
      <c r="AW693" t="s" s="0">
        <v>1313</v>
      </c>
      <c r="AX693" t="s" s="0">
        <v>1321</v>
      </c>
      <c r="AY693" t="s" s="0">
        <v>8664</v>
      </c>
      <c r="AZ693" t="s" s="0">
        <v>103</v>
      </c>
      <c r="BA693" t="s" s="0">
        <v>874</v>
      </c>
      <c r="BB693" t="s" s="0">
        <v>156</v>
      </c>
      <c r="BC693" t="s" s="0">
        <v>81</v>
      </c>
      <c r="BD693" t="s" s="0">
        <v>81</v>
      </c>
      <c r="BE693" t="s" s="0">
        <v>81</v>
      </c>
      <c r="BF693" t="s" s="0">
        <v>81</v>
      </c>
      <c r="BG693" t="s" s="0">
        <v>81</v>
      </c>
      <c r="BH693" t="s" s="0">
        <v>81</v>
      </c>
      <c r="BI693" t="s" s="0">
        <v>15255</v>
      </c>
      <c r="BJ693" t="s" s="0">
        <v>15256</v>
      </c>
      <c r="BK693" t="s" s="1376">
        <f>HYPERLINK("http://dx.doi.org/10.1371/journal.pone.0342062","http://dx.doi.org/10.1371/journal.pone.0342062")</f>
        <v>15257</v>
      </c>
      <c r="BL693" t="s" s="0">
        <v>81</v>
      </c>
      <c r="BM693" t="s" s="0">
        <v>81</v>
      </c>
      <c r="BN693" t="s" s="0">
        <v>344</v>
      </c>
      <c r="BO693" t="s" s="0">
        <v>926</v>
      </c>
      <c r="BP693" t="s" s="0">
        <v>927</v>
      </c>
      <c r="BQ693" t="s" s="0">
        <v>15258</v>
      </c>
      <c r="BR693" t="s" s="0">
        <v>15259</v>
      </c>
      <c r="BS693" t="s" s="0">
        <v>15260</v>
      </c>
      <c r="BT693" t="s" s="1377">
        <f>HYPERLINK("https://www.webofscience.com/wos/woscc/full-record/WOS:001697514400001","View Record in Web of Science")</f>
        <v>114</v>
      </c>
      <c r="BU693" t="s" s="0">
        <v>301</v>
      </c>
      <c r="BV693" t="s" s="0">
        <v>81</v>
      </c>
      <c r="BW693" t="s" s="0">
        <v>81</v>
      </c>
      <c r="BX693" t="s" s="0">
        <v>116</v>
      </c>
    </row>
    <row r="694">
      <c r="A694" t="s" s="0">
        <v>156</v>
      </c>
      <c r="B694" t="s" s="0">
        <v>77</v>
      </c>
      <c r="C694" t="s" s="0">
        <v>133</v>
      </c>
      <c r="D694" t="s" s="0">
        <v>77</v>
      </c>
      <c r="E694" t="s" s="0">
        <v>15261</v>
      </c>
      <c r="F694" t="s" s="0">
        <v>15262</v>
      </c>
      <c r="G694" t="s" s="0">
        <v>15263</v>
      </c>
      <c r="H694" t="s" s="0">
        <v>81</v>
      </c>
      <c r="I694" t="s" s="0">
        <v>82</v>
      </c>
      <c r="J694" t="s" s="0">
        <v>15264</v>
      </c>
      <c r="K694" t="s" s="0">
        <v>15265</v>
      </c>
      <c r="L694" t="s" s="0">
        <v>81</v>
      </c>
      <c r="M694" t="s" s="0">
        <v>81</v>
      </c>
      <c r="N694" t="s" s="0">
        <v>81</v>
      </c>
      <c r="O694" t="s" s="0">
        <v>15266</v>
      </c>
      <c r="P694" t="s" s="0">
        <v>15267</v>
      </c>
      <c r="Q694" t="s" s="0">
        <v>87</v>
      </c>
      <c r="R694" t="s" s="0">
        <v>81</v>
      </c>
      <c r="S694" t="s" s="0">
        <v>81</v>
      </c>
      <c r="T694" t="s" s="0">
        <v>81</v>
      </c>
      <c r="U694" t="s" s="0">
        <v>81</v>
      </c>
      <c r="V694" t="s" s="0">
        <v>15268</v>
      </c>
      <c r="W694" t="s" s="0">
        <v>128</v>
      </c>
      <c r="X694" t="s" s="0">
        <v>81</v>
      </c>
      <c r="Y694" t="s" s="0">
        <v>81</v>
      </c>
      <c r="Z694" t="s" s="0">
        <v>90</v>
      </c>
      <c r="AA694" t="s" s="0">
        <v>91</v>
      </c>
      <c r="AB694" t="s" s="0">
        <v>81</v>
      </c>
      <c r="AC694" t="s" s="0">
        <v>81</v>
      </c>
      <c r="AD694" t="s" s="0">
        <v>81</v>
      </c>
      <c r="AE694" t="s" s="0">
        <v>81</v>
      </c>
      <c r="AF694" t="s" s="0">
        <v>81</v>
      </c>
      <c r="AG694" t="s" s="0">
        <v>15269</v>
      </c>
      <c r="AH694" t="s" s="0">
        <v>81</v>
      </c>
      <c r="AI694" t="s" s="0">
        <v>15270</v>
      </c>
      <c r="AJ694" t="s" s="0">
        <v>15271</v>
      </c>
      <c r="AK694" t="s" s="0">
        <v>81</v>
      </c>
      <c r="AL694" t="s" s="0">
        <v>1837</v>
      </c>
      <c r="AM694" t="s" s="0">
        <v>508</v>
      </c>
      <c r="AN694" t="s" s="0">
        <v>2447</v>
      </c>
      <c r="AO694" t="s" s="0">
        <v>175</v>
      </c>
      <c r="AP694" t="s" s="0">
        <v>173</v>
      </c>
      <c r="AQ694" t="s" s="0">
        <v>136</v>
      </c>
      <c r="AR694" t="s" s="0">
        <v>137</v>
      </c>
      <c r="AS694" t="s" s="0">
        <v>138</v>
      </c>
      <c r="AT694" t="s" s="0">
        <v>139</v>
      </c>
      <c r="AU694" t="s" s="0">
        <v>140</v>
      </c>
      <c r="AV694" t="s" s="0">
        <v>81</v>
      </c>
      <c r="AW694" t="s" s="0">
        <v>141</v>
      </c>
      <c r="AX694" t="s" s="0">
        <v>142</v>
      </c>
      <c r="AY694" t="s" s="0">
        <v>1025</v>
      </c>
      <c r="AZ694" t="s" s="0">
        <v>290</v>
      </c>
      <c r="BA694" t="s" s="0">
        <v>7799</v>
      </c>
      <c r="BB694" t="s" s="0">
        <v>81</v>
      </c>
      <c r="BC694" t="s" s="0">
        <v>81</v>
      </c>
      <c r="BD694" t="s" s="0">
        <v>81</v>
      </c>
      <c r="BE694" t="s" s="0">
        <v>81</v>
      </c>
      <c r="BF694" t="s" s="0">
        <v>81</v>
      </c>
      <c r="BG694" t="s" s="0">
        <v>81</v>
      </c>
      <c r="BH694" t="s" s="0">
        <v>81</v>
      </c>
      <c r="BI694" t="s" s="0">
        <v>15272</v>
      </c>
      <c r="BJ694" t="s" s="0">
        <v>15273</v>
      </c>
      <c r="BK694" t="s" s="1378">
        <f>HYPERLINK("http://dx.doi.org/10.1016/j.inffus.2024.102719","http://dx.doi.org/10.1016/j.inffus.2024.102719")</f>
        <v>15274</v>
      </c>
      <c r="BL694" t="s" s="0">
        <v>81</v>
      </c>
      <c r="BM694" t="s" s="0">
        <v>1816</v>
      </c>
      <c r="BN694" t="s" s="0">
        <v>485</v>
      </c>
      <c r="BO694" t="s" s="0">
        <v>151</v>
      </c>
      <c r="BP694" t="s" s="0">
        <v>152</v>
      </c>
      <c r="BQ694" t="s" s="0">
        <v>15275</v>
      </c>
      <c r="BR694" t="s" s="0">
        <v>81</v>
      </c>
      <c r="BS694" t="s" s="0">
        <v>15276</v>
      </c>
      <c r="BT694" t="s" s="1379">
        <f>HYPERLINK("https://www.webofscience.com/wos/woscc/full-record/WOS:001343468500001","View Record in Web of Science")</f>
        <v>114</v>
      </c>
      <c r="BU694" t="s" s="0">
        <v>2112</v>
      </c>
      <c r="BV694" t="s" s="0">
        <v>81</v>
      </c>
      <c r="BW694" t="s" s="0">
        <v>81</v>
      </c>
      <c r="BX694" t="s" s="0">
        <v>116</v>
      </c>
    </row>
    <row r="695">
      <c r="A695" t="s" s="0">
        <v>77</v>
      </c>
      <c r="B695" t="s" s="0">
        <v>77</v>
      </c>
      <c r="C695" t="s" s="0">
        <v>77</v>
      </c>
      <c r="D695" t="s" s="0">
        <v>77</v>
      </c>
      <c r="E695" t="s" s="0">
        <v>15277</v>
      </c>
      <c r="F695" t="s" s="0">
        <v>15278</v>
      </c>
      <c r="G695" t="s" s="0">
        <v>15279</v>
      </c>
      <c r="H695" t="s" s="0">
        <v>81</v>
      </c>
      <c r="I695" t="s" s="0">
        <v>82</v>
      </c>
      <c r="J695" t="s" s="0">
        <v>15280</v>
      </c>
      <c r="K695" t="s" s="0">
        <v>15281</v>
      </c>
      <c r="L695" t="s" s="0">
        <v>81</v>
      </c>
      <c r="M695" t="s" s="0">
        <v>81</v>
      </c>
      <c r="N695" t="s" s="0">
        <v>81</v>
      </c>
      <c r="O695" t="s" s="0">
        <v>15282</v>
      </c>
      <c r="P695" t="s" s="0">
        <v>15283</v>
      </c>
      <c r="Q695" t="s" s="0">
        <v>87</v>
      </c>
      <c r="R695" t="s" s="0">
        <v>81</v>
      </c>
      <c r="S695" t="s" s="0">
        <v>81</v>
      </c>
      <c r="T695" t="s" s="0">
        <v>81</v>
      </c>
      <c r="U695" t="s" s="0">
        <v>81</v>
      </c>
      <c r="V695" t="s" s="0">
        <v>15284</v>
      </c>
      <c r="W695" t="s" s="0">
        <v>4424</v>
      </c>
      <c r="X695" t="s" s="0">
        <v>81</v>
      </c>
      <c r="Y695" t="s" s="0">
        <v>81</v>
      </c>
      <c r="Z695" t="s" s="0">
        <v>90</v>
      </c>
      <c r="AA695" t="s" s="0">
        <v>91</v>
      </c>
      <c r="AB695" t="s" s="0">
        <v>81</v>
      </c>
      <c r="AC695" t="s" s="0">
        <v>81</v>
      </c>
      <c r="AD695" t="s" s="0">
        <v>81</v>
      </c>
      <c r="AE695" t="s" s="0">
        <v>81</v>
      </c>
      <c r="AF695" t="s" s="0">
        <v>81</v>
      </c>
      <c r="AG695" t="s" s="0">
        <v>81</v>
      </c>
      <c r="AH695" t="s" s="0">
        <v>15285</v>
      </c>
      <c r="AI695" t="s" s="0">
        <v>81</v>
      </c>
      <c r="AJ695" t="s" s="0">
        <v>81</v>
      </c>
      <c r="AK695" t="s" s="0">
        <v>81</v>
      </c>
      <c r="AL695" t="s" s="0">
        <v>890</v>
      </c>
      <c r="AM695" t="s" s="0">
        <v>97</v>
      </c>
      <c r="AN695" t="s" s="0">
        <v>97</v>
      </c>
      <c r="AO695" t="s" s="0">
        <v>77</v>
      </c>
      <c r="AP695" t="s" s="0">
        <v>77</v>
      </c>
      <c r="AQ695" t="s" s="0">
        <v>915</v>
      </c>
      <c r="AR695" t="s" s="0">
        <v>916</v>
      </c>
      <c r="AS695" t="s" s="0">
        <v>917</v>
      </c>
      <c r="AT695" t="s" s="0">
        <v>4426</v>
      </c>
      <c r="AU695" t="s" s="0">
        <v>81</v>
      </c>
      <c r="AV695" t="s" s="0">
        <v>81</v>
      </c>
      <c r="AW695" t="s" s="0">
        <v>4427</v>
      </c>
      <c r="AX695" t="s" s="0">
        <v>4428</v>
      </c>
      <c r="AY695" t="s" s="0">
        <v>6657</v>
      </c>
      <c r="AZ695" t="s" s="0">
        <v>103</v>
      </c>
      <c r="BA695" t="s" s="0">
        <v>261</v>
      </c>
      <c r="BB695" t="s" s="0">
        <v>97</v>
      </c>
      <c r="BC695" t="s" s="0">
        <v>81</v>
      </c>
      <c r="BD695" t="s" s="0">
        <v>81</v>
      </c>
      <c r="BE695" t="s" s="0">
        <v>81</v>
      </c>
      <c r="BF695" t="s" s="0">
        <v>81</v>
      </c>
      <c r="BG695" t="s" s="0">
        <v>81</v>
      </c>
      <c r="BH695" t="s" s="0">
        <v>81</v>
      </c>
      <c r="BI695" t="s" s="0">
        <v>7552</v>
      </c>
      <c r="BJ695" t="s" s="0">
        <v>15286</v>
      </c>
      <c r="BK695" t="s" s="1380">
        <f>HYPERLINK("http://dx.doi.org/10.1038/s41746-026-02377-z","http://dx.doi.org/10.1038/s41746-026-02377-z")</f>
        <v>15287</v>
      </c>
      <c r="BL695" t="s" s="0">
        <v>81</v>
      </c>
      <c r="BM695" t="s" s="0">
        <v>143</v>
      </c>
      <c r="BN695" t="s" s="0">
        <v>191</v>
      </c>
      <c r="BO695" t="s" s="0">
        <v>792</v>
      </c>
      <c r="BP695" t="s" s="0">
        <v>792</v>
      </c>
      <c r="BQ695" t="s" s="0">
        <v>15288</v>
      </c>
      <c r="BR695" t="s" s="0">
        <v>15289</v>
      </c>
      <c r="BS695" t="s" s="0">
        <v>15290</v>
      </c>
      <c r="BT695" t="s" s="1381">
        <f>HYPERLINK("https://www.webofscience.com/wos/woscc/full-record/WOS:001736896800003","View Record in Web of Science")</f>
        <v>114</v>
      </c>
      <c r="BU695" t="s" s="0">
        <v>301</v>
      </c>
      <c r="BV695" t="s" s="0">
        <v>81</v>
      </c>
      <c r="BW695" t="s" s="0">
        <v>81</v>
      </c>
      <c r="BX695" t="s" s="0">
        <v>116</v>
      </c>
    </row>
    <row r="696">
      <c r="A696" t="s" s="0">
        <v>77</v>
      </c>
      <c r="B696" t="s" s="0">
        <v>77</v>
      </c>
      <c r="C696" t="s" s="0">
        <v>77</v>
      </c>
      <c r="D696" t="s" s="0">
        <v>77</v>
      </c>
      <c r="E696" t="s" s="0">
        <v>15291</v>
      </c>
      <c r="F696" t="s" s="0">
        <v>15292</v>
      </c>
      <c r="G696" t="s" s="0">
        <v>15293</v>
      </c>
      <c r="H696" t="s" s="0">
        <v>81</v>
      </c>
      <c r="I696" t="s" s="0">
        <v>82</v>
      </c>
      <c r="J696" t="s" s="0">
        <v>15294</v>
      </c>
      <c r="K696" t="s" s="0">
        <v>15295</v>
      </c>
      <c r="L696" t="s" s="0">
        <v>15296</v>
      </c>
      <c r="M696" t="s" s="0">
        <v>15296</v>
      </c>
      <c r="N696" t="s" s="0">
        <v>335</v>
      </c>
      <c r="O696" t="s" s="0">
        <v>15297</v>
      </c>
      <c r="P696" t="s" s="0">
        <v>15298</v>
      </c>
      <c r="Q696" t="s" s="0">
        <v>87</v>
      </c>
      <c r="R696" t="s" s="0">
        <v>81</v>
      </c>
      <c r="S696" t="s" s="0">
        <v>81</v>
      </c>
      <c r="T696" t="s" s="0">
        <v>81</v>
      </c>
      <c r="U696" t="s" s="0">
        <v>81</v>
      </c>
      <c r="V696" t="s" s="0">
        <v>15299</v>
      </c>
      <c r="W696" t="s" s="0">
        <v>89</v>
      </c>
      <c r="X696" t="s" s="0">
        <v>81</v>
      </c>
      <c r="Y696" t="s" s="0">
        <v>81</v>
      </c>
      <c r="Z696" t="s" s="0">
        <v>90</v>
      </c>
      <c r="AA696" t="s" s="0">
        <v>91</v>
      </c>
      <c r="AB696" t="s" s="0">
        <v>81</v>
      </c>
      <c r="AC696" t="s" s="0">
        <v>81</v>
      </c>
      <c r="AD696" t="s" s="0">
        <v>81</v>
      </c>
      <c r="AE696" t="s" s="0">
        <v>81</v>
      </c>
      <c r="AF696" t="s" s="0">
        <v>81</v>
      </c>
      <c r="AG696" t="s" s="0">
        <v>15300</v>
      </c>
      <c r="AH696" t="s" s="0">
        <v>81</v>
      </c>
      <c r="AI696" t="s" s="0">
        <v>81</v>
      </c>
      <c r="AJ696" t="s" s="0">
        <v>15301</v>
      </c>
      <c r="AK696" t="s" s="0">
        <v>81</v>
      </c>
      <c r="AL696" t="s" s="0">
        <v>11524</v>
      </c>
      <c r="AM696" t="s" s="0">
        <v>156</v>
      </c>
      <c r="AN696" t="s" s="0">
        <v>156</v>
      </c>
      <c r="AO696" t="s" s="0">
        <v>97</v>
      </c>
      <c r="AP696" t="s" s="0">
        <v>175</v>
      </c>
      <c r="AQ696" t="s" s="0">
        <v>98</v>
      </c>
      <c r="AR696" t="s" s="0">
        <v>99</v>
      </c>
      <c r="AS696" t="s" s="0">
        <v>100</v>
      </c>
      <c r="AT696" t="s" s="0">
        <v>101</v>
      </c>
      <c r="AU696" t="s" s="0">
        <v>81</v>
      </c>
      <c r="AV696" t="s" s="0">
        <v>81</v>
      </c>
      <c r="AW696" t="s" s="0">
        <v>89</v>
      </c>
      <c r="AX696" t="s" s="0">
        <v>102</v>
      </c>
      <c r="AY696" t="s" s="0">
        <v>185</v>
      </c>
      <c r="AZ696" t="s" s="0">
        <v>185</v>
      </c>
      <c r="BA696" t="s" s="0">
        <v>134</v>
      </c>
      <c r="BB696" t="s" s="0">
        <v>81</v>
      </c>
      <c r="BC696" t="s" s="0">
        <v>81</v>
      </c>
      <c r="BD696" t="s" s="0">
        <v>81</v>
      </c>
      <c r="BE696" t="s" s="0">
        <v>81</v>
      </c>
      <c r="BF696" t="s" s="0">
        <v>81</v>
      </c>
      <c r="BG696" t="s" s="0">
        <v>15302</v>
      </c>
      <c r="BH696" t="s" s="0">
        <v>15303</v>
      </c>
      <c r="BI696" t="s" s="0">
        <v>81</v>
      </c>
      <c r="BJ696" t="s" s="0">
        <v>15304</v>
      </c>
      <c r="BK696" t="s" s="1382">
        <f>HYPERLINK("http://dx.doi.org/10.1109/ACCESS.2024.3383841","http://dx.doi.org/10.1109/ACCESS.2024.3383841")</f>
        <v>15305</v>
      </c>
      <c r="BL696" t="s" s="0">
        <v>81</v>
      </c>
      <c r="BM696" t="s" s="0">
        <v>81</v>
      </c>
      <c r="BN696" t="s" s="0">
        <v>104</v>
      </c>
      <c r="BO696" t="s" s="0">
        <v>110</v>
      </c>
      <c r="BP696" t="s" s="0">
        <v>111</v>
      </c>
      <c r="BQ696" t="s" s="0">
        <v>15306</v>
      </c>
      <c r="BR696" t="s" s="0">
        <v>81</v>
      </c>
      <c r="BS696" t="s" s="0">
        <v>15307</v>
      </c>
      <c r="BT696" t="s" s="1383">
        <f>HYPERLINK("https://www.webofscience.com/wos/woscc/full-record/WOS:001197751400001","View Record in Web of Science")</f>
        <v>114</v>
      </c>
      <c r="BU696" t="s" s="0">
        <v>270</v>
      </c>
      <c r="BV696" t="s" s="0">
        <v>81</v>
      </c>
      <c r="BW696" t="s" s="0">
        <v>81</v>
      </c>
      <c r="BX696" t="s" s="0">
        <v>116</v>
      </c>
    </row>
    <row r="697">
      <c r="A697" t="s" s="0">
        <v>77</v>
      </c>
      <c r="B697" t="s" s="0">
        <v>77</v>
      </c>
      <c r="C697" t="s" s="0">
        <v>175</v>
      </c>
      <c r="D697" t="s" s="0">
        <v>77</v>
      </c>
      <c r="E697" t="s" s="0">
        <v>15308</v>
      </c>
      <c r="F697" t="s" s="0">
        <v>15309</v>
      </c>
      <c r="G697" t="s" s="0">
        <v>15310</v>
      </c>
      <c r="H697" t="s" s="0">
        <v>81</v>
      </c>
      <c r="I697" t="s" s="0">
        <v>82</v>
      </c>
      <c r="J697" t="s" s="0">
        <v>15311</v>
      </c>
      <c r="K697" t="s" s="0">
        <v>15312</v>
      </c>
      <c r="L697" t="s" s="0">
        <v>15313</v>
      </c>
      <c r="M697" t="s" s="0">
        <v>15314</v>
      </c>
      <c r="N697" t="s" s="0">
        <v>15315</v>
      </c>
      <c r="O697" t="s" s="0">
        <v>15316</v>
      </c>
      <c r="P697" t="s" s="0">
        <v>15317</v>
      </c>
      <c r="Q697" t="s" s="0">
        <v>87</v>
      </c>
      <c r="R697" t="s" s="0">
        <v>81</v>
      </c>
      <c r="S697" t="s" s="0">
        <v>81</v>
      </c>
      <c r="T697" t="s" s="0">
        <v>81</v>
      </c>
      <c r="U697" t="s" s="0">
        <v>81</v>
      </c>
      <c r="V697" t="s" s="0">
        <v>15318</v>
      </c>
      <c r="W697" t="s" s="0">
        <v>15319</v>
      </c>
      <c r="X697" t="s" s="0">
        <v>81</v>
      </c>
      <c r="Y697" t="s" s="0">
        <v>81</v>
      </c>
      <c r="Z697" t="s" s="0">
        <v>90</v>
      </c>
      <c r="AA697" t="s" s="0">
        <v>91</v>
      </c>
      <c r="AB697" t="s" s="0">
        <v>81</v>
      </c>
      <c r="AC697" t="s" s="0">
        <v>81</v>
      </c>
      <c r="AD697" t="s" s="0">
        <v>81</v>
      </c>
      <c r="AE697" t="s" s="0">
        <v>81</v>
      </c>
      <c r="AF697" t="s" s="0">
        <v>81</v>
      </c>
      <c r="AG697" t="s" s="0">
        <v>81</v>
      </c>
      <c r="AH697" t="s" s="0">
        <v>15320</v>
      </c>
      <c r="AI697" t="s" s="0">
        <v>15321</v>
      </c>
      <c r="AJ697" t="s" s="0">
        <v>15322</v>
      </c>
      <c r="AK697" t="s" s="0">
        <v>81</v>
      </c>
      <c r="AL697" t="s" s="0">
        <v>15323</v>
      </c>
      <c r="AM697" t="s" s="0">
        <v>228</v>
      </c>
      <c r="AN697" t="s" s="0">
        <v>671</v>
      </c>
      <c r="AO697" t="s" s="0">
        <v>97</v>
      </c>
      <c r="AP697" t="s" s="0">
        <v>261</v>
      </c>
      <c r="AQ697" t="s" s="0">
        <v>428</v>
      </c>
      <c r="AR697" t="s" s="0">
        <v>429</v>
      </c>
      <c r="AS697" t="s" s="0">
        <v>430</v>
      </c>
      <c r="AT697" t="s" s="0">
        <v>15324</v>
      </c>
      <c r="AU697" t="s" s="0">
        <v>15325</v>
      </c>
      <c r="AV697" t="s" s="0">
        <v>81</v>
      </c>
      <c r="AW697" t="s" s="0">
        <v>15326</v>
      </c>
      <c r="AX697" t="s" s="0">
        <v>15327</v>
      </c>
      <c r="AY697" t="s" s="0">
        <v>2427</v>
      </c>
      <c r="AZ697" t="s" s="0">
        <v>185</v>
      </c>
      <c r="BA697" t="s" s="0">
        <v>109</v>
      </c>
      <c r="BB697" t="s" s="0">
        <v>191</v>
      </c>
      <c r="BC697" t="s" s="0">
        <v>81</v>
      </c>
      <c r="BD697" t="s" s="0">
        <v>81</v>
      </c>
      <c r="BE697" t="s" s="0">
        <v>81</v>
      </c>
      <c r="BF697" t="s" s="0">
        <v>81</v>
      </c>
      <c r="BG697" t="s" s="0">
        <v>15328</v>
      </c>
      <c r="BH697" t="s" s="0">
        <v>15329</v>
      </c>
      <c r="BI697" t="s" s="0">
        <v>81</v>
      </c>
      <c r="BJ697" t="s" s="0">
        <v>15330</v>
      </c>
      <c r="BK697" t="s" s="1384">
        <f>HYPERLINK("http://dx.doi.org/10.1016/S1470-2045(24)00315-2","http://dx.doi.org/10.1016/S1470-2045(24)00315-2")</f>
        <v>15331</v>
      </c>
      <c r="BL697" t="s" s="0">
        <v>81</v>
      </c>
      <c r="BM697" t="s" s="0">
        <v>1816</v>
      </c>
      <c r="BN697" t="s" s="0">
        <v>486</v>
      </c>
      <c r="BO697" t="s" s="0">
        <v>1380</v>
      </c>
      <c r="BP697" t="s" s="0">
        <v>1380</v>
      </c>
      <c r="BQ697" t="s" s="0">
        <v>15332</v>
      </c>
      <c r="BR697" t="s" s="0">
        <v>15333</v>
      </c>
      <c r="BS697" t="s" s="0">
        <v>15334</v>
      </c>
      <c r="BT697" t="s" s="1385">
        <f>HYPERLINK("https://www.webofscience.com/wos/woscc/full-record/WOS:001348280600001","View Record in Web of Science")</f>
        <v>114</v>
      </c>
      <c r="BU697" t="s" s="0">
        <v>233</v>
      </c>
      <c r="BV697" t="s" s="0">
        <v>81</v>
      </c>
      <c r="BW697" t="s" s="0">
        <v>81</v>
      </c>
      <c r="BX697" t="s" s="0">
        <v>116</v>
      </c>
    </row>
    <row r="698">
      <c r="A698" t="s" s="0">
        <v>77</v>
      </c>
      <c r="B698" t="s" s="0">
        <v>77</v>
      </c>
      <c r="C698" t="s" s="0">
        <v>77</v>
      </c>
      <c r="D698" t="s" s="0">
        <v>77</v>
      </c>
      <c r="E698" t="s" s="0">
        <v>15335</v>
      </c>
      <c r="F698" t="s" s="0">
        <v>15336</v>
      </c>
      <c r="G698" t="s" s="0">
        <v>15337</v>
      </c>
      <c r="H698" t="s" s="0">
        <v>81</v>
      </c>
      <c r="I698" t="s" s="0">
        <v>82</v>
      </c>
      <c r="J698" t="s" s="0">
        <v>15338</v>
      </c>
      <c r="K698" t="s" s="0">
        <v>15339</v>
      </c>
      <c r="L698" t="s" s="0">
        <v>15340</v>
      </c>
      <c r="M698" t="s" s="0">
        <v>15341</v>
      </c>
      <c r="N698" t="s" s="0">
        <v>15342</v>
      </c>
      <c r="O698" t="s" s="0">
        <v>15343</v>
      </c>
      <c r="P698" t="s" s="0">
        <v>15344</v>
      </c>
      <c r="Q698" t="s" s="0">
        <v>87</v>
      </c>
      <c r="R698" t="s" s="0">
        <v>81</v>
      </c>
      <c r="S698" t="s" s="0">
        <v>81</v>
      </c>
      <c r="T698" t="s" s="0">
        <v>81</v>
      </c>
      <c r="U698" t="s" s="0">
        <v>81</v>
      </c>
      <c r="V698" t="s" s="0">
        <v>15345</v>
      </c>
      <c r="W698" t="s" s="0">
        <v>15346</v>
      </c>
      <c r="X698" t="s" s="0">
        <v>81</v>
      </c>
      <c r="Y698" t="s" s="0">
        <v>81</v>
      </c>
      <c r="Z698" t="s" s="0">
        <v>90</v>
      </c>
      <c r="AA698" t="s" s="0">
        <v>91</v>
      </c>
      <c r="AB698" t="s" s="0">
        <v>81</v>
      </c>
      <c r="AC698" t="s" s="0">
        <v>81</v>
      </c>
      <c r="AD698" t="s" s="0">
        <v>81</v>
      </c>
      <c r="AE698" t="s" s="0">
        <v>81</v>
      </c>
      <c r="AF698" t="s" s="0">
        <v>81</v>
      </c>
      <c r="AG698" t="s" s="0">
        <v>15347</v>
      </c>
      <c r="AH698" t="s" s="0">
        <v>15348</v>
      </c>
      <c r="AI698" t="s" s="0">
        <v>15349</v>
      </c>
      <c r="AJ698" t="s" s="0">
        <v>81</v>
      </c>
      <c r="AK698" t="s" s="0">
        <v>81</v>
      </c>
      <c r="AL698" t="s" s="0">
        <v>1207</v>
      </c>
      <c r="AM698" t="s" s="0">
        <v>97</v>
      </c>
      <c r="AN698" t="s" s="0">
        <v>97</v>
      </c>
      <c r="AO698" t="s" s="0">
        <v>77</v>
      </c>
      <c r="AP698" t="s" s="0">
        <v>77</v>
      </c>
      <c r="AQ698" t="s" s="0">
        <v>6651</v>
      </c>
      <c r="AR698" t="s" s="0">
        <v>6652</v>
      </c>
      <c r="AS698" t="s" s="0">
        <v>6653</v>
      </c>
      <c r="AT698" t="s" s="0">
        <v>81</v>
      </c>
      <c r="AU698" t="s" s="0">
        <v>15350</v>
      </c>
      <c r="AV698" t="s" s="0">
        <v>81</v>
      </c>
      <c r="AW698" t="s" s="0">
        <v>15351</v>
      </c>
      <c r="AX698" t="s" s="0">
        <v>15352</v>
      </c>
      <c r="AY698" t="s" s="0">
        <v>6101</v>
      </c>
      <c r="AZ698" t="s" s="0">
        <v>103</v>
      </c>
      <c r="BA698" t="s" s="0">
        <v>381</v>
      </c>
      <c r="BB698" t="s" s="0">
        <v>381</v>
      </c>
      <c r="BC698" t="s" s="0">
        <v>81</v>
      </c>
      <c r="BD698" t="s" s="0">
        <v>81</v>
      </c>
      <c r="BE698" t="s" s="0">
        <v>81</v>
      </c>
      <c r="BF698" t="s" s="0">
        <v>81</v>
      </c>
      <c r="BG698" t="s" s="0">
        <v>81</v>
      </c>
      <c r="BH698" t="s" s="0">
        <v>81</v>
      </c>
      <c r="BI698" t="s" s="0">
        <v>81</v>
      </c>
      <c r="BJ698" t="s" s="0">
        <v>15353</v>
      </c>
      <c r="BK698" t="s" s="1386">
        <f>HYPERLINK("http://dx.doi.org/10.1002/aisy.202501360","http://dx.doi.org/10.1002/aisy.202501360")</f>
        <v>15354</v>
      </c>
      <c r="BL698" t="s" s="0">
        <v>81</v>
      </c>
      <c r="BM698" t="s" s="0">
        <v>948</v>
      </c>
      <c r="BN698" t="s" s="0">
        <v>291</v>
      </c>
      <c r="BO698" t="s" s="0">
        <v>15355</v>
      </c>
      <c r="BP698" t="s" s="0">
        <v>15356</v>
      </c>
      <c r="BQ698" t="s" s="0">
        <v>15357</v>
      </c>
      <c r="BR698" t="s" s="0">
        <v>81</v>
      </c>
      <c r="BS698" t="s" s="0">
        <v>15358</v>
      </c>
      <c r="BT698" t="s" s="1387">
        <f>HYPERLINK("https://www.webofscience.com/wos/woscc/full-record/WOS:001743054100001","View Record in Web of Science")</f>
        <v>114</v>
      </c>
      <c r="BU698" t="s" s="0">
        <v>115</v>
      </c>
      <c r="BV698" t="s" s="0">
        <v>81</v>
      </c>
      <c r="BW698" t="s" s="0">
        <v>81</v>
      </c>
      <c r="BX698" t="s" s="0">
        <v>116</v>
      </c>
    </row>
    <row r="699">
      <c r="A699" t="s" s="0">
        <v>77</v>
      </c>
      <c r="B699" t="s" s="0">
        <v>77</v>
      </c>
      <c r="C699" t="s" s="0">
        <v>77</v>
      </c>
      <c r="D699" t="s" s="0">
        <v>77</v>
      </c>
      <c r="E699" t="s" s="0">
        <v>15359</v>
      </c>
      <c r="F699" t="s" s="0">
        <v>15360</v>
      </c>
      <c r="G699" t="s" s="0">
        <v>15361</v>
      </c>
      <c r="H699" t="s" s="0">
        <v>81</v>
      </c>
      <c r="I699" t="s" s="0">
        <v>238</v>
      </c>
      <c r="J699" t="s" s="0">
        <v>15362</v>
      </c>
      <c r="K699" t="s" s="0">
        <v>15363</v>
      </c>
      <c r="L699" t="s" s="0">
        <v>81</v>
      </c>
      <c r="M699" t="s" s="0">
        <v>81</v>
      </c>
      <c r="N699" t="s" s="0">
        <v>81</v>
      </c>
      <c r="O699" t="s" s="0">
        <v>15364</v>
      </c>
      <c r="P699" t="s" s="0">
        <v>15365</v>
      </c>
      <c r="Q699" t="s" s="0">
        <v>87</v>
      </c>
      <c r="R699" t="s" s="0">
        <v>81</v>
      </c>
      <c r="S699" t="s" s="0">
        <v>81</v>
      </c>
      <c r="T699" t="s" s="0">
        <v>81</v>
      </c>
      <c r="U699" t="s" s="0">
        <v>81</v>
      </c>
      <c r="V699" t="s" s="0">
        <v>15366</v>
      </c>
      <c r="W699" t="s" s="0">
        <v>15367</v>
      </c>
      <c r="X699" t="s" s="0">
        <v>81</v>
      </c>
      <c r="Y699" t="s" s="0">
        <v>81</v>
      </c>
      <c r="Z699" t="s" s="0">
        <v>90</v>
      </c>
      <c r="AA699" t="s" s="0">
        <v>91</v>
      </c>
      <c r="AB699" t="s" s="0">
        <v>81</v>
      </c>
      <c r="AC699" t="s" s="0">
        <v>81</v>
      </c>
      <c r="AD699" t="s" s="0">
        <v>81</v>
      </c>
      <c r="AE699" t="s" s="0">
        <v>81</v>
      </c>
      <c r="AF699" t="s" s="0">
        <v>81</v>
      </c>
      <c r="AG699" t="s" s="0">
        <v>15368</v>
      </c>
      <c r="AH699" t="s" s="0">
        <v>15369</v>
      </c>
      <c r="AI699" t="s" s="0">
        <v>15370</v>
      </c>
      <c r="AJ699" t="s" s="0">
        <v>15371</v>
      </c>
      <c r="AK699" t="s" s="0">
        <v>81</v>
      </c>
      <c r="AL699" t="s" s="0">
        <v>1883</v>
      </c>
      <c r="AM699" t="s" s="0">
        <v>156</v>
      </c>
      <c r="AN699" t="s" s="0">
        <v>196</v>
      </c>
      <c r="AO699" t="s" s="0">
        <v>97</v>
      </c>
      <c r="AP699" t="s" s="0">
        <v>261</v>
      </c>
      <c r="AQ699" t="s" s="0">
        <v>15372</v>
      </c>
      <c r="AR699" t="s" s="0">
        <v>15373</v>
      </c>
      <c r="AS699" t="s" s="0">
        <v>15374</v>
      </c>
      <c r="AT699" t="s" s="0">
        <v>15375</v>
      </c>
      <c r="AU699" t="s" s="0">
        <v>15376</v>
      </c>
      <c r="AV699" t="s" s="0">
        <v>81</v>
      </c>
      <c r="AW699" t="s" s="0">
        <v>15377</v>
      </c>
      <c r="AX699" t="s" s="0">
        <v>15378</v>
      </c>
      <c r="AY699" t="s" s="0">
        <v>2081</v>
      </c>
      <c r="AZ699" t="s" s="0">
        <v>260</v>
      </c>
      <c r="BA699" t="s" s="0">
        <v>486</v>
      </c>
      <c r="BB699" t="s" s="0">
        <v>196</v>
      </c>
      <c r="BC699" t="s" s="0">
        <v>81</v>
      </c>
      <c r="BD699" t="s" s="0">
        <v>81</v>
      </c>
      <c r="BE699" t="s" s="0">
        <v>81</v>
      </c>
      <c r="BF699" t="s" s="0">
        <v>81</v>
      </c>
      <c r="BG699" t="s" s="0">
        <v>9127</v>
      </c>
      <c r="BH699" t="s" s="0">
        <v>4174</v>
      </c>
      <c r="BI699" t="s" s="0">
        <v>81</v>
      </c>
      <c r="BJ699" t="s" s="0">
        <v>15379</v>
      </c>
      <c r="BK699" t="s" s="1388">
        <f>HYPERLINK("http://dx.doi.org/10.3166/afmu-2022-0496","http://dx.doi.org/10.3166/afmu-2022-0496")</f>
        <v>15380</v>
      </c>
      <c r="BL699" t="s" s="0">
        <v>81</v>
      </c>
      <c r="BM699" t="s" s="0">
        <v>81</v>
      </c>
      <c r="BN699" t="s" s="0">
        <v>211</v>
      </c>
      <c r="BO699" t="s" s="0">
        <v>3545</v>
      </c>
      <c r="BP699" t="s" s="0">
        <v>3545</v>
      </c>
      <c r="BQ699" t="s" s="0">
        <v>15381</v>
      </c>
      <c r="BR699" t="s" s="0">
        <v>81</v>
      </c>
      <c r="BS699" t="s" s="0">
        <v>15382</v>
      </c>
      <c r="BT699" t="s" s="1389">
        <f>HYPERLINK("https://www.webofscience.com/wos/woscc/full-record/WOS:001158398400003","View Record in Web of Science")</f>
        <v>114</v>
      </c>
      <c r="BU699" t="s" s="0">
        <v>81</v>
      </c>
      <c r="BV699" t="s" s="0">
        <v>81</v>
      </c>
      <c r="BW699" t="s" s="0">
        <v>81</v>
      </c>
      <c r="BX699" t="s" s="0">
        <v>116</v>
      </c>
    </row>
    <row r="700">
      <c r="A700" t="s" s="0">
        <v>77</v>
      </c>
      <c r="B700" t="s" s="0">
        <v>77</v>
      </c>
      <c r="C700" t="s" s="0">
        <v>77</v>
      </c>
      <c r="D700" t="s" s="0">
        <v>77</v>
      </c>
      <c r="E700" t="s" s="0">
        <v>15383</v>
      </c>
      <c r="F700" t="s" s="0">
        <v>15384</v>
      </c>
      <c r="G700" t="s" s="0">
        <v>15385</v>
      </c>
      <c r="H700" t="s" s="0">
        <v>81</v>
      </c>
      <c r="I700" t="s" s="0">
        <v>238</v>
      </c>
      <c r="J700" t="s" s="0">
        <v>15386</v>
      </c>
      <c r="K700" t="s" s="0">
        <v>15387</v>
      </c>
      <c r="L700" t="s" s="0">
        <v>15388</v>
      </c>
      <c r="M700" t="s" s="0">
        <v>15388</v>
      </c>
      <c r="N700" t="s" s="0">
        <v>15389</v>
      </c>
      <c r="O700" t="s" s="0">
        <v>15390</v>
      </c>
      <c r="P700" t="s" s="0">
        <v>15391</v>
      </c>
      <c r="Q700" t="s" s="0">
        <v>87</v>
      </c>
      <c r="R700" t="s" s="0">
        <v>81</v>
      </c>
      <c r="S700" t="s" s="0">
        <v>81</v>
      </c>
      <c r="T700" t="s" s="0">
        <v>81</v>
      </c>
      <c r="U700" t="s" s="0">
        <v>81</v>
      </c>
      <c r="V700" t="s" s="0">
        <v>15392</v>
      </c>
      <c r="W700" t="s" s="0">
        <v>15393</v>
      </c>
      <c r="X700" t="s" s="0">
        <v>81</v>
      </c>
      <c r="Y700" t="s" s="0">
        <v>81</v>
      </c>
      <c r="Z700" t="s" s="0">
        <v>90</v>
      </c>
      <c r="AA700" t="s" s="0">
        <v>91</v>
      </c>
      <c r="AB700" t="s" s="0">
        <v>81</v>
      </c>
      <c r="AC700" t="s" s="0">
        <v>81</v>
      </c>
      <c r="AD700" t="s" s="0">
        <v>81</v>
      </c>
      <c r="AE700" t="s" s="0">
        <v>81</v>
      </c>
      <c r="AF700" t="s" s="0">
        <v>81</v>
      </c>
      <c r="AG700" t="s" s="0">
        <v>15394</v>
      </c>
      <c r="AH700" t="s" s="0">
        <v>662</v>
      </c>
      <c r="AI700" t="s" s="0">
        <v>15395</v>
      </c>
      <c r="AJ700" t="s" s="0">
        <v>81</v>
      </c>
      <c r="AK700" t="s" s="0">
        <v>81</v>
      </c>
      <c r="AL700" t="s" s="0">
        <v>10556</v>
      </c>
      <c r="AM700" t="s" s="0">
        <v>77</v>
      </c>
      <c r="AN700" t="s" s="0">
        <v>77</v>
      </c>
      <c r="AO700" t="s" s="0">
        <v>77</v>
      </c>
      <c r="AP700" t="s" s="0">
        <v>77</v>
      </c>
      <c r="AQ700" t="s" s="0">
        <v>368</v>
      </c>
      <c r="AR700" t="s" s="0">
        <v>369</v>
      </c>
      <c r="AS700" t="s" s="0">
        <v>370</v>
      </c>
      <c r="AT700" t="s" s="0">
        <v>81</v>
      </c>
      <c r="AU700" t="s" s="0">
        <v>15396</v>
      </c>
      <c r="AV700" t="s" s="0">
        <v>81</v>
      </c>
      <c r="AW700" t="s" s="0">
        <v>15397</v>
      </c>
      <c r="AX700" t="s" s="0">
        <v>15398</v>
      </c>
      <c r="AY700" t="s" s="0">
        <v>11824</v>
      </c>
      <c r="AZ700" t="s" s="0">
        <v>103</v>
      </c>
      <c r="BA700" t="s" s="0">
        <v>381</v>
      </c>
      <c r="BB700" t="s" s="0">
        <v>81</v>
      </c>
      <c r="BC700" t="s" s="0">
        <v>81</v>
      </c>
      <c r="BD700" t="s" s="0">
        <v>81</v>
      </c>
      <c r="BE700" t="s" s="0">
        <v>81</v>
      </c>
      <c r="BF700" t="s" s="0">
        <v>81</v>
      </c>
      <c r="BG700" t="s" s="0">
        <v>81</v>
      </c>
      <c r="BH700" t="s" s="0">
        <v>81</v>
      </c>
      <c r="BI700" t="s" s="0">
        <v>15399</v>
      </c>
      <c r="BJ700" t="s" s="0">
        <v>15400</v>
      </c>
      <c r="BK700" t="s" s="1390">
        <f>HYPERLINK("http://dx.doi.org/10.3389/frph.2026.1771550","http://dx.doi.org/10.3389/frph.2026.1771550")</f>
        <v>15401</v>
      </c>
      <c r="BL700" t="s" s="0">
        <v>81</v>
      </c>
      <c r="BM700" t="s" s="0">
        <v>675</v>
      </c>
      <c r="BN700" t="s" s="0">
        <v>261</v>
      </c>
      <c r="BO700" t="s" s="0">
        <v>15402</v>
      </c>
      <c r="BP700" t="s" s="0">
        <v>15402</v>
      </c>
      <c r="BQ700" t="s" s="0">
        <v>15403</v>
      </c>
      <c r="BR700" t="s" s="0">
        <v>15404</v>
      </c>
      <c r="BS700" t="s" s="0">
        <v>15405</v>
      </c>
      <c r="BT700" t="s" s="1391">
        <f>HYPERLINK("https://www.webofscience.com/wos/woscc/full-record/WOS:001771676700001","View Record in Web of Science")</f>
        <v>114</v>
      </c>
      <c r="BU700" t="s" s="0">
        <v>301</v>
      </c>
      <c r="BV700" t="s" s="0">
        <v>81</v>
      </c>
      <c r="BW700" t="s" s="0">
        <v>81</v>
      </c>
      <c r="BX700" t="s" s="0">
        <v>116</v>
      </c>
    </row>
    <row r="701">
      <c r="A701" t="s" s="0">
        <v>77</v>
      </c>
      <c r="B701" t="s" s="0">
        <v>77</v>
      </c>
      <c r="C701" t="s" s="0">
        <v>97</v>
      </c>
      <c r="D701" t="s" s="0">
        <v>77</v>
      </c>
      <c r="E701" t="s" s="0">
        <v>15406</v>
      </c>
      <c r="F701" t="s" s="0">
        <v>15407</v>
      </c>
      <c r="G701" t="s" s="0">
        <v>15408</v>
      </c>
      <c r="H701" t="s" s="0">
        <v>81</v>
      </c>
      <c r="I701" t="s" s="0">
        <v>82</v>
      </c>
      <c r="J701" t="s" s="0">
        <v>15409</v>
      </c>
      <c r="K701" t="s" s="0">
        <v>15410</v>
      </c>
      <c r="L701" t="s" s="0">
        <v>81</v>
      </c>
      <c r="M701" t="s" s="0">
        <v>81</v>
      </c>
      <c r="N701" t="s" s="0">
        <v>81</v>
      </c>
      <c r="O701" t="s" s="0">
        <v>15411</v>
      </c>
      <c r="P701" t="s" s="0">
        <v>15412</v>
      </c>
      <c r="Q701" t="s" s="0">
        <v>87</v>
      </c>
      <c r="R701" t="s" s="0">
        <v>81</v>
      </c>
      <c r="S701" t="s" s="0">
        <v>81</v>
      </c>
      <c r="T701" t="s" s="0">
        <v>81</v>
      </c>
      <c r="U701" t="s" s="0">
        <v>81</v>
      </c>
      <c r="V701" t="s" s="0">
        <v>15413</v>
      </c>
      <c r="W701" t="s" s="0">
        <v>15414</v>
      </c>
      <c r="X701" t="s" s="0">
        <v>81</v>
      </c>
      <c r="Y701" t="s" s="0">
        <v>81</v>
      </c>
      <c r="Z701" t="s" s="0">
        <v>90</v>
      </c>
      <c r="AA701" t="s" s="0">
        <v>91</v>
      </c>
      <c r="AB701" t="s" s="0">
        <v>81</v>
      </c>
      <c r="AC701" t="s" s="0">
        <v>81</v>
      </c>
      <c r="AD701" t="s" s="0">
        <v>81</v>
      </c>
      <c r="AE701" t="s" s="0">
        <v>81</v>
      </c>
      <c r="AF701" t="s" s="0">
        <v>81</v>
      </c>
      <c r="AG701" t="s" s="0">
        <v>15415</v>
      </c>
      <c r="AH701" t="s" s="0">
        <v>81</v>
      </c>
      <c r="AI701" t="s" s="0">
        <v>81</v>
      </c>
      <c r="AJ701" t="s" s="0">
        <v>15416</v>
      </c>
      <c r="AK701" t="s" s="0">
        <v>81</v>
      </c>
      <c r="AL701" t="s" s="0">
        <v>734</v>
      </c>
      <c r="AM701" t="s" s="0">
        <v>1442</v>
      </c>
      <c r="AN701" t="s" s="0">
        <v>315</v>
      </c>
      <c r="AO701" t="s" s="0">
        <v>191</v>
      </c>
      <c r="AP701" t="s" s="0">
        <v>5567</v>
      </c>
      <c r="AQ701" t="s" s="0">
        <v>3061</v>
      </c>
      <c r="AR701" t="s" s="0">
        <v>3062</v>
      </c>
      <c r="AS701" t="s" s="0">
        <v>3063</v>
      </c>
      <c r="AT701" t="s" s="0">
        <v>15417</v>
      </c>
      <c r="AU701" t="s" s="0">
        <v>81</v>
      </c>
      <c r="AV701" t="s" s="0">
        <v>81</v>
      </c>
      <c r="AW701" t="s" s="0">
        <v>15418</v>
      </c>
      <c r="AX701" t="s" s="0">
        <v>15419</v>
      </c>
      <c r="AY701" t="s" s="0">
        <v>185</v>
      </c>
      <c r="AZ701" t="s" s="0">
        <v>185</v>
      </c>
      <c r="BA701" t="s" s="0">
        <v>191</v>
      </c>
      <c r="BB701" t="s" s="0">
        <v>81</v>
      </c>
      <c r="BC701" t="s" s="0">
        <v>81</v>
      </c>
      <c r="BD701" t="s" s="0">
        <v>81</v>
      </c>
      <c r="BE701" t="s" s="0">
        <v>81</v>
      </c>
      <c r="BF701" t="s" s="0">
        <v>81</v>
      </c>
      <c r="BG701" t="s" s="0">
        <v>81</v>
      </c>
      <c r="BH701" t="s" s="0">
        <v>81</v>
      </c>
      <c r="BI701" t="s" s="0">
        <v>15420</v>
      </c>
      <c r="BJ701" t="s" s="0">
        <v>15421</v>
      </c>
      <c r="BK701" t="s" s="1392">
        <f>HYPERLINK("http://dx.doi.org/10.2196/58493","http://dx.doi.org/10.2196/58493")</f>
        <v>15422</v>
      </c>
      <c r="BL701" t="s" s="0">
        <v>81</v>
      </c>
      <c r="BM701" t="s" s="0">
        <v>81</v>
      </c>
      <c r="BN701" t="s" s="0">
        <v>191</v>
      </c>
      <c r="BO701" t="s" s="0">
        <v>6809</v>
      </c>
      <c r="BP701" t="s" s="0">
        <v>6809</v>
      </c>
      <c r="BQ701" t="s" s="0">
        <v>15423</v>
      </c>
      <c r="BR701" t="s" s="0">
        <v>15424</v>
      </c>
      <c r="BS701" t="s" s="0">
        <v>15425</v>
      </c>
      <c r="BT701" t="s" s="1393">
        <f>HYPERLINK("https://www.webofscience.com/wos/woscc/full-record/WOS:001322536000001","View Record in Web of Science")</f>
        <v>114</v>
      </c>
      <c r="BU701" t="s" s="0">
        <v>301</v>
      </c>
      <c r="BV701" t="s" s="0">
        <v>81</v>
      </c>
      <c r="BW701" t="s" s="0">
        <v>81</v>
      </c>
      <c r="BX701" t="s" s="0">
        <v>116</v>
      </c>
    </row>
    <row r="702">
      <c r="A702" t="s" s="0">
        <v>77</v>
      </c>
      <c r="B702" t="s" s="0">
        <v>77</v>
      </c>
      <c r="C702" t="s" s="0">
        <v>77</v>
      </c>
      <c r="D702" t="s" s="0">
        <v>77</v>
      </c>
      <c r="E702" t="s" s="0">
        <v>15426</v>
      </c>
      <c r="F702" t="s" s="0">
        <v>15427</v>
      </c>
      <c r="G702" t="s" s="0">
        <v>15428</v>
      </c>
      <c r="H702" t="s" s="0">
        <v>81</v>
      </c>
      <c r="I702" t="s" s="0">
        <v>528</v>
      </c>
      <c r="J702" t="s" s="0">
        <v>15429</v>
      </c>
      <c r="K702" t="s" s="0">
        <v>15430</v>
      </c>
      <c r="L702" t="s" s="0">
        <v>15431</v>
      </c>
      <c r="M702" t="s" s="0">
        <v>15432</v>
      </c>
      <c r="N702" t="s" s="0">
        <v>15433</v>
      </c>
      <c r="O702" t="s" s="0">
        <v>15434</v>
      </c>
      <c r="P702" t="s" s="0">
        <v>15435</v>
      </c>
      <c r="Q702" t="s" s="0">
        <v>87</v>
      </c>
      <c r="R702" t="s" s="0">
        <v>81</v>
      </c>
      <c r="S702" t="s" s="0">
        <v>81</v>
      </c>
      <c r="T702" t="s" s="0">
        <v>81</v>
      </c>
      <c r="U702" t="s" s="0">
        <v>81</v>
      </c>
      <c r="V702" t="s" s="0">
        <v>15436</v>
      </c>
      <c r="W702" t="s" s="0">
        <v>15437</v>
      </c>
      <c r="X702" t="s" s="0">
        <v>81</v>
      </c>
      <c r="Y702" t="s" s="0">
        <v>81</v>
      </c>
      <c r="Z702" t="s" s="0">
        <v>90</v>
      </c>
      <c r="AA702" t="s" s="0">
        <v>91</v>
      </c>
      <c r="AB702" t="s" s="0">
        <v>81</v>
      </c>
      <c r="AC702" t="s" s="0">
        <v>81</v>
      </c>
      <c r="AD702" t="s" s="0">
        <v>81</v>
      </c>
      <c r="AE702" t="s" s="0">
        <v>81</v>
      </c>
      <c r="AF702" t="s" s="0">
        <v>81</v>
      </c>
      <c r="AG702" t="s" s="0">
        <v>15438</v>
      </c>
      <c r="AH702" t="s" s="0">
        <v>10000</v>
      </c>
      <c r="AI702" t="s" s="0">
        <v>15439</v>
      </c>
      <c r="AJ702" t="s" s="0">
        <v>15440</v>
      </c>
      <c r="AK702" t="s" s="0">
        <v>81</v>
      </c>
      <c r="AL702" t="s" s="0">
        <v>2447</v>
      </c>
      <c r="AM702" t="s" s="0">
        <v>196</v>
      </c>
      <c r="AN702" t="s" s="0">
        <v>196</v>
      </c>
      <c r="AO702" t="s" s="0">
        <v>925</v>
      </c>
      <c r="AP702" t="s" s="0">
        <v>1785</v>
      </c>
      <c r="AQ702" t="s" s="0">
        <v>2208</v>
      </c>
      <c r="AR702" t="s" s="0">
        <v>2209</v>
      </c>
      <c r="AS702" t="s" s="0">
        <v>2210</v>
      </c>
      <c r="AT702" t="s" s="0">
        <v>15441</v>
      </c>
      <c r="AU702" t="s" s="0">
        <v>15442</v>
      </c>
      <c r="AV702" t="s" s="0">
        <v>81</v>
      </c>
      <c r="AW702" t="s" s="0">
        <v>15443</v>
      </c>
      <c r="AX702" t="s" s="0">
        <v>15444</v>
      </c>
      <c r="AY702" t="s" s="0">
        <v>1743</v>
      </c>
      <c r="AZ702" t="s" s="0">
        <v>290</v>
      </c>
      <c r="BA702" t="s" s="0">
        <v>434</v>
      </c>
      <c r="BB702" t="s" s="0">
        <v>175</v>
      </c>
      <c r="BC702" t="s" s="0">
        <v>81</v>
      </c>
      <c r="BD702" t="s" s="0">
        <v>81</v>
      </c>
      <c r="BE702" t="s" s="0">
        <v>81</v>
      </c>
      <c r="BF702" t="s" s="0">
        <v>81</v>
      </c>
      <c r="BG702" t="s" s="0">
        <v>15445</v>
      </c>
      <c r="BH702" t="s" s="0">
        <v>15446</v>
      </c>
      <c r="BI702" t="s" s="0">
        <v>81</v>
      </c>
      <c r="BJ702" t="s" s="0">
        <v>15447</v>
      </c>
      <c r="BK702" t="s" s="1394">
        <f>HYPERLINK("http://dx.doi.org/10.1007/s10209-025-01245-z","http://dx.doi.org/10.1007/s10209-025-01245-z")</f>
        <v>15448</v>
      </c>
      <c r="BL702" t="s" s="0">
        <v>81</v>
      </c>
      <c r="BM702" t="s" s="0">
        <v>733</v>
      </c>
      <c r="BN702" t="s" s="0">
        <v>291</v>
      </c>
      <c r="BO702" t="s" s="0">
        <v>12420</v>
      </c>
      <c r="BP702" t="s" s="0">
        <v>193</v>
      </c>
      <c r="BQ702" t="s" s="0">
        <v>15449</v>
      </c>
      <c r="BR702" t="s" s="0">
        <v>81</v>
      </c>
      <c r="BS702" t="s" s="0">
        <v>15450</v>
      </c>
      <c r="BT702" t="s" s="1395">
        <f>HYPERLINK("https://www.webofscience.com/wos/woscc/full-record/WOS:001531108100001","View Record in Web of Science")</f>
        <v>114</v>
      </c>
      <c r="BU702" t="s" s="0">
        <v>81</v>
      </c>
      <c r="BV702" t="s" s="0">
        <v>81</v>
      </c>
      <c r="BW702" t="s" s="0">
        <v>81</v>
      </c>
      <c r="BX702" t="s" s="0">
        <v>116</v>
      </c>
    </row>
    <row r="703">
      <c r="A703" t="s" s="0">
        <v>77</v>
      </c>
      <c r="B703" t="s" s="0">
        <v>77</v>
      </c>
      <c r="C703" t="s" s="0">
        <v>77</v>
      </c>
      <c r="D703" t="s" s="0">
        <v>77</v>
      </c>
      <c r="E703" t="s" s="0">
        <v>15451</v>
      </c>
      <c r="F703" t="s" s="0">
        <v>15452</v>
      </c>
      <c r="G703" t="s" s="0">
        <v>15453</v>
      </c>
      <c r="H703" t="s" s="0">
        <v>81</v>
      </c>
      <c r="I703" t="s" s="0">
        <v>82</v>
      </c>
      <c r="J703" t="s" s="0">
        <v>15454</v>
      </c>
      <c r="K703" t="s" s="0">
        <v>15455</v>
      </c>
      <c r="L703" t="s" s="0">
        <v>15456</v>
      </c>
      <c r="M703" t="s" s="0">
        <v>1529</v>
      </c>
      <c r="N703" t="s" s="0">
        <v>15457</v>
      </c>
      <c r="O703" t="s" s="0">
        <v>15458</v>
      </c>
      <c r="P703" t="s" s="0">
        <v>15459</v>
      </c>
      <c r="Q703" t="s" s="0">
        <v>87</v>
      </c>
      <c r="R703" t="s" s="0">
        <v>81</v>
      </c>
      <c r="S703" t="s" s="0">
        <v>81</v>
      </c>
      <c r="T703" t="s" s="0">
        <v>81</v>
      </c>
      <c r="U703" t="s" s="0">
        <v>81</v>
      </c>
      <c r="V703" t="s" s="0">
        <v>15460</v>
      </c>
      <c r="W703" t="s" s="0">
        <v>15461</v>
      </c>
      <c r="X703" t="s" s="0">
        <v>81</v>
      </c>
      <c r="Y703" t="s" s="0">
        <v>81</v>
      </c>
      <c r="Z703" t="s" s="0">
        <v>90</v>
      </c>
      <c r="AA703" t="s" s="0">
        <v>91</v>
      </c>
      <c r="AB703" t="s" s="0">
        <v>81</v>
      </c>
      <c r="AC703" t="s" s="0">
        <v>81</v>
      </c>
      <c r="AD703" t="s" s="0">
        <v>81</v>
      </c>
      <c r="AE703" t="s" s="0">
        <v>81</v>
      </c>
      <c r="AF703" t="s" s="0">
        <v>81</v>
      </c>
      <c r="AG703" t="s" s="0">
        <v>15462</v>
      </c>
      <c r="AH703" t="s" s="0">
        <v>81</v>
      </c>
      <c r="AI703" t="s" s="0">
        <v>15463</v>
      </c>
      <c r="AJ703" t="s" s="0">
        <v>81</v>
      </c>
      <c r="AK703" t="s" s="0">
        <v>81</v>
      </c>
      <c r="AL703" t="s" s="0">
        <v>1635</v>
      </c>
      <c r="AM703" t="s" s="0">
        <v>77</v>
      </c>
      <c r="AN703" t="s" s="0">
        <v>77</v>
      </c>
      <c r="AO703" t="s" s="0">
        <v>77</v>
      </c>
      <c r="AP703" t="s" s="0">
        <v>77</v>
      </c>
      <c r="AQ703" t="s" s="0">
        <v>284</v>
      </c>
      <c r="AR703" t="s" s="0">
        <v>285</v>
      </c>
      <c r="AS703" t="s" s="0">
        <v>286</v>
      </c>
      <c r="AT703" t="s" s="0">
        <v>15464</v>
      </c>
      <c r="AU703" t="s" s="0">
        <v>15465</v>
      </c>
      <c r="AV703" t="s" s="0">
        <v>81</v>
      </c>
      <c r="AW703" t="s" s="0">
        <v>15466</v>
      </c>
      <c r="AX703" t="s" s="0">
        <v>15467</v>
      </c>
      <c r="AY703" t="s" s="0">
        <v>870</v>
      </c>
      <c r="AZ703" t="s" s="0">
        <v>103</v>
      </c>
      <c r="BA703" t="s" s="0">
        <v>671</v>
      </c>
      <c r="BB703" t="s" s="0">
        <v>291</v>
      </c>
      <c r="BC703" t="s" s="0">
        <v>81</v>
      </c>
      <c r="BD703" t="s" s="0">
        <v>81</v>
      </c>
      <c r="BE703" t="s" s="0">
        <v>81</v>
      </c>
      <c r="BF703" t="s" s="0">
        <v>81</v>
      </c>
      <c r="BG703" t="s" s="0">
        <v>81</v>
      </c>
      <c r="BH703" t="s" s="0">
        <v>81</v>
      </c>
      <c r="BI703" t="s" s="0">
        <v>15468</v>
      </c>
      <c r="BJ703" t="s" s="0">
        <v>15469</v>
      </c>
      <c r="BK703" t="s" s="1396">
        <f>HYPERLINK("http://dx.doi.org/10.3390/ijms27156989","http://dx.doi.org/10.3390/ijms27156989")</f>
        <v>15470</v>
      </c>
      <c r="BL703" t="s" s="0">
        <v>81</v>
      </c>
      <c r="BM703" t="s" s="0">
        <v>81</v>
      </c>
      <c r="BN703" t="s" s="0">
        <v>874</v>
      </c>
      <c r="BO703" t="s" s="0">
        <v>15471</v>
      </c>
      <c r="BP703" t="s" s="0">
        <v>15472</v>
      </c>
      <c r="BQ703" t="s" s="0">
        <v>15473</v>
      </c>
      <c r="BR703" t="s" s="0">
        <v>15474</v>
      </c>
      <c r="BS703" t="s" s="0">
        <v>15475</v>
      </c>
      <c r="BT703" t="s" s="1397">
        <f>HYPERLINK("https://www.webofscience.com/wos/woscc/full-record/WOS:001846853000001","View Record in Web of Science")</f>
        <v>114</v>
      </c>
      <c r="BU703" t="s" s="0">
        <v>301</v>
      </c>
      <c r="BV703" t="s" s="0">
        <v>81</v>
      </c>
      <c r="BW703" t="s" s="0">
        <v>81</v>
      </c>
      <c r="BX703" t="s" s="0">
        <v>116</v>
      </c>
    </row>
    <row r="704">
      <c r="A704" t="s" s="0">
        <v>77</v>
      </c>
      <c r="B704" t="s" s="0">
        <v>77</v>
      </c>
      <c r="C704" t="s" s="0">
        <v>97</v>
      </c>
      <c r="D704" t="s" s="0">
        <v>77</v>
      </c>
      <c r="E704" t="s" s="0">
        <v>15476</v>
      </c>
      <c r="F704" t="s" s="0">
        <v>15477</v>
      </c>
      <c r="G704" t="s" s="0">
        <v>15478</v>
      </c>
      <c r="H704" t="s" s="0">
        <v>81</v>
      </c>
      <c r="I704" t="s" s="0">
        <v>82</v>
      </c>
      <c r="J704" t="s" s="0">
        <v>15479</v>
      </c>
      <c r="K704" t="s" s="0">
        <v>15480</v>
      </c>
      <c r="L704" t="s" s="0">
        <v>15481</v>
      </c>
      <c r="M704" t="s" s="0">
        <v>15482</v>
      </c>
      <c r="N704" t="s" s="0">
        <v>15483</v>
      </c>
      <c r="O704" t="s" s="0">
        <v>15484</v>
      </c>
      <c r="P704" t="s" s="0">
        <v>15485</v>
      </c>
      <c r="Q704" t="s" s="0">
        <v>87</v>
      </c>
      <c r="R704" t="s" s="0">
        <v>81</v>
      </c>
      <c r="S704" t="s" s="0">
        <v>81</v>
      </c>
      <c r="T704" t="s" s="0">
        <v>81</v>
      </c>
      <c r="U704" t="s" s="0">
        <v>81</v>
      </c>
      <c r="V704" t="s" s="0">
        <v>15486</v>
      </c>
      <c r="W704" t="s" s="0">
        <v>15487</v>
      </c>
      <c r="X704" t="s" s="0">
        <v>81</v>
      </c>
      <c r="Y704" t="s" s="0">
        <v>81</v>
      </c>
      <c r="Z704" t="s" s="0">
        <v>90</v>
      </c>
      <c r="AA704" t="s" s="0">
        <v>91</v>
      </c>
      <c r="AB704" t="s" s="0">
        <v>81</v>
      </c>
      <c r="AC704" t="s" s="0">
        <v>81</v>
      </c>
      <c r="AD704" t="s" s="0">
        <v>81</v>
      </c>
      <c r="AE704" t="s" s="0">
        <v>81</v>
      </c>
      <c r="AF704" t="s" s="0">
        <v>81</v>
      </c>
      <c r="AG704" t="s" s="0">
        <v>15488</v>
      </c>
      <c r="AH704" t="s" s="0">
        <v>15489</v>
      </c>
      <c r="AI704" t="s" s="0">
        <v>15490</v>
      </c>
      <c r="AJ704" t="s" s="0">
        <v>15491</v>
      </c>
      <c r="AK704" t="s" s="0">
        <v>81</v>
      </c>
      <c r="AL704" t="s" s="0">
        <v>5567</v>
      </c>
      <c r="AM704" t="s" s="0">
        <v>196</v>
      </c>
      <c r="AN704" t="s" s="0">
        <v>196</v>
      </c>
      <c r="AO704" t="s" s="0">
        <v>156</v>
      </c>
      <c r="AP704" t="s" s="0">
        <v>211</v>
      </c>
      <c r="AQ704" t="s" s="0">
        <v>212</v>
      </c>
      <c r="AR704" t="s" s="0">
        <v>429</v>
      </c>
      <c r="AS704" t="s" s="0">
        <v>784</v>
      </c>
      <c r="AT704" t="s" s="0">
        <v>15492</v>
      </c>
      <c r="AU704" t="s" s="0">
        <v>15493</v>
      </c>
      <c r="AV704" t="s" s="0">
        <v>81</v>
      </c>
      <c r="AW704" t="s" s="0">
        <v>15494</v>
      </c>
      <c r="AX704" t="s" s="0">
        <v>15495</v>
      </c>
      <c r="AY704" t="s" s="0">
        <v>1183</v>
      </c>
      <c r="AZ704" t="s" s="0">
        <v>185</v>
      </c>
      <c r="BA704" t="s" s="0">
        <v>1635</v>
      </c>
      <c r="BB704" t="s" s="0">
        <v>175</v>
      </c>
      <c r="BC704" t="s" s="0">
        <v>81</v>
      </c>
      <c r="BD704" t="s" s="0">
        <v>81</v>
      </c>
      <c r="BE704" t="s" s="0">
        <v>81</v>
      </c>
      <c r="BF704" t="s" s="0">
        <v>81</v>
      </c>
      <c r="BG704" t="s" s="0">
        <v>8070</v>
      </c>
      <c r="BH704" t="s" s="0">
        <v>15496</v>
      </c>
      <c r="BI704" t="s" s="0">
        <v>81</v>
      </c>
      <c r="BJ704" t="s" s="0">
        <v>15497</v>
      </c>
      <c r="BK704" t="s" s="1398">
        <f>HYPERLINK("http://dx.doi.org/10.1007/s00481-024-00827-4","http://dx.doi.org/10.1007/s00481-024-00827-4")</f>
        <v>15498</v>
      </c>
      <c r="BL704" t="s" s="0">
        <v>81</v>
      </c>
      <c r="BM704" t="s" s="0">
        <v>6555</v>
      </c>
      <c r="BN704" t="s" s="0">
        <v>925</v>
      </c>
      <c r="BO704" t="s" s="0">
        <v>11984</v>
      </c>
      <c r="BP704" t="s" s="0">
        <v>11984</v>
      </c>
      <c r="BQ704" t="s" s="0">
        <v>15499</v>
      </c>
      <c r="BR704" t="s" s="0">
        <v>81</v>
      </c>
      <c r="BS704" t="s" s="0">
        <v>15500</v>
      </c>
      <c r="BT704" t="s" s="1399">
        <f>HYPERLINK("https://www.webofscience.com/wos/woscc/full-record/WOS:001270435900001","View Record in Web of Science")</f>
        <v>114</v>
      </c>
      <c r="BU704" t="s" s="0">
        <v>155</v>
      </c>
      <c r="BV704" t="s" s="0">
        <v>81</v>
      </c>
      <c r="BW704" t="s" s="0">
        <v>81</v>
      </c>
      <c r="BX704" t="s" s="0">
        <v>116</v>
      </c>
    </row>
    <row r="705">
      <c r="A705" t="s" s="0">
        <v>77</v>
      </c>
      <c r="B705" t="s" s="0">
        <v>77</v>
      </c>
      <c r="C705" t="s" s="0">
        <v>97</v>
      </c>
      <c r="D705" t="s" s="0">
        <v>77</v>
      </c>
      <c r="E705" t="s" s="0">
        <v>15501</v>
      </c>
      <c r="F705" t="s" s="0">
        <v>15502</v>
      </c>
      <c r="G705" t="s" s="0">
        <v>15503</v>
      </c>
      <c r="H705" t="s" s="0">
        <v>81</v>
      </c>
      <c r="I705" t="s" s="0">
        <v>528</v>
      </c>
      <c r="J705" t="s" s="0">
        <v>15504</v>
      </c>
      <c r="K705" t="s" s="0">
        <v>15505</v>
      </c>
      <c r="L705" t="s" s="0">
        <v>15506</v>
      </c>
      <c r="M705" t="s" s="0">
        <v>419</v>
      </c>
      <c r="N705" t="s" s="0">
        <v>15507</v>
      </c>
      <c r="O705" t="s" s="0">
        <v>15508</v>
      </c>
      <c r="P705" t="s" s="0">
        <v>15509</v>
      </c>
      <c r="Q705" t="s" s="0">
        <v>87</v>
      </c>
      <c r="R705" t="s" s="0">
        <v>81</v>
      </c>
      <c r="S705" t="s" s="0">
        <v>81</v>
      </c>
      <c r="T705" t="s" s="0">
        <v>81</v>
      </c>
      <c r="U705" t="s" s="0">
        <v>81</v>
      </c>
      <c r="V705" t="s" s="0">
        <v>15510</v>
      </c>
      <c r="W705" t="s" s="0">
        <v>14380</v>
      </c>
      <c r="X705" t="s" s="0">
        <v>81</v>
      </c>
      <c r="Y705" t="s" s="0">
        <v>81</v>
      </c>
      <c r="Z705" t="s" s="0">
        <v>90</v>
      </c>
      <c r="AA705" t="s" s="0">
        <v>91</v>
      </c>
      <c r="AB705" t="s" s="0">
        <v>81</v>
      </c>
      <c r="AC705" t="s" s="0">
        <v>81</v>
      </c>
      <c r="AD705" t="s" s="0">
        <v>81</v>
      </c>
      <c r="AE705" t="s" s="0">
        <v>81</v>
      </c>
      <c r="AF705" t="s" s="0">
        <v>81</v>
      </c>
      <c r="AG705" t="s" s="0">
        <v>15511</v>
      </c>
      <c r="AH705" t="s" s="0">
        <v>81</v>
      </c>
      <c r="AI705" t="s" s="0">
        <v>15512</v>
      </c>
      <c r="AJ705" t="s" s="0">
        <v>15513</v>
      </c>
      <c r="AK705" t="s" s="0">
        <v>81</v>
      </c>
      <c r="AL705" t="s" s="0">
        <v>405</v>
      </c>
      <c r="AM705" t="s" s="0">
        <v>104</v>
      </c>
      <c r="AN705" t="s" s="0">
        <v>104</v>
      </c>
      <c r="AO705" t="s" s="0">
        <v>261</v>
      </c>
      <c r="AP705" t="s" s="0">
        <v>434</v>
      </c>
      <c r="AQ705" t="s" s="0">
        <v>665</v>
      </c>
      <c r="AR705" t="s" s="0">
        <v>546</v>
      </c>
      <c r="AS705" t="s" s="0">
        <v>666</v>
      </c>
      <c r="AT705" t="s" s="0">
        <v>14385</v>
      </c>
      <c r="AU705" t="s" s="0">
        <v>81</v>
      </c>
      <c r="AV705" t="s" s="0">
        <v>81</v>
      </c>
      <c r="AW705" t="s" s="0">
        <v>14386</v>
      </c>
      <c r="AX705" t="s" s="0">
        <v>14387</v>
      </c>
      <c r="AY705" t="s" s="0">
        <v>15514</v>
      </c>
      <c r="AZ705" t="s" s="0">
        <v>290</v>
      </c>
      <c r="BA705" t="s" s="0">
        <v>434</v>
      </c>
      <c r="BB705" t="s" s="0">
        <v>97</v>
      </c>
      <c r="BC705" t="s" s="0">
        <v>81</v>
      </c>
      <c r="BD705" t="s" s="0">
        <v>81</v>
      </c>
      <c r="BE705" t="s" s="0">
        <v>81</v>
      </c>
      <c r="BF705" t="s" s="0">
        <v>81</v>
      </c>
      <c r="BG705" t="s" s="0">
        <v>81</v>
      </c>
      <c r="BH705" t="s" s="0">
        <v>81</v>
      </c>
      <c r="BI705" t="s" s="0">
        <v>6271</v>
      </c>
      <c r="BJ705" t="s" s="0">
        <v>15515</v>
      </c>
      <c r="BK705" t="s" s="1400">
        <f>HYPERLINK("http://dx.doi.org/10.1186/s12912-025-02798-3","http://dx.doi.org/10.1186/s12912-025-02798-3")</f>
        <v>15516</v>
      </c>
      <c r="BL705" t="s" s="0">
        <v>81</v>
      </c>
      <c r="BM705" t="s" s="0">
        <v>81</v>
      </c>
      <c r="BN705" t="s" s="0">
        <v>261</v>
      </c>
      <c r="BO705" t="s" s="0">
        <v>5034</v>
      </c>
      <c r="BP705" t="s" s="0">
        <v>5034</v>
      </c>
      <c r="BQ705" t="s" s="0">
        <v>15517</v>
      </c>
      <c r="BR705" t="s" s="0">
        <v>15518</v>
      </c>
      <c r="BS705" t="s" s="0">
        <v>15519</v>
      </c>
      <c r="BT705" t="s" s="1401">
        <f>HYPERLINK("https://www.webofscience.com/wos/woscc/full-record/WOS:001419924900002","View Record in Web of Science")</f>
        <v>114</v>
      </c>
      <c r="BU705" t="s" s="0">
        <v>301</v>
      </c>
      <c r="BV705" t="s" s="0">
        <v>81</v>
      </c>
      <c r="BW705" t="s" s="0">
        <v>81</v>
      </c>
      <c r="BX705" t="s" s="0">
        <v>116</v>
      </c>
    </row>
    <row r="706">
      <c r="A706" t="s" s="0">
        <v>77</v>
      </c>
      <c r="B706" t="s" s="0">
        <v>77</v>
      </c>
      <c r="C706" t="s" s="0">
        <v>77</v>
      </c>
      <c r="D706" t="s" s="0">
        <v>77</v>
      </c>
      <c r="E706" t="s" s="0">
        <v>15520</v>
      </c>
      <c r="F706" t="s" s="0">
        <v>15521</v>
      </c>
      <c r="G706" t="s" s="0">
        <v>15522</v>
      </c>
      <c r="H706" t="s" s="0">
        <v>81</v>
      </c>
      <c r="I706" t="s" s="0">
        <v>82</v>
      </c>
      <c r="J706" t="s" s="0">
        <v>15523</v>
      </c>
      <c r="K706" t="s" s="0">
        <v>15524</v>
      </c>
      <c r="L706" t="s" s="0">
        <v>15525</v>
      </c>
      <c r="M706" t="s" s="0">
        <v>15526</v>
      </c>
      <c r="N706" t="s" s="0">
        <v>15527</v>
      </c>
      <c r="O706" t="s" s="0">
        <v>15528</v>
      </c>
      <c r="P706" t="s" s="0">
        <v>15529</v>
      </c>
      <c r="Q706" t="s" s="0">
        <v>87</v>
      </c>
      <c r="R706" t="s" s="0">
        <v>81</v>
      </c>
      <c r="S706" t="s" s="0">
        <v>81</v>
      </c>
      <c r="T706" t="s" s="0">
        <v>81</v>
      </c>
      <c r="U706" t="s" s="0">
        <v>81</v>
      </c>
      <c r="V706" t="s" s="0">
        <v>15530</v>
      </c>
      <c r="W706" t="s" s="0">
        <v>15531</v>
      </c>
      <c r="X706" t="s" s="0">
        <v>81</v>
      </c>
      <c r="Y706" t="s" s="0">
        <v>81</v>
      </c>
      <c r="Z706" t="s" s="0">
        <v>90</v>
      </c>
      <c r="AA706" t="s" s="0">
        <v>91</v>
      </c>
      <c r="AB706" t="s" s="0">
        <v>81</v>
      </c>
      <c r="AC706" t="s" s="0">
        <v>81</v>
      </c>
      <c r="AD706" t="s" s="0">
        <v>81</v>
      </c>
      <c r="AE706" t="s" s="0">
        <v>81</v>
      </c>
      <c r="AF706" t="s" s="0">
        <v>81</v>
      </c>
      <c r="AG706" t="s" s="0">
        <v>15532</v>
      </c>
      <c r="AH706" t="s" s="0">
        <v>15533</v>
      </c>
      <c r="AI706" t="s" s="0">
        <v>15534</v>
      </c>
      <c r="AJ706" t="s" s="0">
        <v>15535</v>
      </c>
      <c r="AK706" t="s" s="0">
        <v>81</v>
      </c>
      <c r="AL706" t="s" s="0">
        <v>1883</v>
      </c>
      <c r="AM706" t="s" s="0">
        <v>97</v>
      </c>
      <c r="AN706" t="s" s="0">
        <v>97</v>
      </c>
      <c r="AO706" t="s" s="0">
        <v>316</v>
      </c>
      <c r="AP706" t="s" s="0">
        <v>316</v>
      </c>
      <c r="AQ706" t="s" s="0">
        <v>177</v>
      </c>
      <c r="AR706" t="s" s="0">
        <v>178</v>
      </c>
      <c r="AS706" t="s" s="0">
        <v>179</v>
      </c>
      <c r="AT706" t="s" s="0">
        <v>15536</v>
      </c>
      <c r="AU706" t="s" s="0">
        <v>15537</v>
      </c>
      <c r="AV706" t="s" s="0">
        <v>81</v>
      </c>
      <c r="AW706" t="s" s="0">
        <v>15538</v>
      </c>
      <c r="AX706" t="s" s="0">
        <v>15539</v>
      </c>
      <c r="AY706" t="s" s="0">
        <v>1940</v>
      </c>
      <c r="AZ706" t="s" s="0">
        <v>103</v>
      </c>
      <c r="BA706" t="s" s="0">
        <v>2549</v>
      </c>
      <c r="BB706" t="s" s="0">
        <v>81</v>
      </c>
      <c r="BC706" t="s" s="0">
        <v>81</v>
      </c>
      <c r="BD706" t="s" s="0">
        <v>81</v>
      </c>
      <c r="BE706" t="s" s="0">
        <v>81</v>
      </c>
      <c r="BF706" t="s" s="0">
        <v>81</v>
      </c>
      <c r="BG706" t="s" s="0">
        <v>81</v>
      </c>
      <c r="BH706" t="s" s="0">
        <v>81</v>
      </c>
      <c r="BI706" t="s" s="0">
        <v>15540</v>
      </c>
      <c r="BJ706" t="s" s="0">
        <v>15541</v>
      </c>
      <c r="BK706" t="s" s="1402">
        <f>HYPERLINK("http://dx.doi.org/10.1016/j.ejca.2025.116158","http://dx.doi.org/10.1016/j.ejca.2025.116158")</f>
        <v>15542</v>
      </c>
      <c r="BL706" t="s" s="0">
        <v>81</v>
      </c>
      <c r="BM706" t="s" s="0">
        <v>2353</v>
      </c>
      <c r="BN706" t="s" s="0">
        <v>104</v>
      </c>
      <c r="BO706" t="s" s="0">
        <v>1380</v>
      </c>
      <c r="BP706" t="s" s="0">
        <v>1380</v>
      </c>
      <c r="BQ706" t="s" s="0">
        <v>15543</v>
      </c>
      <c r="BR706" t="s" s="0">
        <v>15544</v>
      </c>
      <c r="BS706" t="s" s="0">
        <v>15545</v>
      </c>
      <c r="BT706" t="s" s="1403">
        <f>HYPERLINK("https://www.webofscience.com/wos/woscc/full-record/WOS:001637046000001","View Record in Web of Science")</f>
        <v>114</v>
      </c>
      <c r="BU706" t="s" s="0">
        <v>81</v>
      </c>
      <c r="BV706" t="s" s="0">
        <v>81</v>
      </c>
      <c r="BW706" t="s" s="0">
        <v>81</v>
      </c>
      <c r="BX706" t="s" s="0">
        <v>116</v>
      </c>
    </row>
    <row r="707">
      <c r="A707" t="s" s="0">
        <v>97</v>
      </c>
      <c r="B707" t="s" s="0">
        <v>77</v>
      </c>
      <c r="C707" t="s" s="0">
        <v>381</v>
      </c>
      <c r="D707" t="s" s="0">
        <v>77</v>
      </c>
      <c r="E707" t="s" s="0">
        <v>15546</v>
      </c>
      <c r="F707" t="s" s="0">
        <v>15547</v>
      </c>
      <c r="G707" t="s" s="0">
        <v>15548</v>
      </c>
      <c r="H707" t="s" s="0">
        <v>81</v>
      </c>
      <c r="I707" t="s" s="0">
        <v>82</v>
      </c>
      <c r="J707" t="s" s="0">
        <v>15549</v>
      </c>
      <c r="K707" t="s" s="0">
        <v>15550</v>
      </c>
      <c r="L707" t="s" s="0">
        <v>81</v>
      </c>
      <c r="M707" t="s" s="0">
        <v>81</v>
      </c>
      <c r="N707" t="s" s="0">
        <v>81</v>
      </c>
      <c r="O707" t="s" s="0">
        <v>15551</v>
      </c>
      <c r="P707" t="s" s="0">
        <v>15552</v>
      </c>
      <c r="Q707" t="s" s="0">
        <v>87</v>
      </c>
      <c r="R707" t="s" s="0">
        <v>81</v>
      </c>
      <c r="S707" t="s" s="0">
        <v>81</v>
      </c>
      <c r="T707" t="s" s="0">
        <v>81</v>
      </c>
      <c r="U707" t="s" s="0">
        <v>81</v>
      </c>
      <c r="V707" t="s" s="0">
        <v>15553</v>
      </c>
      <c r="W707" t="s" s="0">
        <v>910</v>
      </c>
      <c r="X707" t="s" s="0">
        <v>81</v>
      </c>
      <c r="Y707" t="s" s="0">
        <v>81</v>
      </c>
      <c r="Z707" t="s" s="0">
        <v>90</v>
      </c>
      <c r="AA707" t="s" s="0">
        <v>91</v>
      </c>
      <c r="AB707" t="s" s="0">
        <v>81</v>
      </c>
      <c r="AC707" t="s" s="0">
        <v>81</v>
      </c>
      <c r="AD707" t="s" s="0">
        <v>81</v>
      </c>
      <c r="AE707" t="s" s="0">
        <v>81</v>
      </c>
      <c r="AF707" t="s" s="0">
        <v>81</v>
      </c>
      <c r="AG707" t="s" s="0">
        <v>15554</v>
      </c>
      <c r="AH707" t="s" s="0">
        <v>81</v>
      </c>
      <c r="AI707" t="s" s="0">
        <v>15555</v>
      </c>
      <c r="AJ707" t="s" s="0">
        <v>15556</v>
      </c>
      <c r="AK707" t="s" s="0">
        <v>81</v>
      </c>
      <c r="AL707" t="s" s="0">
        <v>508</v>
      </c>
      <c r="AM707" t="s" s="0">
        <v>367</v>
      </c>
      <c r="AN707" t="s" s="0">
        <v>109</v>
      </c>
      <c r="AO707" t="s" s="0">
        <v>77</v>
      </c>
      <c r="AP707" t="s" s="0">
        <v>191</v>
      </c>
      <c r="AQ707" t="s" s="0">
        <v>915</v>
      </c>
      <c r="AR707" t="s" s="0">
        <v>916</v>
      </c>
      <c r="AS707" t="s" s="0">
        <v>917</v>
      </c>
      <c r="AT707" t="s" s="0">
        <v>918</v>
      </c>
      <c r="AU707" t="s" s="0">
        <v>81</v>
      </c>
      <c r="AV707" t="s" s="0">
        <v>81</v>
      </c>
      <c r="AW707" t="s" s="0">
        <v>919</v>
      </c>
      <c r="AX707" t="s" s="0">
        <v>920</v>
      </c>
      <c r="AY707" t="s" s="0">
        <v>15557</v>
      </c>
      <c r="AZ707" t="s" s="0">
        <v>185</v>
      </c>
      <c r="BA707" t="s" s="0">
        <v>104</v>
      </c>
      <c r="BB707" t="s" s="0">
        <v>97</v>
      </c>
      <c r="BC707" t="s" s="0">
        <v>81</v>
      </c>
      <c r="BD707" t="s" s="0">
        <v>81</v>
      </c>
      <c r="BE707" t="s" s="0">
        <v>81</v>
      </c>
      <c r="BF707" t="s" s="0">
        <v>81</v>
      </c>
      <c r="BG707" t="s" s="0">
        <v>81</v>
      </c>
      <c r="BH707" t="s" s="0">
        <v>81</v>
      </c>
      <c r="BI707" t="s" s="0">
        <v>15558</v>
      </c>
      <c r="BJ707" t="s" s="0">
        <v>15559</v>
      </c>
      <c r="BK707" t="s" s="1404">
        <f>HYPERLINK("http://dx.doi.org/10.1038/s41598-024-75915-y","http://dx.doi.org/10.1038/s41598-024-75915-y")</f>
        <v>15560</v>
      </c>
      <c r="BL707" t="s" s="0">
        <v>81</v>
      </c>
      <c r="BM707" t="s" s="0">
        <v>81</v>
      </c>
      <c r="BN707" t="s" s="0">
        <v>874</v>
      </c>
      <c r="BO707" t="s" s="0">
        <v>926</v>
      </c>
      <c r="BP707" t="s" s="0">
        <v>927</v>
      </c>
      <c r="BQ707" t="s" s="0">
        <v>15561</v>
      </c>
      <c r="BR707" t="s" s="0">
        <v>15562</v>
      </c>
      <c r="BS707" t="s" s="0">
        <v>15563</v>
      </c>
      <c r="BT707" t="s" s="1405">
        <f>HYPERLINK("https://www.webofscience.com/wos/woscc/full-record/WOS:001341352800023","View Record in Web of Science")</f>
        <v>114</v>
      </c>
      <c r="BU707" t="s" s="0">
        <v>301</v>
      </c>
      <c r="BV707" t="s" s="0">
        <v>81</v>
      </c>
      <c r="BW707" t="s" s="0">
        <v>81</v>
      </c>
      <c r="BX707" t="s" s="0">
        <v>116</v>
      </c>
    </row>
    <row r="708">
      <c r="A708" t="s" s="0">
        <v>77</v>
      </c>
      <c r="B708" t="s" s="0">
        <v>77</v>
      </c>
      <c r="C708" t="s" s="0">
        <v>77</v>
      </c>
      <c r="D708" t="s" s="0">
        <v>77</v>
      </c>
      <c r="E708" t="s" s="0">
        <v>15564</v>
      </c>
      <c r="F708" t="s" s="0">
        <v>15565</v>
      </c>
      <c r="G708" t="s" s="0">
        <v>15566</v>
      </c>
      <c r="H708" t="s" s="0">
        <v>81</v>
      </c>
      <c r="I708" t="s" s="0">
        <v>82</v>
      </c>
      <c r="J708" t="s" s="0">
        <v>15567</v>
      </c>
      <c r="K708" t="s" s="0">
        <v>15568</v>
      </c>
      <c r="L708" t="s" s="0">
        <v>15569</v>
      </c>
      <c r="M708" t="s" s="0">
        <v>15570</v>
      </c>
      <c r="N708" t="s" s="0">
        <v>15571</v>
      </c>
      <c r="O708" t="s" s="0">
        <v>15572</v>
      </c>
      <c r="P708" t="s" s="0">
        <v>15573</v>
      </c>
      <c r="Q708" t="s" s="0">
        <v>87</v>
      </c>
      <c r="R708" t="s" s="0">
        <v>81</v>
      </c>
      <c r="S708" t="s" s="0">
        <v>81</v>
      </c>
      <c r="T708" t="s" s="0">
        <v>81</v>
      </c>
      <c r="U708" t="s" s="0">
        <v>81</v>
      </c>
      <c r="V708" t="s" s="0">
        <v>15574</v>
      </c>
      <c r="W708" t="s" s="0">
        <v>15575</v>
      </c>
      <c r="X708" t="s" s="0">
        <v>81</v>
      </c>
      <c r="Y708" t="s" s="0">
        <v>81</v>
      </c>
      <c r="Z708" t="s" s="0">
        <v>90</v>
      </c>
      <c r="AA708" t="s" s="0">
        <v>91</v>
      </c>
      <c r="AB708" t="s" s="0">
        <v>81</v>
      </c>
      <c r="AC708" t="s" s="0">
        <v>81</v>
      </c>
      <c r="AD708" t="s" s="0">
        <v>81</v>
      </c>
      <c r="AE708" t="s" s="0">
        <v>81</v>
      </c>
      <c r="AF708" t="s" s="0">
        <v>81</v>
      </c>
      <c r="AG708" t="s" s="0">
        <v>15576</v>
      </c>
      <c r="AH708" t="s" s="0">
        <v>15577</v>
      </c>
      <c r="AI708" t="s" s="0">
        <v>15578</v>
      </c>
      <c r="AJ708" t="s" s="0">
        <v>15579</v>
      </c>
      <c r="AK708" t="s" s="0">
        <v>81</v>
      </c>
      <c r="AL708" t="s" s="0">
        <v>508</v>
      </c>
      <c r="AM708" t="s" s="0">
        <v>77</v>
      </c>
      <c r="AN708" t="s" s="0">
        <v>77</v>
      </c>
      <c r="AO708" t="s" s="0">
        <v>77</v>
      </c>
      <c r="AP708" t="s" s="0">
        <v>77</v>
      </c>
      <c r="AQ708" t="s" s="0">
        <v>136</v>
      </c>
      <c r="AR708" t="s" s="0">
        <v>137</v>
      </c>
      <c r="AS708" t="s" s="0">
        <v>138</v>
      </c>
      <c r="AT708" t="s" s="0">
        <v>15580</v>
      </c>
      <c r="AU708" t="s" s="0">
        <v>15581</v>
      </c>
      <c r="AV708" t="s" s="0">
        <v>81</v>
      </c>
      <c r="AW708" t="s" s="0">
        <v>15582</v>
      </c>
      <c r="AX708" t="s" s="0">
        <v>15583</v>
      </c>
      <c r="AY708" t="s" s="0">
        <v>2276</v>
      </c>
      <c r="AZ708" t="s" s="0">
        <v>103</v>
      </c>
      <c r="BA708" t="s" s="0">
        <v>3761</v>
      </c>
      <c r="BB708" t="s" s="0">
        <v>81</v>
      </c>
      <c r="BC708" t="s" s="0">
        <v>81</v>
      </c>
      <c r="BD708" t="s" s="0">
        <v>81</v>
      </c>
      <c r="BE708" t="s" s="0">
        <v>81</v>
      </c>
      <c r="BF708" t="s" s="0">
        <v>81</v>
      </c>
      <c r="BG708" t="s" s="0">
        <v>81</v>
      </c>
      <c r="BH708" t="s" s="0">
        <v>81</v>
      </c>
      <c r="BI708" t="s" s="0">
        <v>15584</v>
      </c>
      <c r="BJ708" t="s" s="0">
        <v>15585</v>
      </c>
      <c r="BK708" t="s" s="1406">
        <f>HYPERLINK("http://dx.doi.org/10.1016/j.jprot.2026.105698","http://dx.doi.org/10.1016/j.jprot.2026.105698")</f>
        <v>15586</v>
      </c>
      <c r="BL708" t="s" s="0">
        <v>81</v>
      </c>
      <c r="BM708" t="s" s="0">
        <v>81</v>
      </c>
      <c r="BN708" t="s" s="0">
        <v>367</v>
      </c>
      <c r="BO708" t="s" s="0">
        <v>13879</v>
      </c>
      <c r="BP708" t="s" s="0">
        <v>6425</v>
      </c>
      <c r="BQ708" t="s" s="0">
        <v>15587</v>
      </c>
      <c r="BR708" t="s" s="0">
        <v>15588</v>
      </c>
      <c r="BS708" t="s" s="0">
        <v>15589</v>
      </c>
      <c r="BT708" t="s" s="1407">
        <f>HYPERLINK("https://www.webofscience.com/wos/woscc/full-record/WOS:001806014200001","View Record in Web of Science")</f>
        <v>114</v>
      </c>
      <c r="BU708" t="s" s="0">
        <v>81</v>
      </c>
      <c r="BV708" t="s" s="0">
        <v>81</v>
      </c>
      <c r="BW708" t="s" s="0">
        <v>81</v>
      </c>
      <c r="BX708" t="s" s="0">
        <v>116</v>
      </c>
    </row>
    <row r="709">
      <c r="A709" t="s" s="0">
        <v>77</v>
      </c>
      <c r="B709" t="s" s="0">
        <v>77</v>
      </c>
      <c r="C709" t="s" s="0">
        <v>77</v>
      </c>
      <c r="D709" t="s" s="0">
        <v>77</v>
      </c>
      <c r="E709" t="s" s="0">
        <v>15590</v>
      </c>
      <c r="F709" t="s" s="0">
        <v>15591</v>
      </c>
      <c r="G709" t="s" s="0">
        <v>15592</v>
      </c>
      <c r="H709" t="s" s="0">
        <v>81</v>
      </c>
      <c r="I709" t="s" s="0">
        <v>82</v>
      </c>
      <c r="J709" t="s" s="0">
        <v>15593</v>
      </c>
      <c r="K709" t="s" s="0">
        <v>15594</v>
      </c>
      <c r="L709" t="s" s="0">
        <v>81</v>
      </c>
      <c r="M709" t="s" s="0">
        <v>81</v>
      </c>
      <c r="N709" t="s" s="0">
        <v>81</v>
      </c>
      <c r="O709" t="s" s="0">
        <v>15595</v>
      </c>
      <c r="P709" t="s" s="0">
        <v>15596</v>
      </c>
      <c r="Q709" t="s" s="0">
        <v>87</v>
      </c>
      <c r="R709" t="s" s="0">
        <v>81</v>
      </c>
      <c r="S709" t="s" s="0">
        <v>81</v>
      </c>
      <c r="T709" t="s" s="0">
        <v>81</v>
      </c>
      <c r="U709" t="s" s="0">
        <v>81</v>
      </c>
      <c r="V709" t="s" s="0">
        <v>15597</v>
      </c>
      <c r="W709" t="s" s="0">
        <v>15598</v>
      </c>
      <c r="X709" t="s" s="0">
        <v>81</v>
      </c>
      <c r="Y709" t="s" s="0">
        <v>81</v>
      </c>
      <c r="Z709" t="s" s="0">
        <v>90</v>
      </c>
      <c r="AA709" t="s" s="0">
        <v>91</v>
      </c>
      <c r="AB709" t="s" s="0">
        <v>81</v>
      </c>
      <c r="AC709" t="s" s="0">
        <v>81</v>
      </c>
      <c r="AD709" t="s" s="0">
        <v>81</v>
      </c>
      <c r="AE709" t="s" s="0">
        <v>81</v>
      </c>
      <c r="AF709" t="s" s="0">
        <v>81</v>
      </c>
      <c r="AG709" t="s" s="0">
        <v>15599</v>
      </c>
      <c r="AH709" t="s" s="0">
        <v>15600</v>
      </c>
      <c r="AI709" t="s" s="0">
        <v>15601</v>
      </c>
      <c r="AJ709" t="s" s="0">
        <v>15602</v>
      </c>
      <c r="AK709" t="s" s="0">
        <v>81</v>
      </c>
      <c r="AL709" t="s" s="0">
        <v>295</v>
      </c>
      <c r="AM709" t="s" s="0">
        <v>97</v>
      </c>
      <c r="AN709" t="s" s="0">
        <v>97</v>
      </c>
      <c r="AO709" t="s" s="0">
        <v>77</v>
      </c>
      <c r="AP709" t="s" s="0">
        <v>156</v>
      </c>
      <c r="AQ709" t="s" s="0">
        <v>284</v>
      </c>
      <c r="AR709" t="s" s="0">
        <v>285</v>
      </c>
      <c r="AS709" t="s" s="0">
        <v>286</v>
      </c>
      <c r="AT709" t="s" s="0">
        <v>15603</v>
      </c>
      <c r="AU709" t="s" s="0">
        <v>15604</v>
      </c>
      <c r="AV709" t="s" s="0">
        <v>81</v>
      </c>
      <c r="AW709" t="s" s="0">
        <v>15605</v>
      </c>
      <c r="AX709" t="s" s="0">
        <v>15606</v>
      </c>
      <c r="AY709" t="s" s="0">
        <v>289</v>
      </c>
      <c r="AZ709" t="s" s="0">
        <v>290</v>
      </c>
      <c r="BA709" t="s" s="0">
        <v>1912</v>
      </c>
      <c r="BB709" t="s" s="0">
        <v>156</v>
      </c>
      <c r="BC709" t="s" s="0">
        <v>81</v>
      </c>
      <c r="BD709" t="s" s="0">
        <v>81</v>
      </c>
      <c r="BE709" t="s" s="0">
        <v>81</v>
      </c>
      <c r="BF709" t="s" s="0">
        <v>81</v>
      </c>
      <c r="BG709" t="s" s="0">
        <v>81</v>
      </c>
      <c r="BH709" t="s" s="0">
        <v>81</v>
      </c>
      <c r="BI709" t="s" s="0">
        <v>1837</v>
      </c>
      <c r="BJ709" t="s" s="0">
        <v>15607</v>
      </c>
      <c r="BK709" t="s" s="1408">
        <f>HYPERLINK("http://dx.doi.org/10.3390/curroncol32020073","http://dx.doi.org/10.3390/curroncol32020073")</f>
        <v>15608</v>
      </c>
      <c r="BL709" t="s" s="0">
        <v>81</v>
      </c>
      <c r="BM709" t="s" s="0">
        <v>81</v>
      </c>
      <c r="BN709" t="s" s="0">
        <v>134</v>
      </c>
      <c r="BO709" t="s" s="0">
        <v>1380</v>
      </c>
      <c r="BP709" t="s" s="0">
        <v>1380</v>
      </c>
      <c r="BQ709" t="s" s="0">
        <v>15609</v>
      </c>
      <c r="BR709" t="s" s="0">
        <v>15610</v>
      </c>
      <c r="BS709" t="s" s="0">
        <v>15611</v>
      </c>
      <c r="BT709" t="s" s="1409">
        <f>HYPERLINK("https://www.webofscience.com/wos/woscc/full-record/WOS:001429663800001","View Record in Web of Science")</f>
        <v>114</v>
      </c>
      <c r="BU709" t="s" s="0">
        <v>301</v>
      </c>
      <c r="BV709" t="s" s="0">
        <v>81</v>
      </c>
      <c r="BW709" t="s" s="0">
        <v>81</v>
      </c>
      <c r="BX709" t="s" s="0">
        <v>116</v>
      </c>
    </row>
    <row r="710">
      <c r="A710" t="s" s="0">
        <v>77</v>
      </c>
      <c r="B710" t="s" s="0">
        <v>77</v>
      </c>
      <c r="C710" t="s" s="0">
        <v>97</v>
      </c>
      <c r="D710" t="s" s="0">
        <v>77</v>
      </c>
      <c r="E710" t="s" s="0">
        <v>15612</v>
      </c>
      <c r="F710" t="s" s="0">
        <v>15613</v>
      </c>
      <c r="G710" t="s" s="0">
        <v>15614</v>
      </c>
      <c r="H710" t="s" s="0">
        <v>81</v>
      </c>
      <c r="I710" t="s" s="0">
        <v>82</v>
      </c>
      <c r="J710" t="s" s="0">
        <v>15615</v>
      </c>
      <c r="K710" t="s" s="0">
        <v>15616</v>
      </c>
      <c r="L710" t="s" s="0">
        <v>81</v>
      </c>
      <c r="M710" t="s" s="0">
        <v>81</v>
      </c>
      <c r="N710" t="s" s="0">
        <v>81</v>
      </c>
      <c r="O710" t="s" s="0">
        <v>15617</v>
      </c>
      <c r="P710" t="s" s="0">
        <v>81</v>
      </c>
      <c r="Q710" t="s" s="0">
        <v>87</v>
      </c>
      <c r="R710" t="s" s="0">
        <v>81</v>
      </c>
      <c r="S710" t="s" s="0">
        <v>81</v>
      </c>
      <c r="T710" t="s" s="0">
        <v>81</v>
      </c>
      <c r="U710" t="s" s="0">
        <v>81</v>
      </c>
      <c r="V710" t="s" s="0">
        <v>15618</v>
      </c>
      <c r="W710" t="s" s="0">
        <v>2070</v>
      </c>
      <c r="X710" t="s" s="0">
        <v>81</v>
      </c>
      <c r="Y710" t="s" s="0">
        <v>81</v>
      </c>
      <c r="Z710" t="s" s="0">
        <v>90</v>
      </c>
      <c r="AA710" t="s" s="0">
        <v>91</v>
      </c>
      <c r="AB710" t="s" s="0">
        <v>81</v>
      </c>
      <c r="AC710" t="s" s="0">
        <v>81</v>
      </c>
      <c r="AD710" t="s" s="0">
        <v>81</v>
      </c>
      <c r="AE710" t="s" s="0">
        <v>81</v>
      </c>
      <c r="AF710" t="s" s="0">
        <v>81</v>
      </c>
      <c r="AG710" t="s" s="0">
        <v>15619</v>
      </c>
      <c r="AH710" t="s" s="0">
        <v>15620</v>
      </c>
      <c r="AI710" t="s" s="0">
        <v>81</v>
      </c>
      <c r="AJ710" t="s" s="0">
        <v>81</v>
      </c>
      <c r="AK710" t="s" s="0">
        <v>81</v>
      </c>
      <c r="AL710" t="s" s="0">
        <v>914</v>
      </c>
      <c r="AM710" t="s" s="0">
        <v>97</v>
      </c>
      <c r="AN710" t="s" s="0">
        <v>156</v>
      </c>
      <c r="AO710" t="s" s="0">
        <v>97</v>
      </c>
      <c r="AP710" t="s" s="0">
        <v>175</v>
      </c>
      <c r="AQ710" t="s" s="0">
        <v>177</v>
      </c>
      <c r="AR710" t="s" s="0">
        <v>178</v>
      </c>
      <c r="AS710" t="s" s="0">
        <v>179</v>
      </c>
      <c r="AT710" t="s" s="0">
        <v>2073</v>
      </c>
      <c r="AU710" t="s" s="0">
        <v>2074</v>
      </c>
      <c r="AV710" t="s" s="0">
        <v>81</v>
      </c>
      <c r="AW710" t="s" s="0">
        <v>2075</v>
      </c>
      <c r="AX710" t="s" s="0">
        <v>2076</v>
      </c>
      <c r="AY710" t="s" s="0">
        <v>149</v>
      </c>
      <c r="AZ710" t="s" s="0">
        <v>290</v>
      </c>
      <c r="BA710" t="s" s="0">
        <v>2880</v>
      </c>
      <c r="BB710" t="s" s="0">
        <v>81</v>
      </c>
      <c r="BC710" t="s" s="0">
        <v>81</v>
      </c>
      <c r="BD710" t="s" s="0">
        <v>81</v>
      </c>
      <c r="BE710" t="s" s="0">
        <v>81</v>
      </c>
      <c r="BF710" t="s" s="0">
        <v>81</v>
      </c>
      <c r="BG710" t="s" s="0">
        <v>81</v>
      </c>
      <c r="BH710" t="s" s="0">
        <v>81</v>
      </c>
      <c r="BI710" t="s" s="0">
        <v>15621</v>
      </c>
      <c r="BJ710" t="s" s="0">
        <v>15622</v>
      </c>
      <c r="BK710" t="s" s="1410">
        <f>HYPERLINK("http://dx.doi.org/10.1016/j.bspc.2025.107910","http://dx.doi.org/10.1016/j.bspc.2025.107910")</f>
        <v>15623</v>
      </c>
      <c r="BL710" t="s" s="0">
        <v>81</v>
      </c>
      <c r="BM710" t="s" s="0">
        <v>2502</v>
      </c>
      <c r="BN710" t="s" s="0">
        <v>291</v>
      </c>
      <c r="BO710" t="s" s="0">
        <v>2082</v>
      </c>
      <c r="BP710" t="s" s="0">
        <v>1003</v>
      </c>
      <c r="BQ710" t="s" s="0">
        <v>15624</v>
      </c>
      <c r="BR710" t="s" s="0">
        <v>81</v>
      </c>
      <c r="BS710" t="s" s="0">
        <v>15625</v>
      </c>
      <c r="BT710" t="s" s="1411">
        <f>HYPERLINK("https://www.webofscience.com/wos/woscc/full-record/WOS:001479888400001","View Record in Web of Science")</f>
        <v>114</v>
      </c>
      <c r="BU710" t="s" s="0">
        <v>81</v>
      </c>
      <c r="BV710" t="s" s="0">
        <v>81</v>
      </c>
      <c r="BW710" t="s" s="0">
        <v>81</v>
      </c>
      <c r="BX710" t="s" s="0">
        <v>116</v>
      </c>
    </row>
    <row r="711">
      <c r="A711" t="s" s="0">
        <v>77</v>
      </c>
      <c r="B711" t="s" s="0">
        <v>77</v>
      </c>
      <c r="C711" t="s" s="0">
        <v>175</v>
      </c>
      <c r="D711" t="s" s="0">
        <v>77</v>
      </c>
      <c r="E711" t="s" s="0">
        <v>15626</v>
      </c>
      <c r="F711" t="s" s="0">
        <v>15627</v>
      </c>
      <c r="G711" t="s" s="0">
        <v>15628</v>
      </c>
      <c r="H711" t="s" s="0">
        <v>81</v>
      </c>
      <c r="I711" t="s" s="0">
        <v>528</v>
      </c>
      <c r="J711" t="s" s="0">
        <v>15629</v>
      </c>
      <c r="K711" t="s" s="0">
        <v>15630</v>
      </c>
      <c r="L711" t="s" s="0">
        <v>15631</v>
      </c>
      <c r="M711" t="s" s="0">
        <v>15632</v>
      </c>
      <c r="N711" t="s" s="0">
        <v>15633</v>
      </c>
      <c r="O711" t="s" s="0">
        <v>15634</v>
      </c>
      <c r="P711" t="s" s="0">
        <v>15635</v>
      </c>
      <c r="Q711" t="s" s="0">
        <v>87</v>
      </c>
      <c r="R711" t="s" s="0">
        <v>81</v>
      </c>
      <c r="S711" t="s" s="0">
        <v>81</v>
      </c>
      <c r="T711" t="s" s="0">
        <v>81</v>
      </c>
      <c r="U711" t="s" s="0">
        <v>81</v>
      </c>
      <c r="V711" t="s" s="0">
        <v>15636</v>
      </c>
      <c r="W711" t="s" s="0">
        <v>8380</v>
      </c>
      <c r="X711" t="s" s="0">
        <v>81</v>
      </c>
      <c r="Y711" t="s" s="0">
        <v>81</v>
      </c>
      <c r="Z711" t="s" s="0">
        <v>90</v>
      </c>
      <c r="AA711" t="s" s="0">
        <v>1581</v>
      </c>
      <c r="AB711" t="s" s="0">
        <v>81</v>
      </c>
      <c r="AC711" t="s" s="0">
        <v>81</v>
      </c>
      <c r="AD711" t="s" s="0">
        <v>81</v>
      </c>
      <c r="AE711" t="s" s="0">
        <v>81</v>
      </c>
      <c r="AF711" t="s" s="0">
        <v>81</v>
      </c>
      <c r="AG711" t="s" s="0">
        <v>15637</v>
      </c>
      <c r="AH711" t="s" s="0">
        <v>15638</v>
      </c>
      <c r="AI711" t="s" s="0">
        <v>81</v>
      </c>
      <c r="AJ711" t="s" s="0">
        <v>15639</v>
      </c>
      <c r="AK711" t="s" s="0">
        <v>81</v>
      </c>
      <c r="AL711" t="s" s="0">
        <v>925</v>
      </c>
      <c r="AM711" t="s" s="0">
        <v>291</v>
      </c>
      <c r="AN711" t="s" s="0">
        <v>367</v>
      </c>
      <c r="AO711" t="s" s="0">
        <v>77</v>
      </c>
      <c r="AP711" t="s" s="0">
        <v>133</v>
      </c>
      <c r="AQ711" t="s" s="0">
        <v>1654</v>
      </c>
      <c r="AR711" t="s" s="0">
        <v>1345</v>
      </c>
      <c r="AS711" t="s" s="0">
        <v>1655</v>
      </c>
      <c r="AT711" t="s" s="0">
        <v>8385</v>
      </c>
      <c r="AU711" t="s" s="0">
        <v>8386</v>
      </c>
      <c r="AV711" t="s" s="0">
        <v>81</v>
      </c>
      <c r="AW711" t="s" s="0">
        <v>8387</v>
      </c>
      <c r="AX711" t="s" s="0">
        <v>8388</v>
      </c>
      <c r="AY711" t="s" s="0">
        <v>81</v>
      </c>
      <c r="AZ711" t="s" s="0">
        <v>220</v>
      </c>
      <c r="BA711" t="s" s="0">
        <v>81</v>
      </c>
      <c r="BB711" t="s" s="0">
        <v>81</v>
      </c>
      <c r="BC711" t="s" s="0">
        <v>81</v>
      </c>
      <c r="BD711" t="s" s="0">
        <v>81</v>
      </c>
      <c r="BE711" t="s" s="0">
        <v>81</v>
      </c>
      <c r="BF711" t="s" s="0">
        <v>81</v>
      </c>
      <c r="BG711" t="s" s="0">
        <v>81</v>
      </c>
      <c r="BH711" t="s" s="0">
        <v>81</v>
      </c>
      <c r="BI711" t="s" s="0">
        <v>81</v>
      </c>
      <c r="BJ711" t="s" s="0">
        <v>15640</v>
      </c>
      <c r="BK711" t="s" s="1412">
        <f>HYPERLINK("http://dx.doi.org/10.1093/jamia/ocac221","http://dx.doi.org/10.1093/jamia/ocac221")</f>
        <v>15641</v>
      </c>
      <c r="BL711" t="s" s="0">
        <v>81</v>
      </c>
      <c r="BM711" t="s" s="0">
        <v>219</v>
      </c>
      <c r="BN711" t="s" s="0">
        <v>234</v>
      </c>
      <c r="BO711" t="s" s="0">
        <v>8391</v>
      </c>
      <c r="BP711" t="s" s="0">
        <v>8392</v>
      </c>
      <c r="BQ711" t="s" s="0">
        <v>15642</v>
      </c>
      <c r="BR711" t="s" s="0">
        <v>15643</v>
      </c>
      <c r="BS711" t="s" s="0">
        <v>15644</v>
      </c>
      <c r="BT711" t="s" s="1413">
        <f>HYPERLINK("https://www.webofscience.com/wos/woscc/full-record/WOS:000912331000001","View Record in Web of Science")</f>
        <v>114</v>
      </c>
      <c r="BU711" t="s" s="0">
        <v>4914</v>
      </c>
      <c r="BV711" t="s" s="0">
        <v>81</v>
      </c>
      <c r="BW711" t="s" s="0">
        <v>81</v>
      </c>
      <c r="BX711" t="s" s="0">
        <v>116</v>
      </c>
    </row>
    <row r="712">
      <c r="A712" t="s" s="0">
        <v>77</v>
      </c>
      <c r="B712" t="s" s="0">
        <v>77</v>
      </c>
      <c r="C712" t="s" s="0">
        <v>97</v>
      </c>
      <c r="D712" t="s" s="0">
        <v>77</v>
      </c>
      <c r="E712" t="s" s="0">
        <v>15645</v>
      </c>
      <c r="F712" t="s" s="0">
        <v>15646</v>
      </c>
      <c r="G712" t="s" s="0">
        <v>15647</v>
      </c>
      <c r="H712" t="s" s="0">
        <v>81</v>
      </c>
      <c r="I712" t="s" s="0">
        <v>82</v>
      </c>
      <c r="J712" t="s" s="0">
        <v>15648</v>
      </c>
      <c r="K712" t="s" s="0">
        <v>15649</v>
      </c>
      <c r="L712" t="s" s="0">
        <v>81</v>
      </c>
      <c r="M712" t="s" s="0">
        <v>81</v>
      </c>
      <c r="N712" t="s" s="0">
        <v>81</v>
      </c>
      <c r="O712" t="s" s="0">
        <v>15650</v>
      </c>
      <c r="P712" t="s" s="0">
        <v>15651</v>
      </c>
      <c r="Q712" t="s" s="0">
        <v>87</v>
      </c>
      <c r="R712" t="s" s="0">
        <v>81</v>
      </c>
      <c r="S712" t="s" s="0">
        <v>81</v>
      </c>
      <c r="T712" t="s" s="0">
        <v>81</v>
      </c>
      <c r="U712" t="s" s="0">
        <v>81</v>
      </c>
      <c r="V712" t="s" s="0">
        <v>15652</v>
      </c>
      <c r="W712" t="s" s="0">
        <v>910</v>
      </c>
      <c r="X712" t="s" s="0">
        <v>81</v>
      </c>
      <c r="Y712" t="s" s="0">
        <v>81</v>
      </c>
      <c r="Z712" t="s" s="0">
        <v>90</v>
      </c>
      <c r="AA712" t="s" s="0">
        <v>91</v>
      </c>
      <c r="AB712" t="s" s="0">
        <v>81</v>
      </c>
      <c r="AC712" t="s" s="0">
        <v>81</v>
      </c>
      <c r="AD712" t="s" s="0">
        <v>81</v>
      </c>
      <c r="AE712" t="s" s="0">
        <v>81</v>
      </c>
      <c r="AF712" t="s" s="0">
        <v>81</v>
      </c>
      <c r="AG712" t="s" s="0">
        <v>15653</v>
      </c>
      <c r="AH712" t="s" s="0">
        <v>81</v>
      </c>
      <c r="AI712" t="s" s="0">
        <v>15654</v>
      </c>
      <c r="AJ712" t="s" s="0">
        <v>15655</v>
      </c>
      <c r="AK712" t="s" s="0">
        <v>81</v>
      </c>
      <c r="AL712" t="s" s="0">
        <v>544</v>
      </c>
      <c r="AM712" t="s" s="0">
        <v>316</v>
      </c>
      <c r="AN712" t="s" s="0">
        <v>316</v>
      </c>
      <c r="AO712" t="s" s="0">
        <v>77</v>
      </c>
      <c r="AP712" t="s" s="0">
        <v>97</v>
      </c>
      <c r="AQ712" t="s" s="0">
        <v>915</v>
      </c>
      <c r="AR712" t="s" s="0">
        <v>916</v>
      </c>
      <c r="AS712" t="s" s="0">
        <v>917</v>
      </c>
      <c r="AT712" t="s" s="0">
        <v>918</v>
      </c>
      <c r="AU712" t="s" s="0">
        <v>81</v>
      </c>
      <c r="AV712" t="s" s="0">
        <v>81</v>
      </c>
      <c r="AW712" t="s" s="0">
        <v>919</v>
      </c>
      <c r="AX712" t="s" s="0">
        <v>920</v>
      </c>
      <c r="AY712" t="s" s="0">
        <v>1210</v>
      </c>
      <c r="AZ712" t="s" s="0">
        <v>290</v>
      </c>
      <c r="BA712" t="s" s="0">
        <v>291</v>
      </c>
      <c r="BB712" t="s" s="0">
        <v>97</v>
      </c>
      <c r="BC712" t="s" s="0">
        <v>81</v>
      </c>
      <c r="BD712" t="s" s="0">
        <v>81</v>
      </c>
      <c r="BE712" t="s" s="0">
        <v>81</v>
      </c>
      <c r="BF712" t="s" s="0">
        <v>81</v>
      </c>
      <c r="BG712" t="s" s="0">
        <v>81</v>
      </c>
      <c r="BH712" t="s" s="0">
        <v>81</v>
      </c>
      <c r="BI712" t="s" s="0">
        <v>15656</v>
      </c>
      <c r="BJ712" t="s" s="0">
        <v>15657</v>
      </c>
      <c r="BK712" t="s" s="1414">
        <f>HYPERLINK("http://dx.doi.org/10.1038/s41598-025-26051-8","http://dx.doi.org/10.1038/s41598-025-26051-8")</f>
        <v>15658</v>
      </c>
      <c r="BL712" t="s" s="0">
        <v>81</v>
      </c>
      <c r="BM712" t="s" s="0">
        <v>81</v>
      </c>
      <c r="BN712" t="s" s="0">
        <v>671</v>
      </c>
      <c r="BO712" t="s" s="0">
        <v>926</v>
      </c>
      <c r="BP712" t="s" s="0">
        <v>927</v>
      </c>
      <c r="BQ712" t="s" s="0">
        <v>15659</v>
      </c>
      <c r="BR712" t="s" s="0">
        <v>15660</v>
      </c>
      <c r="BS712" t="s" s="0">
        <v>15661</v>
      </c>
      <c r="BT712" t="s" s="1415">
        <f>HYPERLINK("https://www.webofscience.com/wos/woscc/full-record/WOS:001611521500033","View Record in Web of Science")</f>
        <v>114</v>
      </c>
      <c r="BU712" t="s" s="0">
        <v>301</v>
      </c>
      <c r="BV712" t="s" s="0">
        <v>81</v>
      </c>
      <c r="BW712" t="s" s="0">
        <v>81</v>
      </c>
      <c r="BX712" t="s" s="0">
        <v>116</v>
      </c>
    </row>
    <row r="713">
      <c r="A713" t="s" s="0">
        <v>77</v>
      </c>
      <c r="B713" t="s" s="0">
        <v>77</v>
      </c>
      <c r="C713" t="s" s="0">
        <v>77</v>
      </c>
      <c r="D713" t="s" s="0">
        <v>77</v>
      </c>
      <c r="E713" t="s" s="0">
        <v>15662</v>
      </c>
      <c r="F713" t="s" s="0">
        <v>15663</v>
      </c>
      <c r="G713" t="s" s="0">
        <v>15664</v>
      </c>
      <c r="H713" t="s" s="0">
        <v>81</v>
      </c>
      <c r="I713" t="s" s="0">
        <v>589</v>
      </c>
      <c r="J713" t="s" s="0">
        <v>15665</v>
      </c>
      <c r="K713" t="s" s="0">
        <v>15666</v>
      </c>
      <c r="L713" t="s" s="0">
        <v>15667</v>
      </c>
      <c r="M713" t="s" s="0">
        <v>15667</v>
      </c>
      <c r="N713" t="s" s="0">
        <v>15668</v>
      </c>
      <c r="O713" t="s" s="0">
        <v>15669</v>
      </c>
      <c r="P713" t="s" s="0">
        <v>15670</v>
      </c>
      <c r="Q713" t="s" s="0">
        <v>87</v>
      </c>
      <c r="R713" t="s" s="0">
        <v>81</v>
      </c>
      <c r="S713" t="s" s="0">
        <v>81</v>
      </c>
      <c r="T713" t="s" s="0">
        <v>81</v>
      </c>
      <c r="U713" t="s" s="0">
        <v>81</v>
      </c>
      <c r="V713" t="s" s="0">
        <v>15671</v>
      </c>
      <c r="W713" t="s" s="0">
        <v>5957</v>
      </c>
      <c r="X713" t="s" s="0">
        <v>81</v>
      </c>
      <c r="Y713" t="s" s="0">
        <v>81</v>
      </c>
      <c r="Z713" t="s" s="0">
        <v>90</v>
      </c>
      <c r="AA713" t="s" s="0">
        <v>91</v>
      </c>
      <c r="AB713" t="s" s="0">
        <v>81</v>
      </c>
      <c r="AC713" t="s" s="0">
        <v>81</v>
      </c>
      <c r="AD713" t="s" s="0">
        <v>81</v>
      </c>
      <c r="AE713" t="s" s="0">
        <v>81</v>
      </c>
      <c r="AF713" t="s" s="0">
        <v>81</v>
      </c>
      <c r="AG713" t="s" s="0">
        <v>15672</v>
      </c>
      <c r="AH713" t="s" s="0">
        <v>81</v>
      </c>
      <c r="AI713" t="s" s="0">
        <v>15673</v>
      </c>
      <c r="AJ713" t="s" s="0">
        <v>81</v>
      </c>
      <c r="AK713" t="s" s="0">
        <v>81</v>
      </c>
      <c r="AL713" t="s" s="0">
        <v>1254</v>
      </c>
      <c r="AM713" t="s" s="0">
        <v>77</v>
      </c>
      <c r="AN713" t="s" s="0">
        <v>77</v>
      </c>
      <c r="AO713" t="s" s="0">
        <v>77</v>
      </c>
      <c r="AP713" t="s" s="0">
        <v>77</v>
      </c>
      <c r="AQ713" t="s" s="0">
        <v>136</v>
      </c>
      <c r="AR713" t="s" s="0">
        <v>137</v>
      </c>
      <c r="AS713" t="s" s="0">
        <v>138</v>
      </c>
      <c r="AT713" t="s" s="0">
        <v>5961</v>
      </c>
      <c r="AU713" t="s" s="0">
        <v>5962</v>
      </c>
      <c r="AV713" t="s" s="0">
        <v>81</v>
      </c>
      <c r="AW713" t="s" s="0">
        <v>5963</v>
      </c>
      <c r="AX713" t="s" s="0">
        <v>5964</v>
      </c>
      <c r="AY713" t="s" s="0">
        <v>3366</v>
      </c>
      <c r="AZ713" t="s" s="0">
        <v>103</v>
      </c>
      <c r="BA713" t="s" s="0">
        <v>15674</v>
      </c>
      <c r="BB713" t="s" s="0">
        <v>81</v>
      </c>
      <c r="BC713" t="s" s="0">
        <v>81</v>
      </c>
      <c r="BD713" t="s" s="0">
        <v>81</v>
      </c>
      <c r="BE713" t="s" s="0">
        <v>81</v>
      </c>
      <c r="BF713" t="s" s="0">
        <v>81</v>
      </c>
      <c r="BG713" t="s" s="0">
        <v>81</v>
      </c>
      <c r="BH713" t="s" s="0">
        <v>81</v>
      </c>
      <c r="BI713" t="s" s="0">
        <v>15675</v>
      </c>
      <c r="BJ713" t="s" s="0">
        <v>15676</v>
      </c>
      <c r="BK713" t="s" s="1416">
        <f>HYPERLINK("http://dx.doi.org/10.1016/j.actpsy.2026.107081","http://dx.doi.org/10.1016/j.actpsy.2026.107081")</f>
        <v>15677</v>
      </c>
      <c r="BL713" t="s" s="0">
        <v>81</v>
      </c>
      <c r="BM713" t="s" s="0">
        <v>675</v>
      </c>
      <c r="BN713" t="s" s="0">
        <v>291</v>
      </c>
      <c r="BO713" t="s" s="0">
        <v>5968</v>
      </c>
      <c r="BP713" t="s" s="0">
        <v>2785</v>
      </c>
      <c r="BQ713" t="s" s="0">
        <v>15678</v>
      </c>
      <c r="BR713" t="s" s="0">
        <v>15679</v>
      </c>
      <c r="BS713" t="s" s="0">
        <v>15680</v>
      </c>
      <c r="BT713" t="s" s="1417">
        <f>HYPERLINK("https://www.webofscience.com/wos/woscc/full-record/WOS:001791537100001","View Record in Web of Science")</f>
        <v>114</v>
      </c>
      <c r="BU713" t="s" s="0">
        <v>301</v>
      </c>
      <c r="BV713" t="s" s="0">
        <v>81</v>
      </c>
      <c r="BW713" t="s" s="0">
        <v>81</v>
      </c>
      <c r="BX713" t="s" s="0">
        <v>116</v>
      </c>
    </row>
    <row r="714">
      <c r="A714" t="s" s="0">
        <v>77</v>
      </c>
      <c r="B714" t="s" s="0">
        <v>77</v>
      </c>
      <c r="C714" t="s" s="0">
        <v>77</v>
      </c>
      <c r="D714" t="s" s="0">
        <v>77</v>
      </c>
      <c r="E714" t="s" s="0">
        <v>15681</v>
      </c>
      <c r="F714" t="s" s="0">
        <v>15682</v>
      </c>
      <c r="G714" t="s" s="0">
        <v>15683</v>
      </c>
      <c r="H714" t="s" s="0">
        <v>81</v>
      </c>
      <c r="I714" t="s" s="0">
        <v>238</v>
      </c>
      <c r="J714" t="s" s="0">
        <v>15684</v>
      </c>
      <c r="K714" t="s" s="0">
        <v>15685</v>
      </c>
      <c r="L714" t="s" s="0">
        <v>81</v>
      </c>
      <c r="M714" t="s" s="0">
        <v>81</v>
      </c>
      <c r="N714" t="s" s="0">
        <v>81</v>
      </c>
      <c r="O714" t="s" s="0">
        <v>15686</v>
      </c>
      <c r="P714" t="s" s="0">
        <v>15687</v>
      </c>
      <c r="Q714" t="s" s="0">
        <v>87</v>
      </c>
      <c r="R714" t="s" s="0">
        <v>81</v>
      </c>
      <c r="S714" t="s" s="0">
        <v>81</v>
      </c>
      <c r="T714" t="s" s="0">
        <v>81</v>
      </c>
      <c r="U714" t="s" s="0">
        <v>81</v>
      </c>
      <c r="V714" t="s" s="0">
        <v>15688</v>
      </c>
      <c r="W714" t="s" s="0">
        <v>15689</v>
      </c>
      <c r="X714" t="s" s="0">
        <v>81</v>
      </c>
      <c r="Y714" t="s" s="0">
        <v>81</v>
      </c>
      <c r="Z714" t="s" s="0">
        <v>90</v>
      </c>
      <c r="AA714" t="s" s="0">
        <v>91</v>
      </c>
      <c r="AB714" t="s" s="0">
        <v>81</v>
      </c>
      <c r="AC714" t="s" s="0">
        <v>81</v>
      </c>
      <c r="AD714" t="s" s="0">
        <v>81</v>
      </c>
      <c r="AE714" t="s" s="0">
        <v>81</v>
      </c>
      <c r="AF714" t="s" s="0">
        <v>81</v>
      </c>
      <c r="AG714" t="s" s="0">
        <v>15690</v>
      </c>
      <c r="AH714" t="s" s="0">
        <v>15691</v>
      </c>
      <c r="AI714" t="s" s="0">
        <v>15692</v>
      </c>
      <c r="AJ714" t="s" s="0">
        <v>81</v>
      </c>
      <c r="AK714" t="s" s="0">
        <v>81</v>
      </c>
      <c r="AL714" t="s" s="0">
        <v>890</v>
      </c>
      <c r="AM714" t="s" s="0">
        <v>77</v>
      </c>
      <c r="AN714" t="s" s="0">
        <v>77</v>
      </c>
      <c r="AO714" t="s" s="0">
        <v>156</v>
      </c>
      <c r="AP714" t="s" s="0">
        <v>156</v>
      </c>
      <c r="AQ714" t="s" s="0">
        <v>15693</v>
      </c>
      <c r="AR714" t="s" s="0">
        <v>15694</v>
      </c>
      <c r="AS714" t="s" s="0">
        <v>15695</v>
      </c>
      <c r="AT714" t="s" s="0">
        <v>15696</v>
      </c>
      <c r="AU714" t="s" s="0">
        <v>15697</v>
      </c>
      <c r="AV714" t="s" s="0">
        <v>81</v>
      </c>
      <c r="AW714" t="s" s="0">
        <v>15698</v>
      </c>
      <c r="AX714" t="s" s="0">
        <v>15699</v>
      </c>
      <c r="AY714" t="s" s="0">
        <v>143</v>
      </c>
      <c r="AZ714" t="s" s="0">
        <v>103</v>
      </c>
      <c r="BA714" t="s" s="0">
        <v>222</v>
      </c>
      <c r="BB714" t="s" s="0">
        <v>97</v>
      </c>
      <c r="BC714" t="s" s="0">
        <v>81</v>
      </c>
      <c r="BD714" t="s" s="0">
        <v>81</v>
      </c>
      <c r="BE714" t="s" s="0">
        <v>81</v>
      </c>
      <c r="BF714" t="s" s="0">
        <v>81</v>
      </c>
      <c r="BG714" t="s" s="0">
        <v>15700</v>
      </c>
      <c r="BH714" t="s" s="0">
        <v>465</v>
      </c>
      <c r="BI714" t="s" s="0">
        <v>81</v>
      </c>
      <c r="BJ714" t="s" s="0">
        <v>15701</v>
      </c>
      <c r="BK714" t="s" s="1418">
        <f>HYPERLINK("http://dx.doi.org/10.70594/brain/17.1/26","http://dx.doi.org/10.70594/brain/17.1/26")</f>
        <v>15702</v>
      </c>
      <c r="BL714" t="s" s="0">
        <v>81</v>
      </c>
      <c r="BM714" t="s" s="0">
        <v>81</v>
      </c>
      <c r="BN714" t="s" s="0">
        <v>367</v>
      </c>
      <c r="BO714" t="s" s="0">
        <v>11487</v>
      </c>
      <c r="BP714" t="s" s="0">
        <v>2504</v>
      </c>
      <c r="BQ714" t="s" s="0">
        <v>15703</v>
      </c>
      <c r="BR714" t="s" s="0">
        <v>81</v>
      </c>
      <c r="BS714" t="s" s="0">
        <v>15704</v>
      </c>
      <c r="BT714" t="s" s="1419">
        <f>HYPERLINK("https://www.webofscience.com/wos/woscc/full-record/WOS:001737280100025","View Record in Web of Science")</f>
        <v>114</v>
      </c>
      <c r="BU714" t="s" s="0">
        <v>115</v>
      </c>
      <c r="BV714" t="s" s="0">
        <v>81</v>
      </c>
      <c r="BW714" t="s" s="0">
        <v>81</v>
      </c>
      <c r="BX714" t="s" s="0">
        <v>116</v>
      </c>
    </row>
    <row r="715">
      <c r="A715" t="s" s="0">
        <v>77</v>
      </c>
      <c r="B715" t="s" s="0">
        <v>77</v>
      </c>
      <c r="C715" t="s" s="0">
        <v>77</v>
      </c>
      <c r="D715" t="s" s="0">
        <v>77</v>
      </c>
      <c r="E715" t="s" s="0">
        <v>15705</v>
      </c>
      <c r="F715" t="s" s="0">
        <v>15706</v>
      </c>
      <c r="G715" t="s" s="0">
        <v>15707</v>
      </c>
      <c r="H715" t="s" s="0">
        <v>81</v>
      </c>
      <c r="I715" t="s" s="0">
        <v>82</v>
      </c>
      <c r="J715" t="s" s="0">
        <v>15708</v>
      </c>
      <c r="K715" t="s" s="0">
        <v>15709</v>
      </c>
      <c r="L715" t="s" s="0">
        <v>15710</v>
      </c>
      <c r="M715" t="s" s="0">
        <v>15711</v>
      </c>
      <c r="N715" t="s" s="0">
        <v>15712</v>
      </c>
      <c r="O715" t="s" s="0">
        <v>15713</v>
      </c>
      <c r="P715" t="s" s="0">
        <v>15714</v>
      </c>
      <c r="Q715" t="s" s="0">
        <v>87</v>
      </c>
      <c r="R715" t="s" s="0">
        <v>81</v>
      </c>
      <c r="S715" t="s" s="0">
        <v>81</v>
      </c>
      <c r="T715" t="s" s="0">
        <v>81</v>
      </c>
      <c r="U715" t="s" s="0">
        <v>81</v>
      </c>
      <c r="V715" t="s" s="0">
        <v>15715</v>
      </c>
      <c r="W715" t="s" s="0">
        <v>15716</v>
      </c>
      <c r="X715" t="s" s="0">
        <v>81</v>
      </c>
      <c r="Y715" t="s" s="0">
        <v>81</v>
      </c>
      <c r="Z715" t="s" s="0">
        <v>90</v>
      </c>
      <c r="AA715" t="s" s="0">
        <v>91</v>
      </c>
      <c r="AB715" t="s" s="0">
        <v>81</v>
      </c>
      <c r="AC715" t="s" s="0">
        <v>81</v>
      </c>
      <c r="AD715" t="s" s="0">
        <v>81</v>
      </c>
      <c r="AE715" t="s" s="0">
        <v>81</v>
      </c>
      <c r="AF715" t="s" s="0">
        <v>81</v>
      </c>
      <c r="AG715" t="s" s="0">
        <v>15717</v>
      </c>
      <c r="AH715" t="s" s="0">
        <v>15718</v>
      </c>
      <c r="AI715" t="s" s="0">
        <v>15719</v>
      </c>
      <c r="AJ715" t="s" s="0">
        <v>15720</v>
      </c>
      <c r="AK715" t="s" s="0">
        <v>81</v>
      </c>
      <c r="AL715" t="s" s="0">
        <v>343</v>
      </c>
      <c r="AM715" t="s" s="0">
        <v>97</v>
      </c>
      <c r="AN715" t="s" s="0">
        <v>97</v>
      </c>
      <c r="AO715" t="s" s="0">
        <v>97</v>
      </c>
      <c r="AP715" t="s" s="0">
        <v>175</v>
      </c>
      <c r="AQ715" t="s" s="0">
        <v>428</v>
      </c>
      <c r="AR715" t="s" s="0">
        <v>429</v>
      </c>
      <c r="AS715" t="s" s="0">
        <v>430</v>
      </c>
      <c r="AT715" t="s" s="0">
        <v>15721</v>
      </c>
      <c r="AU715" t="s" s="0">
        <v>15722</v>
      </c>
      <c r="AV715" t="s" s="0">
        <v>81</v>
      </c>
      <c r="AW715" t="s" s="0">
        <v>15723</v>
      </c>
      <c r="AX715" t="s" s="0">
        <v>15724</v>
      </c>
      <c r="AY715" t="s" s="0">
        <v>1940</v>
      </c>
      <c r="AZ715" t="s" s="0">
        <v>103</v>
      </c>
      <c r="BA715" t="s" s="0">
        <v>2302</v>
      </c>
      <c r="BB715" t="s" s="0">
        <v>81</v>
      </c>
      <c r="BC715" t="s" s="0">
        <v>81</v>
      </c>
      <c r="BD715" t="s" s="0">
        <v>81</v>
      </c>
      <c r="BE715" t="s" s="0">
        <v>81</v>
      </c>
      <c r="BF715" t="s" s="0">
        <v>81</v>
      </c>
      <c r="BG715" t="s" s="0">
        <v>97</v>
      </c>
      <c r="BH715" t="s" s="0">
        <v>134</v>
      </c>
      <c r="BI715" t="s" s="0">
        <v>81</v>
      </c>
      <c r="BJ715" t="s" s="0">
        <v>15725</v>
      </c>
      <c r="BK715" t="s" s="1420">
        <f>HYPERLINK("http://dx.doi.org/10.1016/j.annepidem.2025.11.005","http://dx.doi.org/10.1016/j.annepidem.2025.11.005")</f>
        <v>15726</v>
      </c>
      <c r="BL715" t="s" s="0">
        <v>81</v>
      </c>
      <c r="BM715" t="s" s="0">
        <v>1743</v>
      </c>
      <c r="BN715" t="s" s="0">
        <v>134</v>
      </c>
      <c r="BO715" t="s" s="0">
        <v>850</v>
      </c>
      <c r="BP715" t="s" s="0">
        <v>850</v>
      </c>
      <c r="BQ715" t="s" s="0">
        <v>15727</v>
      </c>
      <c r="BR715" t="s" s="0">
        <v>15728</v>
      </c>
      <c r="BS715" t="s" s="0">
        <v>15729</v>
      </c>
      <c r="BT715" t="s" s="1421">
        <f>HYPERLINK("https://www.webofscience.com/wos/woscc/full-record/WOS:001632071100001","View Record in Web of Science")</f>
        <v>114</v>
      </c>
      <c r="BU715" t="s" s="0">
        <v>155</v>
      </c>
      <c r="BV715" t="s" s="0">
        <v>81</v>
      </c>
      <c r="BW715" t="s" s="0">
        <v>81</v>
      </c>
      <c r="BX715" t="s" s="0">
        <v>116</v>
      </c>
    </row>
    <row r="716">
      <c r="A716" t="s" s="0">
        <v>77</v>
      </c>
      <c r="B716" t="s" s="0">
        <v>77</v>
      </c>
      <c r="C716" t="s" s="0">
        <v>77</v>
      </c>
      <c r="D716" t="s" s="0">
        <v>77</v>
      </c>
      <c r="E716" t="s" s="0">
        <v>15730</v>
      </c>
      <c r="F716" t="s" s="0">
        <v>15731</v>
      </c>
      <c r="G716" t="s" s="0">
        <v>15732</v>
      </c>
      <c r="H716" t="s" s="0">
        <v>81</v>
      </c>
      <c r="I716" t="s" s="0">
        <v>238</v>
      </c>
      <c r="J716" t="s" s="0">
        <v>15733</v>
      </c>
      <c r="K716" t="s" s="0">
        <v>15734</v>
      </c>
      <c r="L716" t="s" s="0">
        <v>15735</v>
      </c>
      <c r="M716" t="s" s="0">
        <v>15736</v>
      </c>
      <c r="N716" t="s" s="0">
        <v>15737</v>
      </c>
      <c r="O716" t="s" s="0">
        <v>15738</v>
      </c>
      <c r="P716" t="s" s="0">
        <v>15739</v>
      </c>
      <c r="Q716" t="s" s="0">
        <v>87</v>
      </c>
      <c r="R716" t="s" s="0">
        <v>81</v>
      </c>
      <c r="S716" t="s" s="0">
        <v>81</v>
      </c>
      <c r="T716" t="s" s="0">
        <v>81</v>
      </c>
      <c r="U716" t="s" s="0">
        <v>81</v>
      </c>
      <c r="V716" t="s" s="0">
        <v>15740</v>
      </c>
      <c r="W716" t="s" s="0">
        <v>1416</v>
      </c>
      <c r="X716" t="s" s="0">
        <v>81</v>
      </c>
      <c r="Y716" t="s" s="0">
        <v>81</v>
      </c>
      <c r="Z716" t="s" s="0">
        <v>90</v>
      </c>
      <c r="AA716" t="s" s="0">
        <v>91</v>
      </c>
      <c r="AB716" t="s" s="0">
        <v>81</v>
      </c>
      <c r="AC716" t="s" s="0">
        <v>81</v>
      </c>
      <c r="AD716" t="s" s="0">
        <v>81</v>
      </c>
      <c r="AE716" t="s" s="0">
        <v>81</v>
      </c>
      <c r="AF716" t="s" s="0">
        <v>81</v>
      </c>
      <c r="AG716" t="s" s="0">
        <v>15741</v>
      </c>
      <c r="AH716" t="s" s="0">
        <v>81</v>
      </c>
      <c r="AI716" t="s" s="0">
        <v>15742</v>
      </c>
      <c r="AJ716" t="s" s="0">
        <v>15743</v>
      </c>
      <c r="AK716" t="s" s="0">
        <v>81</v>
      </c>
      <c r="AL716" t="s" s="0">
        <v>664</v>
      </c>
      <c r="AM716" t="s" s="0">
        <v>196</v>
      </c>
      <c r="AN716" t="s" s="0">
        <v>196</v>
      </c>
      <c r="AO716" t="s" s="0">
        <v>196</v>
      </c>
      <c r="AP716" t="s" s="0">
        <v>196</v>
      </c>
      <c r="AQ716" t="s" s="0">
        <v>368</v>
      </c>
      <c r="AR716" t="s" s="0">
        <v>369</v>
      </c>
      <c r="AS716" t="s" s="0">
        <v>370</v>
      </c>
      <c r="AT716" t="s" s="0">
        <v>81</v>
      </c>
      <c r="AU716" t="s" s="0">
        <v>1421</v>
      </c>
      <c r="AV716" t="s" s="0">
        <v>81</v>
      </c>
      <c r="AW716" t="s" s="0">
        <v>1422</v>
      </c>
      <c r="AX716" t="s" s="0">
        <v>1423</v>
      </c>
      <c r="AY716" t="s" s="0">
        <v>8704</v>
      </c>
      <c r="AZ716" t="s" s="0">
        <v>103</v>
      </c>
      <c r="BA716" t="s" s="0">
        <v>381</v>
      </c>
      <c r="BB716" t="s" s="0">
        <v>81</v>
      </c>
      <c r="BC716" t="s" s="0">
        <v>81</v>
      </c>
      <c r="BD716" t="s" s="0">
        <v>81</v>
      </c>
      <c r="BE716" t="s" s="0">
        <v>81</v>
      </c>
      <c r="BF716" t="s" s="0">
        <v>81</v>
      </c>
      <c r="BG716" t="s" s="0">
        <v>81</v>
      </c>
      <c r="BH716" t="s" s="0">
        <v>81</v>
      </c>
      <c r="BI716" t="s" s="0">
        <v>15744</v>
      </c>
      <c r="BJ716" t="s" s="0">
        <v>15745</v>
      </c>
      <c r="BK716" t="s" s="1422">
        <f>HYPERLINK("http://dx.doi.org/10.3389/fdgth.2026.1780700","http://dx.doi.org/10.3389/fdgth.2026.1780700")</f>
        <v>15746</v>
      </c>
      <c r="BL716" t="s" s="0">
        <v>81</v>
      </c>
      <c r="BM716" t="s" s="0">
        <v>81</v>
      </c>
      <c r="BN716" t="s" s="0">
        <v>486</v>
      </c>
      <c r="BO716" t="s" s="0">
        <v>792</v>
      </c>
      <c r="BP716" t="s" s="0">
        <v>792</v>
      </c>
      <c r="BQ716" t="s" s="0">
        <v>15747</v>
      </c>
      <c r="BR716" t="s" s="0">
        <v>15748</v>
      </c>
      <c r="BS716" t="s" s="0">
        <v>15749</v>
      </c>
      <c r="BT716" t="s" s="1423">
        <f>HYPERLINK("https://www.webofscience.com/wos/woscc/full-record/WOS:001722902500001","View Record in Web of Science")</f>
        <v>114</v>
      </c>
      <c r="BU716" t="s" s="0">
        <v>270</v>
      </c>
      <c r="BV716" t="s" s="0">
        <v>81</v>
      </c>
      <c r="BW716" t="s" s="0">
        <v>81</v>
      </c>
      <c r="BX716" t="s" s="0">
        <v>116</v>
      </c>
    </row>
    <row r="717">
      <c r="A717" t="s" s="0">
        <v>77</v>
      </c>
      <c r="B717" t="s" s="0">
        <v>77</v>
      </c>
      <c r="C717" t="s" s="0">
        <v>77</v>
      </c>
      <c r="D717" t="s" s="0">
        <v>77</v>
      </c>
      <c r="E717" t="s" s="0">
        <v>15750</v>
      </c>
      <c r="F717" t="s" s="0">
        <v>15751</v>
      </c>
      <c r="G717" t="s" s="0">
        <v>15752</v>
      </c>
      <c r="H717" t="s" s="0">
        <v>81</v>
      </c>
      <c r="I717" t="s" s="0">
        <v>589</v>
      </c>
      <c r="J717" t="s" s="0">
        <v>15753</v>
      </c>
      <c r="K717" t="s" s="0">
        <v>15754</v>
      </c>
      <c r="L717" t="s" s="0">
        <v>15755</v>
      </c>
      <c r="M717" t="s" s="0">
        <v>7157</v>
      </c>
      <c r="N717" t="s" s="0">
        <v>15756</v>
      </c>
      <c r="O717" t="s" s="0">
        <v>15757</v>
      </c>
      <c r="P717" t="s" s="0">
        <v>15758</v>
      </c>
      <c r="Q717" t="s" s="0">
        <v>87</v>
      </c>
      <c r="R717" t="s" s="0">
        <v>81</v>
      </c>
      <c r="S717" t="s" s="0">
        <v>81</v>
      </c>
      <c r="T717" t="s" s="0">
        <v>81</v>
      </c>
      <c r="U717" t="s" s="0">
        <v>81</v>
      </c>
      <c r="V717" t="s" s="0">
        <v>15759</v>
      </c>
      <c r="W717" t="s" s="0">
        <v>2773</v>
      </c>
      <c r="X717" t="s" s="0">
        <v>81</v>
      </c>
      <c r="Y717" t="s" s="0">
        <v>81</v>
      </c>
      <c r="Z717" t="s" s="0">
        <v>90</v>
      </c>
      <c r="AA717" t="s" s="0">
        <v>91</v>
      </c>
      <c r="AB717" t="s" s="0">
        <v>81</v>
      </c>
      <c r="AC717" t="s" s="0">
        <v>81</v>
      </c>
      <c r="AD717" t="s" s="0">
        <v>81</v>
      </c>
      <c r="AE717" t="s" s="0">
        <v>81</v>
      </c>
      <c r="AF717" t="s" s="0">
        <v>81</v>
      </c>
      <c r="AG717" t="s" s="0">
        <v>15760</v>
      </c>
      <c r="AH717" t="s" s="0">
        <v>15761</v>
      </c>
      <c r="AI717" t="s" s="0">
        <v>15762</v>
      </c>
      <c r="AJ717" t="s" s="0">
        <v>81</v>
      </c>
      <c r="AK717" t="s" s="0">
        <v>81</v>
      </c>
      <c r="AL717" t="s" s="0">
        <v>1561</v>
      </c>
      <c r="AM717" t="s" s="0">
        <v>97</v>
      </c>
      <c r="AN717" t="s" s="0">
        <v>97</v>
      </c>
      <c r="AO717" t="s" s="0">
        <v>367</v>
      </c>
      <c r="AP717" t="s" s="0">
        <v>542</v>
      </c>
      <c r="AQ717" t="s" s="0">
        <v>368</v>
      </c>
      <c r="AR717" t="s" s="0">
        <v>369</v>
      </c>
      <c r="AS717" t="s" s="0">
        <v>370</v>
      </c>
      <c r="AT717" t="s" s="0">
        <v>2777</v>
      </c>
      <c r="AU717" t="s" s="0">
        <v>81</v>
      </c>
      <c r="AV717" t="s" s="0">
        <v>81</v>
      </c>
      <c r="AW717" t="s" s="0">
        <v>2778</v>
      </c>
      <c r="AX717" t="s" s="0">
        <v>2779</v>
      </c>
      <c r="AY717" t="s" s="0">
        <v>15763</v>
      </c>
      <c r="AZ717" t="s" s="0">
        <v>290</v>
      </c>
      <c r="BA717" t="s" s="0">
        <v>925</v>
      </c>
      <c r="BB717" t="s" s="0">
        <v>81</v>
      </c>
      <c r="BC717" t="s" s="0">
        <v>81</v>
      </c>
      <c r="BD717" t="s" s="0">
        <v>81</v>
      </c>
      <c r="BE717" t="s" s="0">
        <v>81</v>
      </c>
      <c r="BF717" t="s" s="0">
        <v>81</v>
      </c>
      <c r="BG717" t="s" s="0">
        <v>81</v>
      </c>
      <c r="BH717" t="s" s="0">
        <v>81</v>
      </c>
      <c r="BI717" t="s" s="0">
        <v>15764</v>
      </c>
      <c r="BJ717" t="s" s="0">
        <v>15765</v>
      </c>
      <c r="BK717" t="s" s="1424">
        <f>HYPERLINK("http://dx.doi.org/10.3389/fpsyg.2025.1574809","http://dx.doi.org/10.3389/fpsyg.2025.1574809")</f>
        <v>15766</v>
      </c>
      <c r="BL717" t="s" s="0">
        <v>81</v>
      </c>
      <c r="BM717" t="s" s="0">
        <v>81</v>
      </c>
      <c r="BN717" t="s" s="0">
        <v>222</v>
      </c>
      <c r="BO717" t="s" s="0">
        <v>2784</v>
      </c>
      <c r="BP717" t="s" s="0">
        <v>2785</v>
      </c>
      <c r="BQ717" t="s" s="0">
        <v>15767</v>
      </c>
      <c r="BR717" t="s" s="0">
        <v>15768</v>
      </c>
      <c r="BS717" t="s" s="0">
        <v>15769</v>
      </c>
      <c r="BT717" t="s" s="1425">
        <f>HYPERLINK("https://www.webofscience.com/wos/woscc/full-record/WOS:001504755900001","View Record in Web of Science")</f>
        <v>114</v>
      </c>
      <c r="BU717" t="s" s="0">
        <v>301</v>
      </c>
      <c r="BV717" t="s" s="0">
        <v>81</v>
      </c>
      <c r="BW717" t="s" s="0">
        <v>81</v>
      </c>
      <c r="BX717" t="s" s="0">
        <v>116</v>
      </c>
    </row>
    <row r="718">
      <c r="A718" t="s" s="0">
        <v>77</v>
      </c>
      <c r="B718" t="s" s="0">
        <v>77</v>
      </c>
      <c r="C718" t="s" s="0">
        <v>77</v>
      </c>
      <c r="D718" t="s" s="0">
        <v>77</v>
      </c>
      <c r="E718" t="s" s="0">
        <v>15770</v>
      </c>
      <c r="F718" t="s" s="0">
        <v>15771</v>
      </c>
      <c r="G718" t="s" s="0">
        <v>15772</v>
      </c>
      <c r="H718" t="s" s="0">
        <v>81</v>
      </c>
      <c r="I718" t="s" s="0">
        <v>528</v>
      </c>
      <c r="J718" t="s" s="0">
        <v>15773</v>
      </c>
      <c r="K718" t="s" s="0">
        <v>15774</v>
      </c>
      <c r="L718" t="s" s="0">
        <v>81</v>
      </c>
      <c r="M718" t="s" s="0">
        <v>81</v>
      </c>
      <c r="N718" t="s" s="0">
        <v>81</v>
      </c>
      <c r="O718" t="s" s="0">
        <v>15775</v>
      </c>
      <c r="P718" t="s" s="0">
        <v>15776</v>
      </c>
      <c r="Q718" t="s" s="0">
        <v>87</v>
      </c>
      <c r="R718" t="s" s="0">
        <v>81</v>
      </c>
      <c r="S718" t="s" s="0">
        <v>81</v>
      </c>
      <c r="T718" t="s" s="0">
        <v>81</v>
      </c>
      <c r="U718" t="s" s="0">
        <v>81</v>
      </c>
      <c r="V718" t="s" s="0">
        <v>15777</v>
      </c>
      <c r="W718" t="s" s="0">
        <v>6623</v>
      </c>
      <c r="X718" t="s" s="0">
        <v>81</v>
      </c>
      <c r="Y718" t="s" s="0">
        <v>81</v>
      </c>
      <c r="Z718" t="s" s="0">
        <v>90</v>
      </c>
      <c r="AA718" t="s" s="0">
        <v>91</v>
      </c>
      <c r="AB718" t="s" s="0">
        <v>81</v>
      </c>
      <c r="AC718" t="s" s="0">
        <v>81</v>
      </c>
      <c r="AD718" t="s" s="0">
        <v>81</v>
      </c>
      <c r="AE718" t="s" s="0">
        <v>81</v>
      </c>
      <c r="AF718" t="s" s="0">
        <v>81</v>
      </c>
      <c r="AG718" t="s" s="0">
        <v>15778</v>
      </c>
      <c r="AH718" t="s" s="0">
        <v>81</v>
      </c>
      <c r="AI718" t="s" s="0">
        <v>81</v>
      </c>
      <c r="AJ718" t="s" s="0">
        <v>81</v>
      </c>
      <c r="AK718" t="s" s="0">
        <v>81</v>
      </c>
      <c r="AL718" t="s" s="0">
        <v>874</v>
      </c>
      <c r="AM718" t="s" s="0">
        <v>77</v>
      </c>
      <c r="AN718" t="s" s="0">
        <v>77</v>
      </c>
      <c r="AO718" t="s" s="0">
        <v>77</v>
      </c>
      <c r="AP718" t="s" s="0">
        <v>77</v>
      </c>
      <c r="AQ718" t="s" s="0">
        <v>428</v>
      </c>
      <c r="AR718" t="s" s="0">
        <v>429</v>
      </c>
      <c r="AS718" t="s" s="0">
        <v>509</v>
      </c>
      <c r="AT718" t="s" s="0">
        <v>6628</v>
      </c>
      <c r="AU718" t="s" s="0">
        <v>6629</v>
      </c>
      <c r="AV718" t="s" s="0">
        <v>81</v>
      </c>
      <c r="AW718" t="s" s="0">
        <v>6630</v>
      </c>
      <c r="AX718" t="s" s="0">
        <v>6631</v>
      </c>
      <c r="AY718" t="s" s="0">
        <v>14194</v>
      </c>
      <c r="AZ718" t="s" s="0">
        <v>103</v>
      </c>
      <c r="BA718" t="s" s="0">
        <v>1184</v>
      </c>
      <c r="BB718" t="s" s="0">
        <v>133</v>
      </c>
      <c r="BC718" t="s" s="0">
        <v>81</v>
      </c>
      <c r="BD718" t="s" s="0">
        <v>81</v>
      </c>
      <c r="BE718" t="s" s="0">
        <v>81</v>
      </c>
      <c r="BF718" t="s" s="0">
        <v>81</v>
      </c>
      <c r="BG718" t="s" s="0">
        <v>81</v>
      </c>
      <c r="BH718" t="s" s="0">
        <v>81</v>
      </c>
      <c r="BI718" t="s" s="0">
        <v>15779</v>
      </c>
      <c r="BJ718" t="s" s="0">
        <v>15780</v>
      </c>
      <c r="BK718" t="s" s="1426">
        <f>HYPERLINK("http://dx.doi.org/10.1016/j.outlook.2026.102856","http://dx.doi.org/10.1016/j.outlook.2026.102856")</f>
        <v>15781</v>
      </c>
      <c r="BL718" t="s" s="0">
        <v>81</v>
      </c>
      <c r="BM718" t="s" s="0">
        <v>81</v>
      </c>
      <c r="BN718" t="s" s="0">
        <v>316</v>
      </c>
      <c r="BO718" t="s" s="0">
        <v>5034</v>
      </c>
      <c r="BP718" t="s" s="0">
        <v>5034</v>
      </c>
      <c r="BQ718" t="s" s="0">
        <v>15782</v>
      </c>
      <c r="BR718" t="s" s="0">
        <v>15783</v>
      </c>
      <c r="BS718" t="s" s="0">
        <v>15784</v>
      </c>
      <c r="BT718" t="s" s="1427">
        <f>HYPERLINK("https://www.webofscience.com/wos/woscc/full-record/WOS:001838980800001","View Record in Web of Science")</f>
        <v>114</v>
      </c>
      <c r="BU718" t="s" s="0">
        <v>81</v>
      </c>
      <c r="BV718" t="s" s="0">
        <v>81</v>
      </c>
      <c r="BW718" t="s" s="0">
        <v>81</v>
      </c>
      <c r="BX718" t="s" s="0">
        <v>116</v>
      </c>
    </row>
    <row r="719">
      <c r="A719" t="s" s="0">
        <v>77</v>
      </c>
      <c r="B719" t="s" s="0">
        <v>77</v>
      </c>
      <c r="C719" t="s" s="0">
        <v>156</v>
      </c>
      <c r="D719" t="s" s="0">
        <v>77</v>
      </c>
      <c r="E719" t="s" s="0">
        <v>15785</v>
      </c>
      <c r="F719" t="s" s="0">
        <v>15786</v>
      </c>
      <c r="G719" t="s" s="0">
        <v>15787</v>
      </c>
      <c r="H719" t="s" s="0">
        <v>81</v>
      </c>
      <c r="I719" t="s" s="0">
        <v>82</v>
      </c>
      <c r="J719" t="s" s="0">
        <v>15788</v>
      </c>
      <c r="K719" t="s" s="0">
        <v>15789</v>
      </c>
      <c r="L719" t="s" s="0">
        <v>81</v>
      </c>
      <c r="M719" t="s" s="0">
        <v>81</v>
      </c>
      <c r="N719" t="s" s="0">
        <v>81</v>
      </c>
      <c r="O719" t="s" s="0">
        <v>15790</v>
      </c>
      <c r="P719" t="s" s="0">
        <v>15791</v>
      </c>
      <c r="Q719" t="s" s="0">
        <v>87</v>
      </c>
      <c r="R719" t="s" s="0">
        <v>81</v>
      </c>
      <c r="S719" t="s" s="0">
        <v>81</v>
      </c>
      <c r="T719" t="s" s="0">
        <v>81</v>
      </c>
      <c r="U719" t="s" s="0">
        <v>81</v>
      </c>
      <c r="V719" t="s" s="0">
        <v>15792</v>
      </c>
      <c r="W719" t="s" s="0">
        <v>15793</v>
      </c>
      <c r="X719" t="s" s="0">
        <v>81</v>
      </c>
      <c r="Y719" t="s" s="0">
        <v>81</v>
      </c>
      <c r="Z719" t="s" s="0">
        <v>90</v>
      </c>
      <c r="AA719" t="s" s="0">
        <v>91</v>
      </c>
      <c r="AB719" t="s" s="0">
        <v>81</v>
      </c>
      <c r="AC719" t="s" s="0">
        <v>81</v>
      </c>
      <c r="AD719" t="s" s="0">
        <v>81</v>
      </c>
      <c r="AE719" t="s" s="0">
        <v>81</v>
      </c>
      <c r="AF719" t="s" s="0">
        <v>81</v>
      </c>
      <c r="AG719" t="s" s="0">
        <v>15794</v>
      </c>
      <c r="AH719" t="s" s="0">
        <v>81</v>
      </c>
      <c r="AI719" t="s" s="0">
        <v>81</v>
      </c>
      <c r="AJ719" t="s" s="0">
        <v>15795</v>
      </c>
      <c r="AK719" t="s" s="0">
        <v>81</v>
      </c>
      <c r="AL719" t="s" s="0">
        <v>295</v>
      </c>
      <c r="AM719" t="s" s="0">
        <v>234</v>
      </c>
      <c r="AN719" t="s" s="0">
        <v>381</v>
      </c>
      <c r="AO719" t="s" s="0">
        <v>77</v>
      </c>
      <c r="AP719" t="s" s="0">
        <v>381</v>
      </c>
      <c r="AQ719" t="s" s="0">
        <v>2208</v>
      </c>
      <c r="AR719" t="s" s="0">
        <v>2209</v>
      </c>
      <c r="AS719" t="s" s="0">
        <v>2252</v>
      </c>
      <c r="AT719" t="s" s="0">
        <v>15796</v>
      </c>
      <c r="AU719" t="s" s="0">
        <v>15797</v>
      </c>
      <c r="AV719" t="s" s="0">
        <v>81</v>
      </c>
      <c r="AW719" t="s" s="0">
        <v>15798</v>
      </c>
      <c r="AX719" t="s" s="0">
        <v>15799</v>
      </c>
      <c r="AY719" t="s" s="0">
        <v>1183</v>
      </c>
      <c r="AZ719" t="s" s="0">
        <v>185</v>
      </c>
      <c r="BA719" t="s" s="0">
        <v>173</v>
      </c>
      <c r="BB719" t="s" s="0">
        <v>134</v>
      </c>
      <c r="BC719" t="s" s="0">
        <v>81</v>
      </c>
      <c r="BD719" t="s" s="0">
        <v>81</v>
      </c>
      <c r="BE719" t="s" s="0">
        <v>81</v>
      </c>
      <c r="BF719" t="s" s="0">
        <v>81</v>
      </c>
      <c r="BG719" t="s" s="0">
        <v>15800</v>
      </c>
      <c r="BH719" t="s" s="0">
        <v>15801</v>
      </c>
      <c r="BI719" t="s" s="0">
        <v>81</v>
      </c>
      <c r="BJ719" t="s" s="0">
        <v>15802</v>
      </c>
      <c r="BK719" t="s" s="1428">
        <f>HYPERLINK("http://dx.doi.org/10.1007/s00296-024-05737-8","http://dx.doi.org/10.1007/s00296-024-05737-8")</f>
        <v>15803</v>
      </c>
      <c r="BL719" t="s" s="0">
        <v>81</v>
      </c>
      <c r="BM719" t="s" s="0">
        <v>1816</v>
      </c>
      <c r="BN719" t="s" s="0">
        <v>261</v>
      </c>
      <c r="BO719" t="s" s="0">
        <v>7055</v>
      </c>
      <c r="BP719" t="s" s="0">
        <v>7055</v>
      </c>
      <c r="BQ719" t="s" s="0">
        <v>15804</v>
      </c>
      <c r="BR719" t="s" s="0">
        <v>15805</v>
      </c>
      <c r="BS719" t="s" s="0">
        <v>15806</v>
      </c>
      <c r="BT719" t="s" s="1429">
        <f>HYPERLINK("https://www.webofscience.com/wos/woscc/full-record/WOS:001342170400001","View Record in Web of Science")</f>
        <v>114</v>
      </c>
      <c r="BU719" t="s" s="0">
        <v>81</v>
      </c>
      <c r="BV719" t="s" s="0">
        <v>81</v>
      </c>
      <c r="BW719" t="s" s="0">
        <v>81</v>
      </c>
      <c r="BX719" t="s" s="0">
        <v>116</v>
      </c>
    </row>
    <row r="720">
      <c r="A720" t="s" s="0">
        <v>77</v>
      </c>
      <c r="B720" t="s" s="0">
        <v>77</v>
      </c>
      <c r="C720" t="s" s="0">
        <v>77</v>
      </c>
      <c r="D720" t="s" s="0">
        <v>77</v>
      </c>
      <c r="E720" t="s" s="0">
        <v>15807</v>
      </c>
      <c r="F720" t="s" s="0">
        <v>15808</v>
      </c>
      <c r="G720" t="s" s="0">
        <v>15809</v>
      </c>
      <c r="H720" t="s" s="0">
        <v>81</v>
      </c>
      <c r="I720" t="s" s="0">
        <v>528</v>
      </c>
      <c r="J720" t="s" s="0">
        <v>15810</v>
      </c>
      <c r="K720" t="s" s="0">
        <v>15811</v>
      </c>
      <c r="L720" t="s" s="0">
        <v>15812</v>
      </c>
      <c r="M720" t="s" s="0">
        <v>15812</v>
      </c>
      <c r="N720" t="s" s="0">
        <v>15813</v>
      </c>
      <c r="O720" t="s" s="0">
        <v>15814</v>
      </c>
      <c r="P720" t="s" s="0">
        <v>81</v>
      </c>
      <c r="Q720" t="s" s="0">
        <v>87</v>
      </c>
      <c r="R720" t="s" s="0">
        <v>81</v>
      </c>
      <c r="S720" t="s" s="0">
        <v>81</v>
      </c>
      <c r="T720" t="s" s="0">
        <v>81</v>
      </c>
      <c r="U720" t="s" s="0">
        <v>81</v>
      </c>
      <c r="V720" t="s" s="0">
        <v>15815</v>
      </c>
      <c r="W720" t="s" s="0">
        <v>9164</v>
      </c>
      <c r="X720" t="s" s="0">
        <v>81</v>
      </c>
      <c r="Y720" t="s" s="0">
        <v>81</v>
      </c>
      <c r="Z720" t="s" s="0">
        <v>90</v>
      </c>
      <c r="AA720" t="s" s="0">
        <v>91</v>
      </c>
      <c r="AB720" t="s" s="0">
        <v>81</v>
      </c>
      <c r="AC720" t="s" s="0">
        <v>81</v>
      </c>
      <c r="AD720" t="s" s="0">
        <v>81</v>
      </c>
      <c r="AE720" t="s" s="0">
        <v>81</v>
      </c>
      <c r="AF720" t="s" s="0">
        <v>81</v>
      </c>
      <c r="AG720" t="s" s="0">
        <v>15816</v>
      </c>
      <c r="AH720" t="s" s="0">
        <v>15817</v>
      </c>
      <c r="AI720" t="s" s="0">
        <v>81</v>
      </c>
      <c r="AJ720" t="s" s="0">
        <v>81</v>
      </c>
      <c r="AK720" t="s" s="0">
        <v>81</v>
      </c>
      <c r="AL720" t="s" s="0">
        <v>434</v>
      </c>
      <c r="AM720" t="s" s="0">
        <v>77</v>
      </c>
      <c r="AN720" t="s" s="0">
        <v>77</v>
      </c>
      <c r="AO720" t="s" s="0">
        <v>77</v>
      </c>
      <c r="AP720" t="s" s="0">
        <v>77</v>
      </c>
      <c r="AQ720" t="s" s="0">
        <v>177</v>
      </c>
      <c r="AR720" t="s" s="0">
        <v>178</v>
      </c>
      <c r="AS720" t="s" s="0">
        <v>179</v>
      </c>
      <c r="AT720" t="s" s="0">
        <v>9167</v>
      </c>
      <c r="AU720" t="s" s="0">
        <v>9168</v>
      </c>
      <c r="AV720" t="s" s="0">
        <v>81</v>
      </c>
      <c r="AW720" t="s" s="0">
        <v>9169</v>
      </c>
      <c r="AX720" t="s" s="0">
        <v>9170</v>
      </c>
      <c r="AY720" t="s" s="0">
        <v>6101</v>
      </c>
      <c r="AZ720" t="s" s="0">
        <v>103</v>
      </c>
      <c r="BA720" t="s" s="0">
        <v>8208</v>
      </c>
      <c r="BB720" t="s" s="0">
        <v>81</v>
      </c>
      <c r="BC720" t="s" s="0">
        <v>81</v>
      </c>
      <c r="BD720" t="s" s="0">
        <v>81</v>
      </c>
      <c r="BE720" t="s" s="0">
        <v>81</v>
      </c>
      <c r="BF720" t="s" s="0">
        <v>81</v>
      </c>
      <c r="BG720" t="s" s="0">
        <v>81</v>
      </c>
      <c r="BH720" t="s" s="0">
        <v>81</v>
      </c>
      <c r="BI720" t="s" s="0">
        <v>15818</v>
      </c>
      <c r="BJ720" t="s" s="0">
        <v>15819</v>
      </c>
      <c r="BK720" t="s" s="1430">
        <f>HYPERLINK("http://dx.doi.org/10.1016/j.nepr.2026.104936","http://dx.doi.org/10.1016/j.nepr.2026.104936")</f>
        <v>15820</v>
      </c>
      <c r="BL720" t="s" s="0">
        <v>81</v>
      </c>
      <c r="BM720" t="s" s="0">
        <v>81</v>
      </c>
      <c r="BN720" t="s" s="0">
        <v>234</v>
      </c>
      <c r="BO720" t="s" s="0">
        <v>5034</v>
      </c>
      <c r="BP720" t="s" s="0">
        <v>5034</v>
      </c>
      <c r="BQ720" t="s" s="0">
        <v>15821</v>
      </c>
      <c r="BR720" t="s" s="0">
        <v>15822</v>
      </c>
      <c r="BS720" t="s" s="0">
        <v>15823</v>
      </c>
      <c r="BT720" t="s" s="1431">
        <f>HYPERLINK("https://www.webofscience.com/wos/woscc/full-record/WOS:001838202800001","View Record in Web of Science")</f>
        <v>114</v>
      </c>
      <c r="BU720" t="s" s="0">
        <v>81</v>
      </c>
      <c r="BV720" t="s" s="0">
        <v>81</v>
      </c>
      <c r="BW720" t="s" s="0">
        <v>81</v>
      </c>
      <c r="BX720" t="s" s="0">
        <v>116</v>
      </c>
    </row>
    <row r="721">
      <c r="A721" t="s" s="0">
        <v>77</v>
      </c>
      <c r="B721" t="s" s="0">
        <v>77</v>
      </c>
      <c r="C721" t="s" s="0">
        <v>77</v>
      </c>
      <c r="D721" t="s" s="0">
        <v>77</v>
      </c>
      <c r="E721" t="s" s="0">
        <v>15824</v>
      </c>
      <c r="F721" t="s" s="0">
        <v>15825</v>
      </c>
      <c r="G721" t="s" s="0">
        <v>15826</v>
      </c>
      <c r="H721" t="s" s="0">
        <v>81</v>
      </c>
      <c r="I721" t="s" s="0">
        <v>82</v>
      </c>
      <c r="J721" t="s" s="0">
        <v>15827</v>
      </c>
      <c r="K721" t="s" s="0">
        <v>15828</v>
      </c>
      <c r="L721" t="s" s="0">
        <v>81</v>
      </c>
      <c r="M721" t="s" s="0">
        <v>81</v>
      </c>
      <c r="N721" t="s" s="0">
        <v>81</v>
      </c>
      <c r="O721" t="s" s="0">
        <v>15829</v>
      </c>
      <c r="P721" t="s" s="0">
        <v>15830</v>
      </c>
      <c r="Q721" t="s" s="0">
        <v>87</v>
      </c>
      <c r="R721" t="s" s="0">
        <v>81</v>
      </c>
      <c r="S721" t="s" s="0">
        <v>81</v>
      </c>
      <c r="T721" t="s" s="0">
        <v>81</v>
      </c>
      <c r="U721" t="s" s="0">
        <v>81</v>
      </c>
      <c r="V721" t="s" s="0">
        <v>15831</v>
      </c>
      <c r="W721" t="s" s="0">
        <v>2797</v>
      </c>
      <c r="X721" t="s" s="0">
        <v>81</v>
      </c>
      <c r="Y721" t="s" s="0">
        <v>81</v>
      </c>
      <c r="Z721" t="s" s="0">
        <v>90</v>
      </c>
      <c r="AA721" t="s" s="0">
        <v>91</v>
      </c>
      <c r="AB721" t="s" s="0">
        <v>81</v>
      </c>
      <c r="AC721" t="s" s="0">
        <v>81</v>
      </c>
      <c r="AD721" t="s" s="0">
        <v>81</v>
      </c>
      <c r="AE721" t="s" s="0">
        <v>81</v>
      </c>
      <c r="AF721" t="s" s="0">
        <v>81</v>
      </c>
      <c r="AG721" t="s" s="0">
        <v>15832</v>
      </c>
      <c r="AH721" t="s" s="0">
        <v>15833</v>
      </c>
      <c r="AI721" t="s" s="0">
        <v>15834</v>
      </c>
      <c r="AJ721" t="s" s="0">
        <v>81</v>
      </c>
      <c r="AK721" t="s" s="0">
        <v>81</v>
      </c>
      <c r="AL721" t="s" s="0">
        <v>344</v>
      </c>
      <c r="AM721" t="s" s="0">
        <v>77</v>
      </c>
      <c r="AN721" t="s" s="0">
        <v>77</v>
      </c>
      <c r="AO721" t="s" s="0">
        <v>133</v>
      </c>
      <c r="AP721" t="s" s="0">
        <v>133</v>
      </c>
      <c r="AQ721" t="s" s="0">
        <v>284</v>
      </c>
      <c r="AR721" t="s" s="0">
        <v>285</v>
      </c>
      <c r="AS721" t="s" s="0">
        <v>286</v>
      </c>
      <c r="AT721" t="s" s="0">
        <v>81</v>
      </c>
      <c r="AU721" t="s" s="0">
        <v>2801</v>
      </c>
      <c r="AV721" t="s" s="0">
        <v>81</v>
      </c>
      <c r="AW721" t="s" s="0">
        <v>2802</v>
      </c>
      <c r="AX721" t="s" s="0">
        <v>2803</v>
      </c>
      <c r="AY721" t="s" s="0">
        <v>10851</v>
      </c>
      <c r="AZ721" t="s" s="0">
        <v>103</v>
      </c>
      <c r="BA721" t="s" s="0">
        <v>925</v>
      </c>
      <c r="BB721" t="s" s="0">
        <v>191</v>
      </c>
      <c r="BC721" t="s" s="0">
        <v>81</v>
      </c>
      <c r="BD721" t="s" s="0">
        <v>81</v>
      </c>
      <c r="BE721" t="s" s="0">
        <v>81</v>
      </c>
      <c r="BF721" t="s" s="0">
        <v>81</v>
      </c>
      <c r="BG721" t="s" s="0">
        <v>81</v>
      </c>
      <c r="BH721" t="s" s="0">
        <v>81</v>
      </c>
      <c r="BI721" t="s" s="0">
        <v>15835</v>
      </c>
      <c r="BJ721" t="s" s="0">
        <v>15836</v>
      </c>
      <c r="BK721" t="s" s="1432">
        <f>HYPERLINK("http://dx.doi.org/10.3390/app16115684","http://dx.doi.org/10.3390/app16115684")</f>
        <v>15837</v>
      </c>
      <c r="BL721" t="s" s="0">
        <v>81</v>
      </c>
      <c r="BM721" t="s" s="0">
        <v>81</v>
      </c>
      <c r="BN721" t="s" s="0">
        <v>210</v>
      </c>
      <c r="BO721" t="s" s="0">
        <v>2807</v>
      </c>
      <c r="BP721" t="s" s="0">
        <v>2808</v>
      </c>
      <c r="BQ721" t="s" s="0">
        <v>15838</v>
      </c>
      <c r="BR721" t="s" s="0">
        <v>81</v>
      </c>
      <c r="BS721" t="s" s="0">
        <v>15839</v>
      </c>
      <c r="BT721" t="s" s="1433">
        <f>HYPERLINK("https://www.webofscience.com/wos/woscc/full-record/WOS:001789992700001","View Record in Web of Science")</f>
        <v>114</v>
      </c>
      <c r="BU721" t="s" s="0">
        <v>301</v>
      </c>
      <c r="BV721" t="s" s="0">
        <v>81</v>
      </c>
      <c r="BW721" t="s" s="0">
        <v>81</v>
      </c>
      <c r="BX721" t="s" s="0">
        <v>116</v>
      </c>
    </row>
    <row r="722">
      <c r="A722" t="s" s="0">
        <v>77</v>
      </c>
      <c r="B722" t="s" s="0">
        <v>77</v>
      </c>
      <c r="C722" t="s" s="0">
        <v>77</v>
      </c>
      <c r="D722" t="s" s="0">
        <v>77</v>
      </c>
      <c r="E722" t="s" s="0">
        <v>15840</v>
      </c>
      <c r="F722" t="s" s="0">
        <v>15841</v>
      </c>
      <c r="G722" t="s" s="0">
        <v>15842</v>
      </c>
      <c r="H722" t="s" s="0">
        <v>81</v>
      </c>
      <c r="I722" t="s" s="0">
        <v>528</v>
      </c>
      <c r="J722" t="s" s="0">
        <v>15843</v>
      </c>
      <c r="K722" t="s" s="0">
        <v>15844</v>
      </c>
      <c r="L722" t="s" s="0">
        <v>15845</v>
      </c>
      <c r="M722" t="s" s="0">
        <v>15846</v>
      </c>
      <c r="N722" t="s" s="0">
        <v>15847</v>
      </c>
      <c r="O722" t="s" s="0">
        <v>15848</v>
      </c>
      <c r="P722" t="s" s="0">
        <v>15849</v>
      </c>
      <c r="Q722" t="s" s="0">
        <v>87</v>
      </c>
      <c r="R722" t="s" s="0">
        <v>81</v>
      </c>
      <c r="S722" t="s" s="0">
        <v>81</v>
      </c>
      <c r="T722" t="s" s="0">
        <v>81</v>
      </c>
      <c r="U722" t="s" s="0">
        <v>81</v>
      </c>
      <c r="V722" t="s" s="0">
        <v>15850</v>
      </c>
      <c r="W722" t="s" s="0">
        <v>838</v>
      </c>
      <c r="X722" t="s" s="0">
        <v>81</v>
      </c>
      <c r="Y722" t="s" s="0">
        <v>81</v>
      </c>
      <c r="Z722" t="s" s="0">
        <v>90</v>
      </c>
      <c r="AA722" t="s" s="0">
        <v>91</v>
      </c>
      <c r="AB722" t="s" s="0">
        <v>81</v>
      </c>
      <c r="AC722" t="s" s="0">
        <v>81</v>
      </c>
      <c r="AD722" t="s" s="0">
        <v>81</v>
      </c>
      <c r="AE722" t="s" s="0">
        <v>81</v>
      </c>
      <c r="AF722" t="s" s="0">
        <v>81</v>
      </c>
      <c r="AG722" t="s" s="0">
        <v>15851</v>
      </c>
      <c r="AH722" t="s" s="0">
        <v>15852</v>
      </c>
      <c r="AI722" t="s" s="0">
        <v>15853</v>
      </c>
      <c r="AJ722" t="s" s="0">
        <v>15854</v>
      </c>
      <c r="AK722" t="s" s="0">
        <v>81</v>
      </c>
      <c r="AL722" t="s" s="0">
        <v>1254</v>
      </c>
      <c r="AM722" t="s" s="0">
        <v>196</v>
      </c>
      <c r="AN722" t="s" s="0">
        <v>175</v>
      </c>
      <c r="AO722" t="s" s="0">
        <v>316</v>
      </c>
      <c r="AP722" t="s" s="0">
        <v>211</v>
      </c>
      <c r="AQ722" t="s" s="0">
        <v>368</v>
      </c>
      <c r="AR722" t="s" s="0">
        <v>369</v>
      </c>
      <c r="AS722" t="s" s="0">
        <v>370</v>
      </c>
      <c r="AT722" t="s" s="0">
        <v>81</v>
      </c>
      <c r="AU722" t="s" s="0">
        <v>842</v>
      </c>
      <c r="AV722" t="s" s="0">
        <v>81</v>
      </c>
      <c r="AW722" t="s" s="0">
        <v>843</v>
      </c>
      <c r="AX722" t="s" s="0">
        <v>844</v>
      </c>
      <c r="AY722" t="s" s="0">
        <v>15855</v>
      </c>
      <c r="AZ722" t="s" s="0">
        <v>290</v>
      </c>
      <c r="BA722" t="s" s="0">
        <v>486</v>
      </c>
      <c r="BB722" t="s" s="0">
        <v>81</v>
      </c>
      <c r="BC722" t="s" s="0">
        <v>81</v>
      </c>
      <c r="BD722" t="s" s="0">
        <v>81</v>
      </c>
      <c r="BE722" t="s" s="0">
        <v>81</v>
      </c>
      <c r="BF722" t="s" s="0">
        <v>81</v>
      </c>
      <c r="BG722" t="s" s="0">
        <v>81</v>
      </c>
      <c r="BH722" t="s" s="0">
        <v>81</v>
      </c>
      <c r="BI722" t="s" s="0">
        <v>15856</v>
      </c>
      <c r="BJ722" t="s" s="0">
        <v>15857</v>
      </c>
      <c r="BK722" t="s" s="1434">
        <f>HYPERLINK("http://dx.doi.org/10.3389/fpubh.2025.1698062","http://dx.doi.org/10.3389/fpubh.2025.1698062")</f>
        <v>15858</v>
      </c>
      <c r="BL722" t="s" s="0">
        <v>81</v>
      </c>
      <c r="BM722" t="s" s="0">
        <v>81</v>
      </c>
      <c r="BN722" t="s" s="0">
        <v>134</v>
      </c>
      <c r="BO722" t="s" s="0">
        <v>850</v>
      </c>
      <c r="BP722" t="s" s="0">
        <v>850</v>
      </c>
      <c r="BQ722" t="s" s="0">
        <v>15859</v>
      </c>
      <c r="BR722" t="s" s="0">
        <v>15860</v>
      </c>
      <c r="BS722" t="s" s="0">
        <v>15861</v>
      </c>
      <c r="BT722" t="s" s="1435">
        <f>HYPERLINK("https://www.webofscience.com/wos/woscc/full-record/WOS:001618071100001","View Record in Web of Science")</f>
        <v>114</v>
      </c>
      <c r="BU722" t="s" s="0">
        <v>301</v>
      </c>
      <c r="BV722" t="s" s="0">
        <v>81</v>
      </c>
      <c r="BW722" t="s" s="0">
        <v>81</v>
      </c>
      <c r="BX722" t="s" s="0">
        <v>116</v>
      </c>
    </row>
    <row r="723">
      <c r="A723" t="s" s="0">
        <v>77</v>
      </c>
      <c r="B723" t="s" s="0">
        <v>77</v>
      </c>
      <c r="C723" t="s" s="0">
        <v>97</v>
      </c>
      <c r="D723" t="s" s="0">
        <v>77</v>
      </c>
      <c r="E723" t="s" s="0">
        <v>15862</v>
      </c>
      <c r="F723" t="s" s="0">
        <v>15863</v>
      </c>
      <c r="G723" t="s" s="0">
        <v>15864</v>
      </c>
      <c r="H723" t="s" s="0">
        <v>81</v>
      </c>
      <c r="I723" t="s" s="0">
        <v>82</v>
      </c>
      <c r="J723" t="s" s="0">
        <v>15865</v>
      </c>
      <c r="K723" t="s" s="0">
        <v>15866</v>
      </c>
      <c r="L723" t="s" s="0">
        <v>15867</v>
      </c>
      <c r="M723" t="s" s="0">
        <v>15868</v>
      </c>
      <c r="N723" t="s" s="0">
        <v>15869</v>
      </c>
      <c r="O723" t="s" s="0">
        <v>15870</v>
      </c>
      <c r="P723" t="s" s="0">
        <v>15871</v>
      </c>
      <c r="Q723" t="s" s="0">
        <v>87</v>
      </c>
      <c r="R723" t="s" s="0">
        <v>81</v>
      </c>
      <c r="S723" t="s" s="0">
        <v>81</v>
      </c>
      <c r="T723" t="s" s="0">
        <v>81</v>
      </c>
      <c r="U723" t="s" s="0">
        <v>81</v>
      </c>
      <c r="V723" t="s" s="0">
        <v>15872</v>
      </c>
      <c r="W723" t="s" s="0">
        <v>862</v>
      </c>
      <c r="X723" t="s" s="0">
        <v>81</v>
      </c>
      <c r="Y723" t="s" s="0">
        <v>81</v>
      </c>
      <c r="Z723" t="s" s="0">
        <v>90</v>
      </c>
      <c r="AA723" t="s" s="0">
        <v>91</v>
      </c>
      <c r="AB723" t="s" s="0">
        <v>81</v>
      </c>
      <c r="AC723" t="s" s="0">
        <v>81</v>
      </c>
      <c r="AD723" t="s" s="0">
        <v>81</v>
      </c>
      <c r="AE723" t="s" s="0">
        <v>81</v>
      </c>
      <c r="AF723" t="s" s="0">
        <v>81</v>
      </c>
      <c r="AG723" t="s" s="0">
        <v>15873</v>
      </c>
      <c r="AH723" t="s" s="0">
        <v>81</v>
      </c>
      <c r="AI723" t="s" s="0">
        <v>15874</v>
      </c>
      <c r="AJ723" t="s" s="0">
        <v>15875</v>
      </c>
      <c r="AK723" t="s" s="0">
        <v>81</v>
      </c>
      <c r="AL723" t="s" s="0">
        <v>176</v>
      </c>
      <c r="AM723" t="s" s="0">
        <v>175</v>
      </c>
      <c r="AN723" t="s" s="0">
        <v>133</v>
      </c>
      <c r="AO723" t="s" s="0">
        <v>77</v>
      </c>
      <c r="AP723" t="s" s="0">
        <v>175</v>
      </c>
      <c r="AQ723" t="s" s="0">
        <v>865</v>
      </c>
      <c r="AR723" t="s" s="0">
        <v>546</v>
      </c>
      <c r="AS723" t="s" s="0">
        <v>866</v>
      </c>
      <c r="AT723" t="s" s="0">
        <v>81</v>
      </c>
      <c r="AU723" t="s" s="0">
        <v>867</v>
      </c>
      <c r="AV723" t="s" s="0">
        <v>81</v>
      </c>
      <c r="AW723" t="s" s="0">
        <v>868</v>
      </c>
      <c r="AX723" t="s" s="0">
        <v>869</v>
      </c>
      <c r="AY723" t="s" s="0">
        <v>15876</v>
      </c>
      <c r="AZ723" t="s" s="0">
        <v>290</v>
      </c>
      <c r="BA723" t="s" s="0">
        <v>191</v>
      </c>
      <c r="BB723" t="s" s="0">
        <v>81</v>
      </c>
      <c r="BC723" t="s" s="0">
        <v>81</v>
      </c>
      <c r="BD723" t="s" s="0">
        <v>81</v>
      </c>
      <c r="BE723" t="s" s="0">
        <v>81</v>
      </c>
      <c r="BF723" t="s" s="0">
        <v>81</v>
      </c>
      <c r="BG723" t="s" s="0">
        <v>81</v>
      </c>
      <c r="BH723" t="s" s="0">
        <v>81</v>
      </c>
      <c r="BI723" t="s" s="0">
        <v>15877</v>
      </c>
      <c r="BJ723" t="s" s="0">
        <v>15878</v>
      </c>
      <c r="BK723" t="s" s="1436">
        <f>HYPERLINK("http://dx.doi.org/10.7717/peerj-cs.2806","http://dx.doi.org/10.7717/peerj-cs.2806")</f>
        <v>15879</v>
      </c>
      <c r="BL723" t="s" s="0">
        <v>81</v>
      </c>
      <c r="BM723" t="s" s="0">
        <v>81</v>
      </c>
      <c r="BN723" t="s" s="0">
        <v>1912</v>
      </c>
      <c r="BO723" t="s" s="0">
        <v>875</v>
      </c>
      <c r="BP723" t="s" s="0">
        <v>152</v>
      </c>
      <c r="BQ723" t="s" s="0">
        <v>15880</v>
      </c>
      <c r="BR723" t="s" s="0">
        <v>15881</v>
      </c>
      <c r="BS723" t="s" s="0">
        <v>15882</v>
      </c>
      <c r="BT723" t="s" s="1437">
        <f>HYPERLINK("https://www.webofscience.com/wos/woscc/full-record/WOS:001480548600001","View Record in Web of Science")</f>
        <v>114</v>
      </c>
      <c r="BU723" t="s" s="0">
        <v>301</v>
      </c>
      <c r="BV723" t="s" s="0">
        <v>81</v>
      </c>
      <c r="BW723" t="s" s="0">
        <v>81</v>
      </c>
      <c r="BX723" t="s" s="0">
        <v>116</v>
      </c>
    </row>
    <row r="724">
      <c r="A724" t="s" s="0">
        <v>77</v>
      </c>
      <c r="B724" t="s" s="0">
        <v>77</v>
      </c>
      <c r="C724" t="s" s="0">
        <v>156</v>
      </c>
      <c r="D724" t="s" s="0">
        <v>77</v>
      </c>
      <c r="E724" t="s" s="0">
        <v>15883</v>
      </c>
      <c r="F724" t="s" s="0">
        <v>15884</v>
      </c>
      <c r="G724" t="s" s="0">
        <v>15885</v>
      </c>
      <c r="H724" t="s" s="0">
        <v>81</v>
      </c>
      <c r="I724" t="s" s="0">
        <v>82</v>
      </c>
      <c r="J724" t="s" s="0">
        <v>15886</v>
      </c>
      <c r="K724" t="s" s="0">
        <v>15887</v>
      </c>
      <c r="L724" t="s" s="0">
        <v>15888</v>
      </c>
      <c r="M724" t="s" s="0">
        <v>15889</v>
      </c>
      <c r="N724" t="s" s="0">
        <v>15890</v>
      </c>
      <c r="O724" t="s" s="0">
        <v>15891</v>
      </c>
      <c r="P724" t="s" s="0">
        <v>15892</v>
      </c>
      <c r="Q724" t="s" s="0">
        <v>87</v>
      </c>
      <c r="R724" t="s" s="0">
        <v>81</v>
      </c>
      <c r="S724" t="s" s="0">
        <v>81</v>
      </c>
      <c r="T724" t="s" s="0">
        <v>81</v>
      </c>
      <c r="U724" t="s" s="0">
        <v>81</v>
      </c>
      <c r="V724" t="s" s="0">
        <v>15893</v>
      </c>
      <c r="W724" t="s" s="0">
        <v>2070</v>
      </c>
      <c r="X724" t="s" s="0">
        <v>81</v>
      </c>
      <c r="Y724" t="s" s="0">
        <v>81</v>
      </c>
      <c r="Z724" t="s" s="0">
        <v>90</v>
      </c>
      <c r="AA724" t="s" s="0">
        <v>91</v>
      </c>
      <c r="AB724" t="s" s="0">
        <v>81</v>
      </c>
      <c r="AC724" t="s" s="0">
        <v>81</v>
      </c>
      <c r="AD724" t="s" s="0">
        <v>81</v>
      </c>
      <c r="AE724" t="s" s="0">
        <v>81</v>
      </c>
      <c r="AF724" t="s" s="0">
        <v>81</v>
      </c>
      <c r="AG724" t="s" s="0">
        <v>15894</v>
      </c>
      <c r="AH724" t="s" s="0">
        <v>81</v>
      </c>
      <c r="AI724" t="s" s="0">
        <v>15895</v>
      </c>
      <c r="AJ724" t="s" s="0">
        <v>15896</v>
      </c>
      <c r="AK724" t="s" s="0">
        <v>81</v>
      </c>
      <c r="AL724" t="s" s="0">
        <v>150</v>
      </c>
      <c r="AM724" t="s" s="0">
        <v>211</v>
      </c>
      <c r="AN724" t="s" s="0">
        <v>211</v>
      </c>
      <c r="AO724" t="s" s="0">
        <v>97</v>
      </c>
      <c r="AP724" t="s" s="0">
        <v>261</v>
      </c>
      <c r="AQ724" t="s" s="0">
        <v>177</v>
      </c>
      <c r="AR724" t="s" s="0">
        <v>178</v>
      </c>
      <c r="AS724" t="s" s="0">
        <v>179</v>
      </c>
      <c r="AT724" t="s" s="0">
        <v>2073</v>
      </c>
      <c r="AU724" t="s" s="0">
        <v>2074</v>
      </c>
      <c r="AV724" t="s" s="0">
        <v>81</v>
      </c>
      <c r="AW724" t="s" s="0">
        <v>2075</v>
      </c>
      <c r="AX724" t="s" s="0">
        <v>2076</v>
      </c>
      <c r="AY724" t="s" s="0">
        <v>2502</v>
      </c>
      <c r="AZ724" t="s" s="0">
        <v>290</v>
      </c>
      <c r="BA724" t="s" s="0">
        <v>456</v>
      </c>
      <c r="BB724" t="s" s="0">
        <v>81</v>
      </c>
      <c r="BC724" t="s" s="0">
        <v>81</v>
      </c>
      <c r="BD724" t="s" s="0">
        <v>81</v>
      </c>
      <c r="BE724" t="s" s="0">
        <v>81</v>
      </c>
      <c r="BF724" t="s" s="0">
        <v>81</v>
      </c>
      <c r="BG724" t="s" s="0">
        <v>81</v>
      </c>
      <c r="BH724" t="s" s="0">
        <v>81</v>
      </c>
      <c r="BI724" t="s" s="0">
        <v>15897</v>
      </c>
      <c r="BJ724" t="s" s="0">
        <v>15898</v>
      </c>
      <c r="BK724" t="s" s="1438">
        <f>HYPERLINK("http://dx.doi.org/10.1016/j.bspc.2024.107260","http://dx.doi.org/10.1016/j.bspc.2024.107260")</f>
        <v>15899</v>
      </c>
      <c r="BL724" t="s" s="0">
        <v>81</v>
      </c>
      <c r="BM724" t="s" s="0">
        <v>6722</v>
      </c>
      <c r="BN724" t="s" s="0">
        <v>222</v>
      </c>
      <c r="BO724" t="s" s="0">
        <v>2082</v>
      </c>
      <c r="BP724" t="s" s="0">
        <v>1003</v>
      </c>
      <c r="BQ724" t="s" s="0">
        <v>15900</v>
      </c>
      <c r="BR724" t="s" s="0">
        <v>81</v>
      </c>
      <c r="BS724" t="s" s="0">
        <v>15901</v>
      </c>
      <c r="BT724" t="s" s="1439">
        <f>HYPERLINK("https://www.webofscience.com/wos/woscc/full-record/WOS:001373625000001","View Record in Web of Science")</f>
        <v>114</v>
      </c>
      <c r="BU724" t="s" s="0">
        <v>155</v>
      </c>
      <c r="BV724" t="s" s="0">
        <v>81</v>
      </c>
      <c r="BW724" t="s" s="0">
        <v>81</v>
      </c>
      <c r="BX724" t="s" s="0">
        <v>116</v>
      </c>
    </row>
    <row r="725">
      <c r="A725" t="s" s="0">
        <v>77</v>
      </c>
      <c r="B725" t="s" s="0">
        <v>77</v>
      </c>
      <c r="C725" t="s" s="0">
        <v>77</v>
      </c>
      <c r="D725" t="s" s="0">
        <v>77</v>
      </c>
      <c r="E725" t="s" s="0">
        <v>15902</v>
      </c>
      <c r="F725" t="s" s="0">
        <v>15903</v>
      </c>
      <c r="G725" t="s" s="0">
        <v>15904</v>
      </c>
      <c r="H725" t="s" s="0">
        <v>81</v>
      </c>
      <c r="I725" t="s" s="0">
        <v>238</v>
      </c>
      <c r="J725" t="s" s="0">
        <v>15905</v>
      </c>
      <c r="K725" t="s" s="0">
        <v>15906</v>
      </c>
      <c r="L725" t="s" s="0">
        <v>15907</v>
      </c>
      <c r="M725" t="s" s="0">
        <v>15908</v>
      </c>
      <c r="N725" t="s" s="0">
        <v>15909</v>
      </c>
      <c r="O725" t="s" s="0">
        <v>15910</v>
      </c>
      <c r="P725" t="s" s="0">
        <v>15911</v>
      </c>
      <c r="Q725" t="s" s="0">
        <v>87</v>
      </c>
      <c r="R725" t="s" s="0">
        <v>81</v>
      </c>
      <c r="S725" t="s" s="0">
        <v>81</v>
      </c>
      <c r="T725" t="s" s="0">
        <v>81</v>
      </c>
      <c r="U725" t="s" s="0">
        <v>81</v>
      </c>
      <c r="V725" t="s" s="0">
        <v>15912</v>
      </c>
      <c r="W725" t="s" s="0">
        <v>15913</v>
      </c>
      <c r="X725" t="s" s="0">
        <v>81</v>
      </c>
      <c r="Y725" t="s" s="0">
        <v>81</v>
      </c>
      <c r="Z725" t="s" s="0">
        <v>90</v>
      </c>
      <c r="AA725" t="s" s="0">
        <v>91</v>
      </c>
      <c r="AB725" t="s" s="0">
        <v>81</v>
      </c>
      <c r="AC725" t="s" s="0">
        <v>81</v>
      </c>
      <c r="AD725" t="s" s="0">
        <v>81</v>
      </c>
      <c r="AE725" t="s" s="0">
        <v>81</v>
      </c>
      <c r="AF725" t="s" s="0">
        <v>81</v>
      </c>
      <c r="AG725" t="s" s="0">
        <v>15914</v>
      </c>
      <c r="AH725" t="s" s="0">
        <v>15915</v>
      </c>
      <c r="AI725" t="s" s="0">
        <v>15916</v>
      </c>
      <c r="AJ725" t="s" s="0">
        <v>15917</v>
      </c>
      <c r="AK725" t="s" s="0">
        <v>81</v>
      </c>
      <c r="AL725" t="s" s="0">
        <v>251</v>
      </c>
      <c r="AM725" t="s" s="0">
        <v>261</v>
      </c>
      <c r="AN725" t="s" s="0">
        <v>104</v>
      </c>
      <c r="AO725" t="s" s="0">
        <v>156</v>
      </c>
      <c r="AP725" t="s" s="0">
        <v>173</v>
      </c>
      <c r="AQ725" t="s" s="0">
        <v>284</v>
      </c>
      <c r="AR725" t="s" s="0">
        <v>285</v>
      </c>
      <c r="AS725" t="s" s="0">
        <v>286</v>
      </c>
      <c r="AT725" t="s" s="0">
        <v>81</v>
      </c>
      <c r="AU725" t="s" s="0">
        <v>15918</v>
      </c>
      <c r="AV725" t="s" s="0">
        <v>81</v>
      </c>
      <c r="AW725" t="s" s="0">
        <v>15913</v>
      </c>
      <c r="AX725" t="s" s="0">
        <v>15919</v>
      </c>
      <c r="AY725" t="s" s="0">
        <v>184</v>
      </c>
      <c r="AZ725" t="s" s="0">
        <v>185</v>
      </c>
      <c r="BA725" t="s" s="0">
        <v>261</v>
      </c>
      <c r="BB725" t="s" s="0">
        <v>196</v>
      </c>
      <c r="BC725" t="s" s="0">
        <v>81</v>
      </c>
      <c r="BD725" t="s" s="0">
        <v>81</v>
      </c>
      <c r="BE725" t="s" s="0">
        <v>81</v>
      </c>
      <c r="BF725" t="s" s="0">
        <v>81</v>
      </c>
      <c r="BG725" t="s" s="0">
        <v>81</v>
      </c>
      <c r="BH725" t="s" s="0">
        <v>81</v>
      </c>
      <c r="BI725" t="s" s="0">
        <v>1762</v>
      </c>
      <c r="BJ725" t="s" s="0">
        <v>15920</v>
      </c>
      <c r="BK725" t="s" s="1440">
        <f>HYPERLINK("http://dx.doi.org/10.3390/philosophies9030080","http://dx.doi.org/10.3390/philosophies9030080")</f>
        <v>15921</v>
      </c>
      <c r="BL725" t="s" s="0">
        <v>81</v>
      </c>
      <c r="BM725" t="s" s="0">
        <v>81</v>
      </c>
      <c r="BN725" t="s" s="0">
        <v>485</v>
      </c>
      <c r="BO725" t="s" s="0">
        <v>15922</v>
      </c>
      <c r="BP725" t="s" s="0">
        <v>15923</v>
      </c>
      <c r="BQ725" t="s" s="0">
        <v>15924</v>
      </c>
      <c r="BR725" t="s" s="0">
        <v>81</v>
      </c>
      <c r="BS725" t="s" s="0">
        <v>15925</v>
      </c>
      <c r="BT725" t="s" s="1441">
        <f>HYPERLINK("https://www.webofscience.com/wos/woscc/full-record/WOS:001256718900001","View Record in Web of Science")</f>
        <v>114</v>
      </c>
      <c r="BU725" t="s" s="0">
        <v>301</v>
      </c>
      <c r="BV725" t="s" s="0">
        <v>81</v>
      </c>
      <c r="BW725" t="s" s="0">
        <v>81</v>
      </c>
      <c r="BX725" t="s" s="0">
        <v>116</v>
      </c>
    </row>
    <row r="726">
      <c r="A726" t="s" s="0">
        <v>77</v>
      </c>
      <c r="B726" t="s" s="0">
        <v>77</v>
      </c>
      <c r="C726" t="s" s="0">
        <v>77</v>
      </c>
      <c r="D726" t="s" s="0">
        <v>77</v>
      </c>
      <c r="E726" t="s" s="0">
        <v>15926</v>
      </c>
      <c r="F726" t="s" s="0">
        <v>15927</v>
      </c>
      <c r="G726" t="s" s="0">
        <v>15928</v>
      </c>
      <c r="H726" t="s" s="0">
        <v>81</v>
      </c>
      <c r="I726" t="s" s="0">
        <v>82</v>
      </c>
      <c r="J726" t="s" s="0">
        <v>15929</v>
      </c>
      <c r="K726" t="s" s="0">
        <v>15930</v>
      </c>
      <c r="L726" t="s" s="0">
        <v>81</v>
      </c>
      <c r="M726" t="s" s="0">
        <v>81</v>
      </c>
      <c r="N726" t="s" s="0">
        <v>81</v>
      </c>
      <c r="O726" t="s" s="0">
        <v>15931</v>
      </c>
      <c r="P726" t="s" s="0">
        <v>15932</v>
      </c>
      <c r="Q726" t="s" s="0">
        <v>87</v>
      </c>
      <c r="R726" t="s" s="0">
        <v>81</v>
      </c>
      <c r="S726" t="s" s="0">
        <v>81</v>
      </c>
      <c r="T726" t="s" s="0">
        <v>81</v>
      </c>
      <c r="U726" t="s" s="0">
        <v>81</v>
      </c>
      <c r="V726" t="s" s="0">
        <v>15933</v>
      </c>
      <c r="W726" t="s" s="0">
        <v>89</v>
      </c>
      <c r="X726" t="s" s="0">
        <v>81</v>
      </c>
      <c r="Y726" t="s" s="0">
        <v>81</v>
      </c>
      <c r="Z726" t="s" s="0">
        <v>90</v>
      </c>
      <c r="AA726" t="s" s="0">
        <v>91</v>
      </c>
      <c r="AB726" t="s" s="0">
        <v>81</v>
      </c>
      <c r="AC726" t="s" s="0">
        <v>81</v>
      </c>
      <c r="AD726" t="s" s="0">
        <v>81</v>
      </c>
      <c r="AE726" t="s" s="0">
        <v>81</v>
      </c>
      <c r="AF726" t="s" s="0">
        <v>81</v>
      </c>
      <c r="AG726" t="s" s="0">
        <v>15934</v>
      </c>
      <c r="AH726" t="s" s="0">
        <v>81</v>
      </c>
      <c r="AI726" t="s" s="0">
        <v>15935</v>
      </c>
      <c r="AJ726" t="s" s="0">
        <v>15936</v>
      </c>
      <c r="AK726" t="s" s="0">
        <v>81</v>
      </c>
      <c r="AL726" t="s" s="0">
        <v>542</v>
      </c>
      <c r="AM726" t="s" s="0">
        <v>196</v>
      </c>
      <c r="AN726" t="s" s="0">
        <v>175</v>
      </c>
      <c r="AO726" t="s" s="0">
        <v>97</v>
      </c>
      <c r="AP726" t="s" s="0">
        <v>196</v>
      </c>
      <c r="AQ726" t="s" s="0">
        <v>98</v>
      </c>
      <c r="AR726" t="s" s="0">
        <v>99</v>
      </c>
      <c r="AS726" t="s" s="0">
        <v>100</v>
      </c>
      <c r="AT726" t="s" s="0">
        <v>101</v>
      </c>
      <c r="AU726" t="s" s="0">
        <v>81</v>
      </c>
      <c r="AV726" t="s" s="0">
        <v>81</v>
      </c>
      <c r="AW726" t="s" s="0">
        <v>89</v>
      </c>
      <c r="AX726" t="s" s="0">
        <v>102</v>
      </c>
      <c r="AY726" t="s" s="0">
        <v>290</v>
      </c>
      <c r="AZ726" t="s" s="0">
        <v>290</v>
      </c>
      <c r="BA726" t="s" s="0">
        <v>486</v>
      </c>
      <c r="BB726" t="s" s="0">
        <v>81</v>
      </c>
      <c r="BC726" t="s" s="0">
        <v>81</v>
      </c>
      <c r="BD726" t="s" s="0">
        <v>81</v>
      </c>
      <c r="BE726" t="s" s="0">
        <v>81</v>
      </c>
      <c r="BF726" t="s" s="0">
        <v>81</v>
      </c>
      <c r="BG726" t="s" s="0">
        <v>15937</v>
      </c>
      <c r="BH726" t="s" s="0">
        <v>15938</v>
      </c>
      <c r="BI726" t="s" s="0">
        <v>81</v>
      </c>
      <c r="BJ726" t="s" s="0">
        <v>15939</v>
      </c>
      <c r="BK726" t="s" s="1442">
        <f>HYPERLINK("http://dx.doi.org/10.1109/ACCESS.2025.3560689","http://dx.doi.org/10.1109/ACCESS.2025.3560689")</f>
        <v>15940</v>
      </c>
      <c r="BL726" t="s" s="0">
        <v>81</v>
      </c>
      <c r="BM726" t="s" s="0">
        <v>81</v>
      </c>
      <c r="BN726" t="s" s="0">
        <v>367</v>
      </c>
      <c r="BO726" t="s" s="0">
        <v>110</v>
      </c>
      <c r="BP726" t="s" s="0">
        <v>111</v>
      </c>
      <c r="BQ726" t="s" s="0">
        <v>15941</v>
      </c>
      <c r="BR726" t="s" s="0">
        <v>81</v>
      </c>
      <c r="BS726" t="s" s="0">
        <v>15942</v>
      </c>
      <c r="BT726" t="s" s="1443">
        <f>HYPERLINK("https://www.webofscience.com/wos/woscc/full-record/WOS:001479479400038","View Record in Web of Science")</f>
        <v>114</v>
      </c>
      <c r="BU726" t="s" s="0">
        <v>301</v>
      </c>
      <c r="BV726" t="s" s="0">
        <v>81</v>
      </c>
      <c r="BW726" t="s" s="0">
        <v>81</v>
      </c>
      <c r="BX726" t="s" s="0">
        <v>116</v>
      </c>
    </row>
    <row r="727">
      <c r="A727" t="s" s="0">
        <v>77</v>
      </c>
      <c r="B727" t="s" s="0">
        <v>77</v>
      </c>
      <c r="C727" t="s" s="0">
        <v>156</v>
      </c>
      <c r="D727" t="s" s="0">
        <v>77</v>
      </c>
      <c r="E727" t="s" s="0">
        <v>15943</v>
      </c>
      <c r="F727" t="s" s="0">
        <v>15944</v>
      </c>
      <c r="G727" t="s" s="0">
        <v>15945</v>
      </c>
      <c r="H727" t="s" s="0">
        <v>81</v>
      </c>
      <c r="I727" t="s" s="0">
        <v>82</v>
      </c>
      <c r="J727" t="s" s="0">
        <v>15946</v>
      </c>
      <c r="K727" t="s" s="0">
        <v>15947</v>
      </c>
      <c r="L727" t="s" s="0">
        <v>15948</v>
      </c>
      <c r="M727" t="s" s="0">
        <v>15949</v>
      </c>
      <c r="N727" t="s" s="0">
        <v>15950</v>
      </c>
      <c r="O727" t="s" s="0">
        <v>15951</v>
      </c>
      <c r="P727" t="s" s="0">
        <v>15952</v>
      </c>
      <c r="Q727" t="s" s="0">
        <v>87</v>
      </c>
      <c r="R727" t="s" s="0">
        <v>81</v>
      </c>
      <c r="S727" t="s" s="0">
        <v>81</v>
      </c>
      <c r="T727" t="s" s="0">
        <v>81</v>
      </c>
      <c r="U727" t="s" s="0">
        <v>81</v>
      </c>
      <c r="V727" t="s" s="0">
        <v>15953</v>
      </c>
      <c r="W727" t="s" s="0">
        <v>11186</v>
      </c>
      <c r="X727" t="s" s="0">
        <v>81</v>
      </c>
      <c r="Y727" t="s" s="0">
        <v>81</v>
      </c>
      <c r="Z727" t="s" s="0">
        <v>90</v>
      </c>
      <c r="AA727" t="s" s="0">
        <v>91</v>
      </c>
      <c r="AB727" t="s" s="0">
        <v>81</v>
      </c>
      <c r="AC727" t="s" s="0">
        <v>81</v>
      </c>
      <c r="AD727" t="s" s="0">
        <v>81</v>
      </c>
      <c r="AE727" t="s" s="0">
        <v>81</v>
      </c>
      <c r="AF727" t="s" s="0">
        <v>81</v>
      </c>
      <c r="AG727" t="s" s="0">
        <v>15954</v>
      </c>
      <c r="AH727" t="s" s="0">
        <v>15955</v>
      </c>
      <c r="AI727" t="s" s="0">
        <v>15956</v>
      </c>
      <c r="AJ727" t="s" s="0">
        <v>15957</v>
      </c>
      <c r="AK727" t="s" s="0">
        <v>81</v>
      </c>
      <c r="AL727" t="s" s="0">
        <v>756</v>
      </c>
      <c r="AM727" t="s" s="0">
        <v>104</v>
      </c>
      <c r="AN727" t="s" s="0">
        <v>291</v>
      </c>
      <c r="AO727" t="s" s="0">
        <v>77</v>
      </c>
      <c r="AP727" t="s" s="0">
        <v>134</v>
      </c>
      <c r="AQ727" t="s" s="0">
        <v>3061</v>
      </c>
      <c r="AR727" t="s" s="0">
        <v>3062</v>
      </c>
      <c r="AS727" t="s" s="0">
        <v>3063</v>
      </c>
      <c r="AT727" t="s" s="0">
        <v>81</v>
      </c>
      <c r="AU727" t="s" s="0">
        <v>11188</v>
      </c>
      <c r="AV727" t="s" s="0">
        <v>81</v>
      </c>
      <c r="AW727" t="s" s="0">
        <v>11189</v>
      </c>
      <c r="AX727" t="s" s="0">
        <v>11190</v>
      </c>
      <c r="AY727" t="s" s="0">
        <v>219</v>
      </c>
      <c r="AZ727" t="s" s="0">
        <v>220</v>
      </c>
      <c r="BA727" t="s" s="0">
        <v>211</v>
      </c>
      <c r="BB727" t="s" s="0">
        <v>191</v>
      </c>
      <c r="BC727" t="s" s="0">
        <v>81</v>
      </c>
      <c r="BD727" t="s" s="0">
        <v>81</v>
      </c>
      <c r="BE727" t="s" s="0">
        <v>81</v>
      </c>
      <c r="BF727" t="s" s="0">
        <v>81</v>
      </c>
      <c r="BG727" t="s" s="0">
        <v>81</v>
      </c>
      <c r="BH727" t="s" s="0">
        <v>81</v>
      </c>
      <c r="BI727" t="s" s="0">
        <v>15958</v>
      </c>
      <c r="BJ727" t="s" s="0">
        <v>15959</v>
      </c>
      <c r="BK727" t="s" s="1444">
        <f>HYPERLINK("http://dx.doi.org/10.2196/38053","http://dx.doi.org/10.2196/38053")</f>
        <v>15960</v>
      </c>
      <c r="BL727" t="s" s="0">
        <v>81</v>
      </c>
      <c r="BM727" t="s" s="0">
        <v>81</v>
      </c>
      <c r="BN727" t="s" s="0">
        <v>104</v>
      </c>
      <c r="BO727" t="s" s="0">
        <v>1963</v>
      </c>
      <c r="BP727" t="s" s="0">
        <v>1963</v>
      </c>
      <c r="BQ727" t="s" s="0">
        <v>15961</v>
      </c>
      <c r="BR727" t="s" s="0">
        <v>15962</v>
      </c>
      <c r="BS727" t="s" s="0">
        <v>15963</v>
      </c>
      <c r="BT727" t="s" s="1445">
        <f>HYPERLINK("https://www.webofscience.com/wos/woscc/full-record/WOS:000892552700007","View Record in Web of Science")</f>
        <v>114</v>
      </c>
      <c r="BU727" t="s" s="0">
        <v>301</v>
      </c>
      <c r="BV727" t="s" s="0">
        <v>81</v>
      </c>
      <c r="BW727" t="s" s="0">
        <v>81</v>
      </c>
      <c r="BX727" t="s" s="0">
        <v>116</v>
      </c>
    </row>
    <row r="728">
      <c r="A728" t="s" s="0">
        <v>77</v>
      </c>
      <c r="B728" t="s" s="0">
        <v>77</v>
      </c>
      <c r="C728" t="s" s="0">
        <v>77</v>
      </c>
      <c r="D728" t="s" s="0">
        <v>77</v>
      </c>
      <c r="E728" t="s" s="0">
        <v>15964</v>
      </c>
      <c r="F728" t="s" s="0">
        <v>15965</v>
      </c>
      <c r="G728" t="s" s="0">
        <v>15966</v>
      </c>
      <c r="H728" t="s" s="0">
        <v>81</v>
      </c>
      <c r="I728" t="s" s="0">
        <v>528</v>
      </c>
      <c r="J728" t="s" s="0">
        <v>15967</v>
      </c>
      <c r="K728" t="s" s="0">
        <v>15968</v>
      </c>
      <c r="L728" t="s" s="0">
        <v>81</v>
      </c>
      <c r="M728" t="s" s="0">
        <v>81</v>
      </c>
      <c r="N728" t="s" s="0">
        <v>81</v>
      </c>
      <c r="O728" t="s" s="0">
        <v>15969</v>
      </c>
      <c r="P728" t="s" s="0">
        <v>15970</v>
      </c>
      <c r="Q728" t="s" s="0">
        <v>87</v>
      </c>
      <c r="R728" t="s" s="0">
        <v>81</v>
      </c>
      <c r="S728" t="s" s="0">
        <v>81</v>
      </c>
      <c r="T728" t="s" s="0">
        <v>81</v>
      </c>
      <c r="U728" t="s" s="0">
        <v>81</v>
      </c>
      <c r="V728" t="s" s="0">
        <v>15971</v>
      </c>
      <c r="W728" t="s" s="0">
        <v>15972</v>
      </c>
      <c r="X728" t="s" s="0">
        <v>81</v>
      </c>
      <c r="Y728" t="s" s="0">
        <v>81</v>
      </c>
      <c r="Z728" t="s" s="0">
        <v>90</v>
      </c>
      <c r="AA728" t="s" s="0">
        <v>91</v>
      </c>
      <c r="AB728" t="s" s="0">
        <v>81</v>
      </c>
      <c r="AC728" t="s" s="0">
        <v>81</v>
      </c>
      <c r="AD728" t="s" s="0">
        <v>81</v>
      </c>
      <c r="AE728" t="s" s="0">
        <v>81</v>
      </c>
      <c r="AF728" t="s" s="0">
        <v>81</v>
      </c>
      <c r="AG728" t="s" s="0">
        <v>15973</v>
      </c>
      <c r="AH728" t="s" s="0">
        <v>81</v>
      </c>
      <c r="AI728" t="s" s="0">
        <v>15974</v>
      </c>
      <c r="AJ728" t="s" s="0">
        <v>81</v>
      </c>
      <c r="AK728" t="s" s="0">
        <v>81</v>
      </c>
      <c r="AL728" t="s" s="0">
        <v>3518</v>
      </c>
      <c r="AM728" t="s" s="0">
        <v>196</v>
      </c>
      <c r="AN728" t="s" s="0">
        <v>196</v>
      </c>
      <c r="AO728" t="s" s="0">
        <v>133</v>
      </c>
      <c r="AP728" t="s" s="0">
        <v>133</v>
      </c>
      <c r="AQ728" t="s" s="0">
        <v>726</v>
      </c>
      <c r="AR728" t="s" s="0">
        <v>727</v>
      </c>
      <c r="AS728" t="s" s="0">
        <v>728</v>
      </c>
      <c r="AT728" t="s" s="0">
        <v>15975</v>
      </c>
      <c r="AU728" t="s" s="0">
        <v>15976</v>
      </c>
      <c r="AV728" t="s" s="0">
        <v>81</v>
      </c>
      <c r="AW728" t="s" s="0">
        <v>15977</v>
      </c>
      <c r="AX728" t="s" s="0">
        <v>15978</v>
      </c>
      <c r="AY728" t="s" s="0">
        <v>948</v>
      </c>
      <c r="AZ728" t="s" s="0">
        <v>103</v>
      </c>
      <c r="BA728" t="s" s="0">
        <v>253</v>
      </c>
      <c r="BB728" t="s" s="0">
        <v>156</v>
      </c>
      <c r="BC728" t="s" s="0">
        <v>81</v>
      </c>
      <c r="BD728" t="s" s="0">
        <v>81</v>
      </c>
      <c r="BE728" t="s" s="0">
        <v>81</v>
      </c>
      <c r="BF728" t="s" s="0">
        <v>81</v>
      </c>
      <c r="BG728" t="s" s="0">
        <v>81</v>
      </c>
      <c r="BH728" t="s" s="0">
        <v>81</v>
      </c>
      <c r="BI728" t="s" s="0">
        <v>15979</v>
      </c>
      <c r="BJ728" t="s" s="0">
        <v>15980</v>
      </c>
      <c r="BK728" t="s" s="1446">
        <f>HYPERLINK("http://dx.doi.org/10.1111/nin.70099","http://dx.doi.org/10.1111/nin.70099")</f>
        <v>15981</v>
      </c>
      <c r="BL728" t="s" s="0">
        <v>81</v>
      </c>
      <c r="BM728" t="s" s="0">
        <v>81</v>
      </c>
      <c r="BN728" t="s" s="0">
        <v>381</v>
      </c>
      <c r="BO728" t="s" s="0">
        <v>5034</v>
      </c>
      <c r="BP728" t="s" s="0">
        <v>5034</v>
      </c>
      <c r="BQ728" t="s" s="0">
        <v>15982</v>
      </c>
      <c r="BR728" t="s" s="0">
        <v>15983</v>
      </c>
      <c r="BS728" t="s" s="0">
        <v>15984</v>
      </c>
      <c r="BT728" t="s" s="1447">
        <f>HYPERLINK("https://www.webofscience.com/wos/woscc/full-record/WOS:001753414800017","View Record in Web of Science")</f>
        <v>114</v>
      </c>
      <c r="BU728" t="s" s="0">
        <v>1055</v>
      </c>
      <c r="BV728" t="s" s="0">
        <v>81</v>
      </c>
      <c r="BW728" t="s" s="0">
        <v>81</v>
      </c>
      <c r="BX728" t="s" s="0">
        <v>116</v>
      </c>
    </row>
    <row r="729">
      <c r="A729" t="s" s="0">
        <v>77</v>
      </c>
      <c r="B729" t="s" s="0">
        <v>77</v>
      </c>
      <c r="C729" t="s" s="0">
        <v>77</v>
      </c>
      <c r="D729" t="s" s="0">
        <v>77</v>
      </c>
      <c r="E729" t="s" s="0">
        <v>15985</v>
      </c>
      <c r="F729" t="s" s="0">
        <v>15986</v>
      </c>
      <c r="G729" t="s" s="0">
        <v>15987</v>
      </c>
      <c r="H729" t="s" s="0">
        <v>81</v>
      </c>
      <c r="I729" t="s" s="0">
        <v>82</v>
      </c>
      <c r="J729" t="s" s="0">
        <v>15988</v>
      </c>
      <c r="K729" t="s" s="0">
        <v>15989</v>
      </c>
      <c r="L729" t="s" s="0">
        <v>15990</v>
      </c>
      <c r="M729" t="s" s="0">
        <v>15991</v>
      </c>
      <c r="N729" t="s" s="0">
        <v>9295</v>
      </c>
      <c r="O729" t="s" s="0">
        <v>15992</v>
      </c>
      <c r="P729" t="s" s="0">
        <v>81</v>
      </c>
      <c r="Q729" t="s" s="0">
        <v>87</v>
      </c>
      <c r="R729" t="s" s="0">
        <v>81</v>
      </c>
      <c r="S729" t="s" s="0">
        <v>81</v>
      </c>
      <c r="T729" t="s" s="0">
        <v>81</v>
      </c>
      <c r="U729" t="s" s="0">
        <v>81</v>
      </c>
      <c r="V729" t="s" s="0">
        <v>15993</v>
      </c>
      <c r="W729" t="s" s="0">
        <v>4446</v>
      </c>
      <c r="X729" t="s" s="0">
        <v>81</v>
      </c>
      <c r="Y729" t="s" s="0">
        <v>81</v>
      </c>
      <c r="Z729" t="s" s="0">
        <v>90</v>
      </c>
      <c r="AA729" t="s" s="0">
        <v>91</v>
      </c>
      <c r="AB729" t="s" s="0">
        <v>81</v>
      </c>
      <c r="AC729" t="s" s="0">
        <v>81</v>
      </c>
      <c r="AD729" t="s" s="0">
        <v>81</v>
      </c>
      <c r="AE729" t="s" s="0">
        <v>81</v>
      </c>
      <c r="AF729" t="s" s="0">
        <v>81</v>
      </c>
      <c r="AG729" t="s" s="0">
        <v>15994</v>
      </c>
      <c r="AH729" t="s" s="0">
        <v>15995</v>
      </c>
      <c r="AI729" t="s" s="0">
        <v>15996</v>
      </c>
      <c r="AJ729" t="s" s="0">
        <v>81</v>
      </c>
      <c r="AK729" t="s" s="0">
        <v>81</v>
      </c>
      <c r="AL729" t="s" s="0">
        <v>343</v>
      </c>
      <c r="AM729" t="s" s="0">
        <v>77</v>
      </c>
      <c r="AN729" t="s" s="0">
        <v>77</v>
      </c>
      <c r="AO729" t="s" s="0">
        <v>97</v>
      </c>
      <c r="AP729" t="s" s="0">
        <v>97</v>
      </c>
      <c r="AQ729" t="s" s="0">
        <v>284</v>
      </c>
      <c r="AR729" t="s" s="0">
        <v>285</v>
      </c>
      <c r="AS729" t="s" s="0">
        <v>286</v>
      </c>
      <c r="AT729" t="s" s="0">
        <v>81</v>
      </c>
      <c r="AU729" t="s" s="0">
        <v>4451</v>
      </c>
      <c r="AV729" t="s" s="0">
        <v>81</v>
      </c>
      <c r="AW729" t="s" s="0">
        <v>4452</v>
      </c>
      <c r="AX729" t="s" s="0">
        <v>4453</v>
      </c>
      <c r="AY729" t="s" s="0">
        <v>15997</v>
      </c>
      <c r="AZ729" t="s" s="0">
        <v>103</v>
      </c>
      <c r="BA729" t="s" s="0">
        <v>291</v>
      </c>
      <c r="BB729" t="s" s="0">
        <v>104</v>
      </c>
      <c r="BC729" t="s" s="0">
        <v>81</v>
      </c>
      <c r="BD729" t="s" s="0">
        <v>81</v>
      </c>
      <c r="BE729" t="s" s="0">
        <v>81</v>
      </c>
      <c r="BF729" t="s" s="0">
        <v>81</v>
      </c>
      <c r="BG729" t="s" s="0">
        <v>81</v>
      </c>
      <c r="BH729" t="s" s="0">
        <v>81</v>
      </c>
      <c r="BI729" t="s" s="0">
        <v>15998</v>
      </c>
      <c r="BJ729" t="s" s="0">
        <v>15999</v>
      </c>
      <c r="BK729" t="s" s="1448">
        <f>HYPERLINK("http://dx.doi.org/10.3390/jcm15145538","http://dx.doi.org/10.3390/jcm15145538")</f>
        <v>16000</v>
      </c>
      <c r="BL729" t="s" s="0">
        <v>81</v>
      </c>
      <c r="BM729" t="s" s="0">
        <v>81</v>
      </c>
      <c r="BN729" t="s" s="0">
        <v>109</v>
      </c>
      <c r="BO729" t="s" s="0">
        <v>296</v>
      </c>
      <c r="BP729" t="s" s="0">
        <v>297</v>
      </c>
      <c r="BQ729" t="s" s="0">
        <v>16001</v>
      </c>
      <c r="BR729" t="s" s="0">
        <v>16002</v>
      </c>
      <c r="BS729" t="s" s="0">
        <v>16003</v>
      </c>
      <c r="BT729" t="s" s="1449">
        <f>HYPERLINK("https://www.webofscience.com/wos/woscc/full-record/WOS:001832178500001","View Record in Web of Science")</f>
        <v>114</v>
      </c>
      <c r="BU729" t="s" s="0">
        <v>301</v>
      </c>
      <c r="BV729" t="s" s="0">
        <v>81</v>
      </c>
      <c r="BW729" t="s" s="0">
        <v>81</v>
      </c>
      <c r="BX729" t="s" s="0">
        <v>116</v>
      </c>
    </row>
    <row r="730">
      <c r="A730" t="s" s="0">
        <v>77</v>
      </c>
      <c r="B730" t="s" s="0">
        <v>77</v>
      </c>
      <c r="C730" t="s" s="0">
        <v>196</v>
      </c>
      <c r="D730" t="s" s="0">
        <v>77</v>
      </c>
      <c r="E730" t="s" s="0">
        <v>16004</v>
      </c>
      <c r="F730" t="s" s="0">
        <v>16005</v>
      </c>
      <c r="G730" t="s" s="0">
        <v>16006</v>
      </c>
      <c r="H730" t="s" s="0">
        <v>81</v>
      </c>
      <c r="I730" t="s" s="0">
        <v>238</v>
      </c>
      <c r="J730" t="s" s="0">
        <v>16007</v>
      </c>
      <c r="K730" t="s" s="0">
        <v>16008</v>
      </c>
      <c r="L730" t="s" s="0">
        <v>81</v>
      </c>
      <c r="M730" t="s" s="0">
        <v>81</v>
      </c>
      <c r="N730" t="s" s="0">
        <v>16009</v>
      </c>
      <c r="O730" t="s" s="0">
        <v>16010</v>
      </c>
      <c r="P730" t="s" s="0">
        <v>16011</v>
      </c>
      <c r="Q730" t="s" s="0">
        <v>87</v>
      </c>
      <c r="R730" t="s" s="0">
        <v>81</v>
      </c>
      <c r="S730" t="s" s="0">
        <v>81</v>
      </c>
      <c r="T730" t="s" s="0">
        <v>81</v>
      </c>
      <c r="U730" t="s" s="0">
        <v>81</v>
      </c>
      <c r="V730" t="s" s="0">
        <v>16012</v>
      </c>
      <c r="W730" t="s" s="0">
        <v>10181</v>
      </c>
      <c r="X730" t="s" s="0">
        <v>81</v>
      </c>
      <c r="Y730" t="s" s="0">
        <v>81</v>
      </c>
      <c r="Z730" t="s" s="0">
        <v>90</v>
      </c>
      <c r="AA730" t="s" s="0">
        <v>91</v>
      </c>
      <c r="AB730" t="s" s="0">
        <v>81</v>
      </c>
      <c r="AC730" t="s" s="0">
        <v>81</v>
      </c>
      <c r="AD730" t="s" s="0">
        <v>81</v>
      </c>
      <c r="AE730" t="s" s="0">
        <v>81</v>
      </c>
      <c r="AF730" t="s" s="0">
        <v>81</v>
      </c>
      <c r="AG730" t="s" s="0">
        <v>16013</v>
      </c>
      <c r="AH730" t="s" s="0">
        <v>16014</v>
      </c>
      <c r="AI730" t="s" s="0">
        <v>10184</v>
      </c>
      <c r="AJ730" t="s" s="0">
        <v>16015</v>
      </c>
      <c r="AK730" t="s" s="0">
        <v>81</v>
      </c>
      <c r="AL730" t="s" s="0">
        <v>315</v>
      </c>
      <c r="AM730" t="s" s="0">
        <v>134</v>
      </c>
      <c r="AN730" t="s" s="0">
        <v>486</v>
      </c>
      <c r="AO730" t="s" s="0">
        <v>77</v>
      </c>
      <c r="AP730" t="s" s="0">
        <v>175</v>
      </c>
      <c r="AQ730" t="s" s="0">
        <v>284</v>
      </c>
      <c r="AR730" t="s" s="0">
        <v>285</v>
      </c>
      <c r="AS730" t="s" s="0">
        <v>286</v>
      </c>
      <c r="AT730" t="s" s="0">
        <v>81</v>
      </c>
      <c r="AU730" t="s" s="0">
        <v>10186</v>
      </c>
      <c r="AV730" t="s" s="0">
        <v>81</v>
      </c>
      <c r="AW730" t="s" s="0">
        <v>10187</v>
      </c>
      <c r="AX730" t="s" s="0">
        <v>10188</v>
      </c>
      <c r="AY730" t="s" s="0">
        <v>5526</v>
      </c>
      <c r="AZ730" t="s" s="0">
        <v>260</v>
      </c>
      <c r="BA730" t="s" s="0">
        <v>196</v>
      </c>
      <c r="BB730" t="s" s="0">
        <v>156</v>
      </c>
      <c r="BC730" t="s" s="0">
        <v>81</v>
      </c>
      <c r="BD730" t="s" s="0">
        <v>81</v>
      </c>
      <c r="BE730" t="s" s="0">
        <v>81</v>
      </c>
      <c r="BF730" t="s" s="0">
        <v>81</v>
      </c>
      <c r="BG730" t="s" s="0">
        <v>16016</v>
      </c>
      <c r="BH730" t="s" s="0">
        <v>16017</v>
      </c>
      <c r="BI730" t="s" s="0">
        <v>81</v>
      </c>
      <c r="BJ730" t="s" s="0">
        <v>16018</v>
      </c>
      <c r="BK730" t="s" s="1450">
        <f>HYPERLINK("http://dx.doi.org/10.3390/appliedmath3020022","http://dx.doi.org/10.3390/appliedmath3020022")</f>
        <v>16019</v>
      </c>
      <c r="BL730" t="s" s="0">
        <v>81</v>
      </c>
      <c r="BM730" t="s" s="0">
        <v>81</v>
      </c>
      <c r="BN730" t="s" s="0">
        <v>890</v>
      </c>
      <c r="BO730" t="s" s="0">
        <v>10192</v>
      </c>
      <c r="BP730" t="s" s="0">
        <v>3693</v>
      </c>
      <c r="BQ730" t="s" s="0">
        <v>16020</v>
      </c>
      <c r="BR730" t="s" s="0">
        <v>81</v>
      </c>
      <c r="BS730" t="s" s="0">
        <v>16021</v>
      </c>
      <c r="BT730" t="s" s="1451">
        <f>HYPERLINK("https://www.webofscience.com/wos/woscc/full-record/WOS:001268553600001","View Record in Web of Science")</f>
        <v>114</v>
      </c>
      <c r="BU730" t="s" s="0">
        <v>301</v>
      </c>
      <c r="BV730" t="s" s="0">
        <v>81</v>
      </c>
      <c r="BW730" t="s" s="0">
        <v>81</v>
      </c>
      <c r="BX730" t="s" s="0">
        <v>116</v>
      </c>
    </row>
    <row r="731">
      <c r="A731" t="s" s="0">
        <v>77</v>
      </c>
      <c r="B731" t="s" s="0">
        <v>77</v>
      </c>
      <c r="C731" t="s" s="0">
        <v>77</v>
      </c>
      <c r="D731" t="s" s="0">
        <v>77</v>
      </c>
      <c r="E731" t="s" s="0">
        <v>16022</v>
      </c>
      <c r="F731" t="s" s="0">
        <v>16023</v>
      </c>
      <c r="G731" t="s" s="0">
        <v>16024</v>
      </c>
      <c r="H731" t="s" s="0">
        <v>81</v>
      </c>
      <c r="I731" t="s" s="0">
        <v>82</v>
      </c>
      <c r="J731" t="s" s="0">
        <v>16025</v>
      </c>
      <c r="K731" t="s" s="0">
        <v>16026</v>
      </c>
      <c r="L731" t="s" s="0">
        <v>16027</v>
      </c>
      <c r="M731" t="s" s="0">
        <v>16028</v>
      </c>
      <c r="N731" t="s" s="0">
        <v>1459</v>
      </c>
      <c r="O731" t="s" s="0">
        <v>16029</v>
      </c>
      <c r="P731" t="s" s="0">
        <v>16030</v>
      </c>
      <c r="Q731" t="s" s="0">
        <v>87</v>
      </c>
      <c r="R731" t="s" s="0">
        <v>81</v>
      </c>
      <c r="S731" t="s" s="0">
        <v>81</v>
      </c>
      <c r="T731" t="s" s="0">
        <v>81</v>
      </c>
      <c r="U731" t="s" s="0">
        <v>81</v>
      </c>
      <c r="V731" t="s" s="0">
        <v>16031</v>
      </c>
      <c r="W731" t="s" s="0">
        <v>392</v>
      </c>
      <c r="X731" t="s" s="0">
        <v>81</v>
      </c>
      <c r="Y731" t="s" s="0">
        <v>81</v>
      </c>
      <c r="Z731" t="s" s="0">
        <v>90</v>
      </c>
      <c r="AA731" t="s" s="0">
        <v>91</v>
      </c>
      <c r="AB731" t="s" s="0">
        <v>81</v>
      </c>
      <c r="AC731" t="s" s="0">
        <v>81</v>
      </c>
      <c r="AD731" t="s" s="0">
        <v>81</v>
      </c>
      <c r="AE731" t="s" s="0">
        <v>81</v>
      </c>
      <c r="AF731" t="s" s="0">
        <v>81</v>
      </c>
      <c r="AG731" t="s" s="0">
        <v>16032</v>
      </c>
      <c r="AH731" t="s" s="0">
        <v>81</v>
      </c>
      <c r="AI731" t="s" s="0">
        <v>16033</v>
      </c>
      <c r="AJ731" t="s" s="0">
        <v>16034</v>
      </c>
      <c r="AK731" t="s" s="0">
        <v>81</v>
      </c>
      <c r="AL731" t="s" s="0">
        <v>174</v>
      </c>
      <c r="AM731" t="s" s="0">
        <v>175</v>
      </c>
      <c r="AN731" t="s" s="0">
        <v>175</v>
      </c>
      <c r="AO731" t="s" s="0">
        <v>97</v>
      </c>
      <c r="AP731" t="s" s="0">
        <v>316</v>
      </c>
      <c r="AQ731" t="s" s="0">
        <v>212</v>
      </c>
      <c r="AR731" t="s" s="0">
        <v>213</v>
      </c>
      <c r="AS731" t="s" s="0">
        <v>214</v>
      </c>
      <c r="AT731" t="s" s="0">
        <v>400</v>
      </c>
      <c r="AU731" t="s" s="0">
        <v>401</v>
      </c>
      <c r="AV731" t="s" s="0">
        <v>81</v>
      </c>
      <c r="AW731" t="s" s="0">
        <v>402</v>
      </c>
      <c r="AX731" t="s" s="0">
        <v>403</v>
      </c>
      <c r="AY731" t="s" s="0">
        <v>16035</v>
      </c>
      <c r="AZ731" t="s" s="0">
        <v>290</v>
      </c>
      <c r="BA731" t="s" s="0">
        <v>1049</v>
      </c>
      <c r="BB731" t="s" s="0">
        <v>191</v>
      </c>
      <c r="BC731" t="s" s="0">
        <v>81</v>
      </c>
      <c r="BD731" t="s" s="0">
        <v>81</v>
      </c>
      <c r="BE731" t="s" s="0">
        <v>81</v>
      </c>
      <c r="BF731" t="s" s="0">
        <v>81</v>
      </c>
      <c r="BG731" t="s" s="0">
        <v>81</v>
      </c>
      <c r="BH731" t="s" s="0">
        <v>81</v>
      </c>
      <c r="BI731" t="s" s="0">
        <v>16036</v>
      </c>
      <c r="BJ731" t="s" s="0">
        <v>16037</v>
      </c>
      <c r="BK731" t="s" s="1452">
        <f>HYPERLINK("http://dx.doi.org/10.1007/s10462-025-11366-9","http://dx.doi.org/10.1007/s10462-025-11366-9")</f>
        <v>16038</v>
      </c>
      <c r="BL731" t="s" s="0">
        <v>81</v>
      </c>
      <c r="BM731" t="s" s="0">
        <v>81</v>
      </c>
      <c r="BN731" t="s" s="0">
        <v>664</v>
      </c>
      <c r="BO731" t="s" s="0">
        <v>409</v>
      </c>
      <c r="BP731" t="s" s="0">
        <v>152</v>
      </c>
      <c r="BQ731" t="s" s="0">
        <v>16039</v>
      </c>
      <c r="BR731" t="s" s="0">
        <v>81</v>
      </c>
      <c r="BS731" t="s" s="0">
        <v>16040</v>
      </c>
      <c r="BT731" t="s" s="1453">
        <f>HYPERLINK("https://www.webofscience.com/wos/woscc/full-record/WOS:001562582000001","View Record in Web of Science")</f>
        <v>114</v>
      </c>
      <c r="BU731" t="s" s="0">
        <v>1055</v>
      </c>
      <c r="BV731" t="s" s="0">
        <v>81</v>
      </c>
      <c r="BW731" t="s" s="0">
        <v>81</v>
      </c>
      <c r="BX731" t="s" s="0">
        <v>116</v>
      </c>
    </row>
    <row r="732">
      <c r="A732" t="s" s="0">
        <v>77</v>
      </c>
      <c r="B732" t="s" s="0">
        <v>77</v>
      </c>
      <c r="C732" t="s" s="0">
        <v>77</v>
      </c>
      <c r="D732" t="s" s="0">
        <v>77</v>
      </c>
      <c r="E732" t="s" s="0">
        <v>16041</v>
      </c>
      <c r="F732" t="s" s="0">
        <v>16042</v>
      </c>
      <c r="G732" t="s" s="0">
        <v>16043</v>
      </c>
      <c r="H732" t="s" s="0">
        <v>81</v>
      </c>
      <c r="I732" t="s" s="0">
        <v>82</v>
      </c>
      <c r="J732" t="s" s="0">
        <v>16044</v>
      </c>
      <c r="K732" t="s" s="0">
        <v>16045</v>
      </c>
      <c r="L732" t="s" s="0">
        <v>81</v>
      </c>
      <c r="M732" t="s" s="0">
        <v>81</v>
      </c>
      <c r="N732" t="s" s="0">
        <v>81</v>
      </c>
      <c r="O732" t="s" s="0">
        <v>16046</v>
      </c>
      <c r="P732" t="s" s="0">
        <v>3916</v>
      </c>
      <c r="Q732" t="s" s="0">
        <v>87</v>
      </c>
      <c r="R732" t="s" s="0">
        <v>81</v>
      </c>
      <c r="S732" t="s" s="0">
        <v>81</v>
      </c>
      <c r="T732" t="s" s="0">
        <v>81</v>
      </c>
      <c r="U732" t="s" s="0">
        <v>81</v>
      </c>
      <c r="V732" t="s" s="0">
        <v>16047</v>
      </c>
      <c r="W732" t="s" s="0">
        <v>10412</v>
      </c>
      <c r="X732" t="s" s="0">
        <v>81</v>
      </c>
      <c r="Y732" t="s" s="0">
        <v>81</v>
      </c>
      <c r="Z732" t="s" s="0">
        <v>90</v>
      </c>
      <c r="AA732" t="s" s="0">
        <v>91</v>
      </c>
      <c r="AB732" t="s" s="0">
        <v>81</v>
      </c>
      <c r="AC732" t="s" s="0">
        <v>81</v>
      </c>
      <c r="AD732" t="s" s="0">
        <v>81</v>
      </c>
      <c r="AE732" t="s" s="0">
        <v>81</v>
      </c>
      <c r="AF732" t="s" s="0">
        <v>81</v>
      </c>
      <c r="AG732" t="s" s="0">
        <v>16048</v>
      </c>
      <c r="AH732" t="s" s="0">
        <v>989</v>
      </c>
      <c r="AI732" t="s" s="0">
        <v>16049</v>
      </c>
      <c r="AJ732" t="s" s="0">
        <v>81</v>
      </c>
      <c r="AK732" t="s" s="0">
        <v>81</v>
      </c>
      <c r="AL732" t="s" s="0">
        <v>1254</v>
      </c>
      <c r="AM732" t="s" s="0">
        <v>156</v>
      </c>
      <c r="AN732" t="s" s="0">
        <v>196</v>
      </c>
      <c r="AO732" t="s" s="0">
        <v>77</v>
      </c>
      <c r="AP732" t="s" s="0">
        <v>77</v>
      </c>
      <c r="AQ732" t="s" s="0">
        <v>368</v>
      </c>
      <c r="AR732" t="s" s="0">
        <v>369</v>
      </c>
      <c r="AS732" t="s" s="0">
        <v>370</v>
      </c>
      <c r="AT732" t="s" s="0">
        <v>10416</v>
      </c>
      <c r="AU732" t="s" s="0">
        <v>81</v>
      </c>
      <c r="AV732" t="s" s="0">
        <v>81</v>
      </c>
      <c r="AW732" t="s" s="0">
        <v>10417</v>
      </c>
      <c r="AX732" t="s" s="0">
        <v>10418</v>
      </c>
      <c r="AY732" t="s" s="0">
        <v>16050</v>
      </c>
      <c r="AZ732" t="s" s="0">
        <v>290</v>
      </c>
      <c r="BA732" t="s" s="0">
        <v>291</v>
      </c>
      <c r="BB732" t="s" s="0">
        <v>81</v>
      </c>
      <c r="BC732" t="s" s="0">
        <v>81</v>
      </c>
      <c r="BD732" t="s" s="0">
        <v>81</v>
      </c>
      <c r="BE732" t="s" s="0">
        <v>81</v>
      </c>
      <c r="BF732" t="s" s="0">
        <v>81</v>
      </c>
      <c r="BG732" t="s" s="0">
        <v>81</v>
      </c>
      <c r="BH732" t="s" s="0">
        <v>81</v>
      </c>
      <c r="BI732" t="s" s="0">
        <v>16051</v>
      </c>
      <c r="BJ732" t="s" s="0">
        <v>16052</v>
      </c>
      <c r="BK732" t="s" s="1454">
        <f>HYPERLINK("http://dx.doi.org/10.3389/fonc.2025.1699960","http://dx.doi.org/10.3389/fonc.2025.1699960")</f>
        <v>16053</v>
      </c>
      <c r="BL732" t="s" s="0">
        <v>81</v>
      </c>
      <c r="BM732" t="s" s="0">
        <v>81</v>
      </c>
      <c r="BN732" t="s" s="0">
        <v>228</v>
      </c>
      <c r="BO732" t="s" s="0">
        <v>1380</v>
      </c>
      <c r="BP732" t="s" s="0">
        <v>1380</v>
      </c>
      <c r="BQ732" t="s" s="0">
        <v>16054</v>
      </c>
      <c r="BR732" t="s" s="0">
        <v>16055</v>
      </c>
      <c r="BS732" t="s" s="0">
        <v>16056</v>
      </c>
      <c r="BT732" t="s" s="1455">
        <f>HYPERLINK("https://www.webofscience.com/wos/woscc/full-record/WOS:001709477100001","View Record in Web of Science")</f>
        <v>114</v>
      </c>
      <c r="BU732" t="s" s="0">
        <v>301</v>
      </c>
      <c r="BV732" t="s" s="0">
        <v>81</v>
      </c>
      <c r="BW732" t="s" s="0">
        <v>81</v>
      </c>
      <c r="BX732" t="s" s="0">
        <v>116</v>
      </c>
    </row>
    <row r="733">
      <c r="A733" t="s" s="0">
        <v>77</v>
      </c>
      <c r="B733" t="s" s="0">
        <v>77</v>
      </c>
      <c r="C733" t="s" s="0">
        <v>97</v>
      </c>
      <c r="D733" t="s" s="0">
        <v>77</v>
      </c>
      <c r="E733" t="s" s="0">
        <v>16057</v>
      </c>
      <c r="F733" t="s" s="0">
        <v>16058</v>
      </c>
      <c r="G733" t="s" s="0">
        <v>16059</v>
      </c>
      <c r="H733" t="s" s="0">
        <v>81</v>
      </c>
      <c r="I733" t="s" s="0">
        <v>82</v>
      </c>
      <c r="J733" t="s" s="0">
        <v>16060</v>
      </c>
      <c r="K733" t="s" s="0">
        <v>16061</v>
      </c>
      <c r="L733" t="s" s="0">
        <v>16062</v>
      </c>
      <c r="M733" t="s" s="0">
        <v>16062</v>
      </c>
      <c r="N733" t="s" s="0">
        <v>16063</v>
      </c>
      <c r="O733" t="s" s="0">
        <v>16064</v>
      </c>
      <c r="P733" t="s" s="0">
        <v>16065</v>
      </c>
      <c r="Q733" t="s" s="0">
        <v>87</v>
      </c>
      <c r="R733" t="s" s="0">
        <v>81</v>
      </c>
      <c r="S733" t="s" s="0">
        <v>81</v>
      </c>
      <c r="T733" t="s" s="0">
        <v>81</v>
      </c>
      <c r="U733" t="s" s="0">
        <v>81</v>
      </c>
      <c r="V733" t="s" s="0">
        <v>16066</v>
      </c>
      <c r="W733" t="s" s="0">
        <v>16067</v>
      </c>
      <c r="X733" t="s" s="0">
        <v>81</v>
      </c>
      <c r="Y733" t="s" s="0">
        <v>81</v>
      </c>
      <c r="Z733" t="s" s="0">
        <v>90</v>
      </c>
      <c r="AA733" t="s" s="0">
        <v>91</v>
      </c>
      <c r="AB733" t="s" s="0">
        <v>81</v>
      </c>
      <c r="AC733" t="s" s="0">
        <v>81</v>
      </c>
      <c r="AD733" t="s" s="0">
        <v>81</v>
      </c>
      <c r="AE733" t="s" s="0">
        <v>81</v>
      </c>
      <c r="AF733" t="s" s="0">
        <v>81</v>
      </c>
      <c r="AG733" t="s" s="0">
        <v>16068</v>
      </c>
      <c r="AH733" t="s" s="0">
        <v>81</v>
      </c>
      <c r="AI733" t="s" s="0">
        <v>16069</v>
      </c>
      <c r="AJ733" t="s" s="0">
        <v>16070</v>
      </c>
      <c r="AK733" t="s" s="0">
        <v>81</v>
      </c>
      <c r="AL733" t="s" s="0">
        <v>210</v>
      </c>
      <c r="AM733" t="s" s="0">
        <v>367</v>
      </c>
      <c r="AN733" t="s" s="0">
        <v>485</v>
      </c>
      <c r="AO733" t="s" s="0">
        <v>97</v>
      </c>
      <c r="AP733" t="s" s="0">
        <v>176</v>
      </c>
      <c r="AQ733" t="s" s="0">
        <v>3734</v>
      </c>
      <c r="AR733" t="s" s="0">
        <v>604</v>
      </c>
      <c r="AS733" t="s" s="0">
        <v>3735</v>
      </c>
      <c r="AT733" t="s" s="0">
        <v>16071</v>
      </c>
      <c r="AU733" t="s" s="0">
        <v>16072</v>
      </c>
      <c r="AV733" t="s" s="0">
        <v>81</v>
      </c>
      <c r="AW733" t="s" s="0">
        <v>16073</v>
      </c>
      <c r="AX733" t="s" s="0">
        <v>16074</v>
      </c>
      <c r="AY733" t="s" s="0">
        <v>2577</v>
      </c>
      <c r="AZ733" t="s" s="0">
        <v>260</v>
      </c>
      <c r="BA733" t="s" s="0">
        <v>3559</v>
      </c>
      <c r="BB733" t="s" s="0">
        <v>211</v>
      </c>
      <c r="BC733" t="s" s="0">
        <v>81</v>
      </c>
      <c r="BD733" t="s" s="0">
        <v>81</v>
      </c>
      <c r="BE733" t="s" s="0">
        <v>81</v>
      </c>
      <c r="BF733" t="s" s="0">
        <v>81</v>
      </c>
      <c r="BG733" t="s" s="0">
        <v>16075</v>
      </c>
      <c r="BH733" t="s" s="0">
        <v>16076</v>
      </c>
      <c r="BI733" t="s" s="0">
        <v>81</v>
      </c>
      <c r="BJ733" t="s" s="0">
        <v>16077</v>
      </c>
      <c r="BK733" t="s" s="1456">
        <f>HYPERLINK("http://dx.doi.org/10.1097/JS9.0000000000000552","http://dx.doi.org/10.1097/JS9.0000000000000552")</f>
        <v>16078</v>
      </c>
      <c r="BL733" t="s" s="0">
        <v>81</v>
      </c>
      <c r="BM733" t="s" s="0">
        <v>81</v>
      </c>
      <c r="BN733" t="s" s="0">
        <v>175</v>
      </c>
      <c r="BO733" t="s" s="0">
        <v>4529</v>
      </c>
      <c r="BP733" t="s" s="0">
        <v>4529</v>
      </c>
      <c r="BQ733" t="s" s="0">
        <v>16079</v>
      </c>
      <c r="BR733" t="s" s="0">
        <v>16080</v>
      </c>
      <c r="BS733" t="s" s="0">
        <v>16081</v>
      </c>
      <c r="BT733" t="s" s="1457">
        <f>HYPERLINK("https://www.webofscience.com/wos/woscc/full-record/WOS:001089168200011","View Record in Web of Science")</f>
        <v>114</v>
      </c>
      <c r="BU733" t="s" s="0">
        <v>155</v>
      </c>
      <c r="BV733" t="s" s="0">
        <v>81</v>
      </c>
      <c r="BW733" t="s" s="0">
        <v>81</v>
      </c>
      <c r="BX733" t="s" s="0">
        <v>116</v>
      </c>
    </row>
    <row r="734">
      <c r="A734" t="s" s="0">
        <v>77</v>
      </c>
      <c r="B734" t="s" s="0">
        <v>77</v>
      </c>
      <c r="C734" t="s" s="0">
        <v>77</v>
      </c>
      <c r="D734" t="s" s="0">
        <v>77</v>
      </c>
      <c r="E734" t="s" s="0">
        <v>16082</v>
      </c>
      <c r="F734" t="s" s="0">
        <v>16083</v>
      </c>
      <c r="G734" t="s" s="0">
        <v>16084</v>
      </c>
      <c r="H734" t="s" s="0">
        <v>81</v>
      </c>
      <c r="I734" t="s" s="0">
        <v>82</v>
      </c>
      <c r="J734" t="s" s="0">
        <v>16085</v>
      </c>
      <c r="K734" t="s" s="0">
        <v>16086</v>
      </c>
      <c r="L734" t="s" s="0">
        <v>16087</v>
      </c>
      <c r="M734" t="s" s="0">
        <v>16088</v>
      </c>
      <c r="N734" t="s" s="0">
        <v>16089</v>
      </c>
      <c r="O734" t="s" s="0">
        <v>16090</v>
      </c>
      <c r="P734" t="s" s="0">
        <v>16091</v>
      </c>
      <c r="Q734" t="s" s="0">
        <v>87</v>
      </c>
      <c r="R734" t="s" s="0">
        <v>81</v>
      </c>
      <c r="S734" t="s" s="0">
        <v>81</v>
      </c>
      <c r="T734" t="s" s="0">
        <v>81</v>
      </c>
      <c r="U734" t="s" s="0">
        <v>81</v>
      </c>
      <c r="V734" t="s" s="0">
        <v>16092</v>
      </c>
      <c r="W734" t="s" s="0">
        <v>16093</v>
      </c>
      <c r="X734" t="s" s="0">
        <v>81</v>
      </c>
      <c r="Y734" t="s" s="0">
        <v>81</v>
      </c>
      <c r="Z734" t="s" s="0">
        <v>90</v>
      </c>
      <c r="AA734" t="s" s="0">
        <v>91</v>
      </c>
      <c r="AB734" t="s" s="0">
        <v>81</v>
      </c>
      <c r="AC734" t="s" s="0">
        <v>81</v>
      </c>
      <c r="AD734" t="s" s="0">
        <v>81</v>
      </c>
      <c r="AE734" t="s" s="0">
        <v>81</v>
      </c>
      <c r="AF734" t="s" s="0">
        <v>81</v>
      </c>
      <c r="AG734" t="s" s="0">
        <v>81</v>
      </c>
      <c r="AH734" t="s" s="0">
        <v>81</v>
      </c>
      <c r="AI734" t="s" s="0">
        <v>81</v>
      </c>
      <c r="AJ734" t="s" s="0">
        <v>16094</v>
      </c>
      <c r="AK734" t="s" s="0">
        <v>81</v>
      </c>
      <c r="AL734" t="s" s="0">
        <v>252</v>
      </c>
      <c r="AM734" t="s" s="0">
        <v>196</v>
      </c>
      <c r="AN734" t="s" s="0">
        <v>196</v>
      </c>
      <c r="AO734" t="s" s="0">
        <v>97</v>
      </c>
      <c r="AP734" t="s" s="0">
        <v>97</v>
      </c>
      <c r="AQ734" t="s" s="0">
        <v>8996</v>
      </c>
      <c r="AR734" t="s" s="0">
        <v>8997</v>
      </c>
      <c r="AS734" t="s" s="0">
        <v>8998</v>
      </c>
      <c r="AT734" t="s" s="0">
        <v>16095</v>
      </c>
      <c r="AU734" t="s" s="0">
        <v>81</v>
      </c>
      <c r="AV734" t="s" s="0">
        <v>81</v>
      </c>
      <c r="AW734" t="s" s="0">
        <v>16096</v>
      </c>
      <c r="AX734" t="s" s="0">
        <v>16097</v>
      </c>
      <c r="AY734" t="s" s="0">
        <v>1743</v>
      </c>
      <c r="AZ734" t="s" s="0">
        <v>290</v>
      </c>
      <c r="BA734" t="s" s="0">
        <v>234</v>
      </c>
      <c r="BB734" t="s" s="0">
        <v>316</v>
      </c>
      <c r="BC734" t="s" s="0">
        <v>81</v>
      </c>
      <c r="BD734" t="s" s="0">
        <v>81</v>
      </c>
      <c r="BE734" t="s" s="0">
        <v>81</v>
      </c>
      <c r="BF734" t="s" s="0">
        <v>81</v>
      </c>
      <c r="BG734" t="s" s="0">
        <v>81</v>
      </c>
      <c r="BH734" t="s" s="0">
        <v>81</v>
      </c>
      <c r="BI734" t="s" s="0">
        <v>16098</v>
      </c>
      <c r="BJ734" t="s" s="0">
        <v>16099</v>
      </c>
      <c r="BK734" t="s" s="1458">
        <f>HYPERLINK("http://dx.doi.org/10.1148/ryai.240417","http://dx.doi.org/10.1148/ryai.240417")</f>
        <v>16100</v>
      </c>
      <c r="BL734" t="s" s="0">
        <v>81</v>
      </c>
      <c r="BM734" t="s" s="0">
        <v>81</v>
      </c>
      <c r="BN734" t="s" s="0">
        <v>211</v>
      </c>
      <c r="BO734" t="s" s="0">
        <v>16101</v>
      </c>
      <c r="BP734" t="s" s="0">
        <v>16102</v>
      </c>
      <c r="BQ734" t="s" s="0">
        <v>16103</v>
      </c>
      <c r="BR734" t="s" s="0">
        <v>16104</v>
      </c>
      <c r="BS734" t="s" s="0">
        <v>16105</v>
      </c>
      <c r="BT734" t="s" s="1459">
        <f>HYPERLINK("https://www.webofscience.com/wos/woscc/full-record/WOS:001652169200002","View Record in Web of Science")</f>
        <v>114</v>
      </c>
      <c r="BU734" t="s" s="0">
        <v>16106</v>
      </c>
      <c r="BV734" t="s" s="0">
        <v>81</v>
      </c>
      <c r="BW734" t="s" s="0">
        <v>81</v>
      </c>
      <c r="BX734" t="s" s="0">
        <v>116</v>
      </c>
    </row>
    <row r="735">
      <c r="A735" t="s" s="0">
        <v>77</v>
      </c>
      <c r="B735" t="s" s="0">
        <v>77</v>
      </c>
      <c r="C735" t="s" s="0">
        <v>77</v>
      </c>
      <c r="D735" t="s" s="0">
        <v>77</v>
      </c>
      <c r="E735" t="s" s="0">
        <v>16107</v>
      </c>
      <c r="F735" t="s" s="0">
        <v>16108</v>
      </c>
      <c r="G735" t="s" s="0">
        <v>16109</v>
      </c>
      <c r="H735" t="s" s="0">
        <v>81</v>
      </c>
      <c r="I735" t="s" s="0">
        <v>82</v>
      </c>
      <c r="J735" t="s" s="0">
        <v>16110</v>
      </c>
      <c r="K735" t="s" s="0">
        <v>16111</v>
      </c>
      <c r="L735" t="s" s="0">
        <v>9140</v>
      </c>
      <c r="M735" t="s" s="0">
        <v>16112</v>
      </c>
      <c r="N735" t="s" s="0">
        <v>16113</v>
      </c>
      <c r="O735" t="s" s="0">
        <v>16114</v>
      </c>
      <c r="P735" t="s" s="0">
        <v>16115</v>
      </c>
      <c r="Q735" t="s" s="0">
        <v>87</v>
      </c>
      <c r="R735" t="s" s="0">
        <v>81</v>
      </c>
      <c r="S735" t="s" s="0">
        <v>81</v>
      </c>
      <c r="T735" t="s" s="0">
        <v>81</v>
      </c>
      <c r="U735" t="s" s="0">
        <v>81</v>
      </c>
      <c r="V735" t="s" s="0">
        <v>16116</v>
      </c>
      <c r="W735" t="s" s="0">
        <v>89</v>
      </c>
      <c r="X735" t="s" s="0">
        <v>81</v>
      </c>
      <c r="Y735" t="s" s="0">
        <v>81</v>
      </c>
      <c r="Z735" t="s" s="0">
        <v>90</v>
      </c>
      <c r="AA735" t="s" s="0">
        <v>91</v>
      </c>
      <c r="AB735" t="s" s="0">
        <v>81</v>
      </c>
      <c r="AC735" t="s" s="0">
        <v>81</v>
      </c>
      <c r="AD735" t="s" s="0">
        <v>81</v>
      </c>
      <c r="AE735" t="s" s="0">
        <v>81</v>
      </c>
      <c r="AF735" t="s" s="0">
        <v>81</v>
      </c>
      <c r="AG735" t="s" s="0">
        <v>16117</v>
      </c>
      <c r="AH735" t="s" s="0">
        <v>81</v>
      </c>
      <c r="AI735" t="s" s="0">
        <v>16118</v>
      </c>
      <c r="AJ735" t="s" s="0">
        <v>81</v>
      </c>
      <c r="AK735" t="s" s="0">
        <v>81</v>
      </c>
      <c r="AL735" t="s" s="0">
        <v>324</v>
      </c>
      <c r="AM735" t="s" s="0">
        <v>77</v>
      </c>
      <c r="AN735" t="s" s="0">
        <v>77</v>
      </c>
      <c r="AO735" t="s" s="0">
        <v>77</v>
      </c>
      <c r="AP735" t="s" s="0">
        <v>77</v>
      </c>
      <c r="AQ735" t="s" s="0">
        <v>98</v>
      </c>
      <c r="AR735" t="s" s="0">
        <v>99</v>
      </c>
      <c r="AS735" t="s" s="0">
        <v>100</v>
      </c>
      <c r="AT735" t="s" s="0">
        <v>101</v>
      </c>
      <c r="AU735" t="s" s="0">
        <v>81</v>
      </c>
      <c r="AV735" t="s" s="0">
        <v>81</v>
      </c>
      <c r="AW735" t="s" s="0">
        <v>89</v>
      </c>
      <c r="AX735" t="s" s="0">
        <v>102</v>
      </c>
      <c r="AY735" t="s" s="0">
        <v>103</v>
      </c>
      <c r="AZ735" t="s" s="0">
        <v>103</v>
      </c>
      <c r="BA735" t="s" s="0">
        <v>104</v>
      </c>
      <c r="BB735" t="s" s="0">
        <v>81</v>
      </c>
      <c r="BC735" t="s" s="0">
        <v>81</v>
      </c>
      <c r="BD735" t="s" s="0">
        <v>81</v>
      </c>
      <c r="BE735" t="s" s="0">
        <v>81</v>
      </c>
      <c r="BF735" t="s" s="0">
        <v>81</v>
      </c>
      <c r="BG735" t="s" s="0">
        <v>16119</v>
      </c>
      <c r="BH735" t="s" s="0">
        <v>16120</v>
      </c>
      <c r="BI735" t="s" s="0">
        <v>81</v>
      </c>
      <c r="BJ735" t="s" s="0">
        <v>16121</v>
      </c>
      <c r="BK735" t="s" s="1460">
        <f>HYPERLINK("http://dx.doi.org/10.1109/ACCESS.2026.3683577","http://dx.doi.org/10.1109/ACCESS.2026.3683577")</f>
        <v>16122</v>
      </c>
      <c r="BL735" t="s" s="0">
        <v>81</v>
      </c>
      <c r="BM735" t="s" s="0">
        <v>81</v>
      </c>
      <c r="BN735" t="s" s="0">
        <v>367</v>
      </c>
      <c r="BO735" t="s" s="0">
        <v>110</v>
      </c>
      <c r="BP735" t="s" s="0">
        <v>111</v>
      </c>
      <c r="BQ735" t="s" s="0">
        <v>16123</v>
      </c>
      <c r="BR735" t="s" s="0">
        <v>81</v>
      </c>
      <c r="BS735" t="s" s="0">
        <v>16124</v>
      </c>
      <c r="BT735" t="s" s="1461">
        <f>HYPERLINK("https://www.webofscience.com/wos/woscc/full-record/WOS:001748521500005","View Record in Web of Science")</f>
        <v>114</v>
      </c>
      <c r="BU735" t="s" s="0">
        <v>301</v>
      </c>
      <c r="BV735" t="s" s="0">
        <v>81</v>
      </c>
      <c r="BW735" t="s" s="0">
        <v>81</v>
      </c>
      <c r="BX735" t="s" s="0">
        <v>116</v>
      </c>
    </row>
    <row r="736">
      <c r="A736" t="s" s="0">
        <v>77</v>
      </c>
      <c r="B736" t="s" s="0">
        <v>77</v>
      </c>
      <c r="C736" t="s" s="0">
        <v>77</v>
      </c>
      <c r="D736" t="s" s="0">
        <v>77</v>
      </c>
      <c r="E736" t="s" s="0">
        <v>16125</v>
      </c>
      <c r="F736" t="s" s="0">
        <v>16126</v>
      </c>
      <c r="G736" t="s" s="0">
        <v>16127</v>
      </c>
      <c r="H736" t="s" s="0">
        <v>81</v>
      </c>
      <c r="I736" t="s" s="0">
        <v>238</v>
      </c>
      <c r="J736" t="s" s="0">
        <v>16128</v>
      </c>
      <c r="K736" t="s" s="0">
        <v>16129</v>
      </c>
      <c r="L736" t="s" s="0">
        <v>81</v>
      </c>
      <c r="M736" t="s" s="0">
        <v>81</v>
      </c>
      <c r="N736" t="s" s="0">
        <v>81</v>
      </c>
      <c r="O736" t="s" s="0">
        <v>16130</v>
      </c>
      <c r="P736" t="s" s="0">
        <v>16131</v>
      </c>
      <c r="Q736" t="s" s="0">
        <v>87</v>
      </c>
      <c r="R736" t="s" s="0">
        <v>81</v>
      </c>
      <c r="S736" t="s" s="0">
        <v>81</v>
      </c>
      <c r="T736" t="s" s="0">
        <v>81</v>
      </c>
      <c r="U736" t="s" s="0">
        <v>81</v>
      </c>
      <c r="V736" t="s" s="0">
        <v>16132</v>
      </c>
      <c r="W736" t="s" s="0">
        <v>16133</v>
      </c>
      <c r="X736" t="s" s="0">
        <v>81</v>
      </c>
      <c r="Y736" t="s" s="0">
        <v>81</v>
      </c>
      <c r="Z736" t="s" s="0">
        <v>90</v>
      </c>
      <c r="AA736" t="s" s="0">
        <v>91</v>
      </c>
      <c r="AB736" t="s" s="0">
        <v>81</v>
      </c>
      <c r="AC736" t="s" s="0">
        <v>81</v>
      </c>
      <c r="AD736" t="s" s="0">
        <v>81</v>
      </c>
      <c r="AE736" t="s" s="0">
        <v>81</v>
      </c>
      <c r="AF736" t="s" s="0">
        <v>81</v>
      </c>
      <c r="AG736" t="s" s="0">
        <v>16134</v>
      </c>
      <c r="AH736" t="s" s="0">
        <v>16135</v>
      </c>
      <c r="AI736" t="s" s="0">
        <v>16136</v>
      </c>
      <c r="AJ736" t="s" s="0">
        <v>81</v>
      </c>
      <c r="AK736" t="s" s="0">
        <v>81</v>
      </c>
      <c r="AL736" t="s" s="0">
        <v>5451</v>
      </c>
      <c r="AM736" t="s" s="0">
        <v>156</v>
      </c>
      <c r="AN736" t="s" s="0">
        <v>196</v>
      </c>
      <c r="AO736" t="s" s="0">
        <v>381</v>
      </c>
      <c r="AP736" t="s" s="0">
        <v>381</v>
      </c>
      <c r="AQ736" t="s" s="0">
        <v>136</v>
      </c>
      <c r="AR736" t="s" s="0">
        <v>137</v>
      </c>
      <c r="AS736" t="s" s="0">
        <v>138</v>
      </c>
      <c r="AT736" t="s" s="0">
        <v>81</v>
      </c>
      <c r="AU736" t="s" s="0">
        <v>16137</v>
      </c>
      <c r="AV736" t="s" s="0">
        <v>81</v>
      </c>
      <c r="AW736" t="s" s="0">
        <v>16138</v>
      </c>
      <c r="AX736" t="s" s="0">
        <v>16139</v>
      </c>
      <c r="AY736" t="s" s="0">
        <v>849</v>
      </c>
      <c r="AZ736" t="s" s="0">
        <v>103</v>
      </c>
      <c r="BA736" t="s" s="0">
        <v>261</v>
      </c>
      <c r="BB736" t="s" s="0">
        <v>81</v>
      </c>
      <c r="BC736" t="s" s="0">
        <v>81</v>
      </c>
      <c r="BD736" t="s" s="0">
        <v>81</v>
      </c>
      <c r="BE736" t="s" s="0">
        <v>81</v>
      </c>
      <c r="BF736" t="s" s="0">
        <v>81</v>
      </c>
      <c r="BG736" t="s" s="0">
        <v>81</v>
      </c>
      <c r="BH736" t="s" s="0">
        <v>81</v>
      </c>
      <c r="BI736" t="s" s="0">
        <v>16140</v>
      </c>
      <c r="BJ736" t="s" s="0">
        <v>16141</v>
      </c>
      <c r="BK736" t="s" s="1462">
        <f>HYPERLINK("http://dx.doi.org/10.1016/j.ailsci.2026.100158","http://dx.doi.org/10.1016/j.ailsci.2026.100158")</f>
        <v>16142</v>
      </c>
      <c r="BL736" t="s" s="0">
        <v>81</v>
      </c>
      <c r="BM736" t="s" s="0">
        <v>1940</v>
      </c>
      <c r="BN736" t="s" s="0">
        <v>211</v>
      </c>
      <c r="BO736" t="s" s="0">
        <v>16143</v>
      </c>
      <c r="BP736" t="s" s="0">
        <v>16144</v>
      </c>
      <c r="BQ736" t="s" s="0">
        <v>16145</v>
      </c>
      <c r="BR736" t="s" s="0">
        <v>81</v>
      </c>
      <c r="BS736" t="s" s="0">
        <v>16146</v>
      </c>
      <c r="BT736" t="s" s="1463">
        <f>HYPERLINK("https://www.webofscience.com/wos/woscc/full-record/WOS:001688267300001","View Record in Web of Science")</f>
        <v>114</v>
      </c>
      <c r="BU736" t="s" s="0">
        <v>115</v>
      </c>
      <c r="BV736" t="s" s="0">
        <v>81</v>
      </c>
      <c r="BW736" t="s" s="0">
        <v>81</v>
      </c>
      <c r="BX736" t="s" s="0">
        <v>116</v>
      </c>
    </row>
    <row r="737">
      <c r="A737" t="s" s="0">
        <v>77</v>
      </c>
      <c r="B737" t="s" s="0">
        <v>77</v>
      </c>
      <c r="C737" t="s" s="0">
        <v>77</v>
      </c>
      <c r="D737" t="s" s="0">
        <v>77</v>
      </c>
      <c r="E737" t="s" s="0">
        <v>16147</v>
      </c>
      <c r="F737" t="s" s="0">
        <v>16148</v>
      </c>
      <c r="G737" t="s" s="0">
        <v>16149</v>
      </c>
      <c r="H737" t="s" s="0">
        <v>81</v>
      </c>
      <c r="I737" t="s" s="0">
        <v>528</v>
      </c>
      <c r="J737" t="s" s="0">
        <v>16150</v>
      </c>
      <c r="K737" t="s" s="0">
        <v>16151</v>
      </c>
      <c r="L737" t="s" s="0">
        <v>81</v>
      </c>
      <c r="M737" t="s" s="0">
        <v>81</v>
      </c>
      <c r="N737" t="s" s="0">
        <v>81</v>
      </c>
      <c r="O737" t="s" s="0">
        <v>16152</v>
      </c>
      <c r="P737" t="s" s="0">
        <v>16153</v>
      </c>
      <c r="Q737" t="s" s="0">
        <v>87</v>
      </c>
      <c r="R737" t="s" s="0">
        <v>81</v>
      </c>
      <c r="S737" t="s" s="0">
        <v>81</v>
      </c>
      <c r="T737" t="s" s="0">
        <v>81</v>
      </c>
      <c r="U737" t="s" s="0">
        <v>81</v>
      </c>
      <c r="V737" t="s" s="0">
        <v>16154</v>
      </c>
      <c r="W737" t="s" s="0">
        <v>8380</v>
      </c>
      <c r="X737" t="s" s="0">
        <v>81</v>
      </c>
      <c r="Y737" t="s" s="0">
        <v>81</v>
      </c>
      <c r="Z737" t="s" s="0">
        <v>90</v>
      </c>
      <c r="AA737" t="s" s="0">
        <v>91</v>
      </c>
      <c r="AB737" t="s" s="0">
        <v>81</v>
      </c>
      <c r="AC737" t="s" s="0">
        <v>81</v>
      </c>
      <c r="AD737" t="s" s="0">
        <v>81</v>
      </c>
      <c r="AE737" t="s" s="0">
        <v>81</v>
      </c>
      <c r="AF737" t="s" s="0">
        <v>81</v>
      </c>
      <c r="AG737" t="s" s="0">
        <v>16155</v>
      </c>
      <c r="AH737" t="s" s="0">
        <v>81</v>
      </c>
      <c r="AI737" t="s" s="0">
        <v>16156</v>
      </c>
      <c r="AJ737" t="s" s="0">
        <v>16157</v>
      </c>
      <c r="AK737" t="s" s="0">
        <v>81</v>
      </c>
      <c r="AL737" t="s" s="0">
        <v>734</v>
      </c>
      <c r="AM737" t="s" s="0">
        <v>97</v>
      </c>
      <c r="AN737" t="s" s="0">
        <v>97</v>
      </c>
      <c r="AO737" t="s" s="0">
        <v>156</v>
      </c>
      <c r="AP737" t="s" s="0">
        <v>133</v>
      </c>
      <c r="AQ737" t="s" s="0">
        <v>1654</v>
      </c>
      <c r="AR737" t="s" s="0">
        <v>1345</v>
      </c>
      <c r="AS737" t="s" s="0">
        <v>1655</v>
      </c>
      <c r="AT737" t="s" s="0">
        <v>8385</v>
      </c>
      <c r="AU737" t="s" s="0">
        <v>8386</v>
      </c>
      <c r="AV737" t="s" s="0">
        <v>81</v>
      </c>
      <c r="AW737" t="s" s="0">
        <v>8387</v>
      </c>
      <c r="AX737" t="s" s="0">
        <v>8388</v>
      </c>
      <c r="AY737" t="s" s="0">
        <v>2108</v>
      </c>
      <c r="AZ737" t="s" s="0">
        <v>103</v>
      </c>
      <c r="BA737" t="s" s="0">
        <v>253</v>
      </c>
      <c r="BB737" t="s" s="0">
        <v>156</v>
      </c>
      <c r="BC737" t="s" s="0">
        <v>81</v>
      </c>
      <c r="BD737" t="s" s="0">
        <v>81</v>
      </c>
      <c r="BE737" t="s" s="0">
        <v>81</v>
      </c>
      <c r="BF737" t="s" s="0">
        <v>81</v>
      </c>
      <c r="BG737" t="s" s="0">
        <v>11651</v>
      </c>
      <c r="BH737" t="s" s="0">
        <v>11506</v>
      </c>
      <c r="BI737" t="s" s="0">
        <v>81</v>
      </c>
      <c r="BJ737" t="s" s="0">
        <v>16158</v>
      </c>
      <c r="BK737" t="s" s="1464">
        <f>HYPERLINK("http://dx.doi.org/10.1093/jamia/ocaf193","http://dx.doi.org/10.1093/jamia/ocaf193")</f>
        <v>16159</v>
      </c>
      <c r="BL737" t="s" s="0">
        <v>81</v>
      </c>
      <c r="BM737" t="s" s="0">
        <v>1743</v>
      </c>
      <c r="BN737" t="s" s="0">
        <v>134</v>
      </c>
      <c r="BO737" t="s" s="0">
        <v>8391</v>
      </c>
      <c r="BP737" t="s" s="0">
        <v>8392</v>
      </c>
      <c r="BQ737" t="s" s="0">
        <v>16160</v>
      </c>
      <c r="BR737" t="s" s="0">
        <v>16161</v>
      </c>
      <c r="BS737" t="s" s="0">
        <v>16162</v>
      </c>
      <c r="BT737" t="s" s="1465">
        <f>HYPERLINK("https://www.webofscience.com/wos/woscc/full-record/WOS:001611260700001","View Record in Web of Science")</f>
        <v>114</v>
      </c>
      <c r="BU737" t="s" s="0">
        <v>233</v>
      </c>
      <c r="BV737" t="s" s="0">
        <v>81</v>
      </c>
      <c r="BW737" t="s" s="0">
        <v>81</v>
      </c>
      <c r="BX737" t="s" s="0">
        <v>116</v>
      </c>
    </row>
    <row r="738">
      <c r="A738" t="s" s="0">
        <v>77</v>
      </c>
      <c r="B738" t="s" s="0">
        <v>77</v>
      </c>
      <c r="C738" t="s" s="0">
        <v>77</v>
      </c>
      <c r="D738" t="s" s="0">
        <v>77</v>
      </c>
      <c r="E738" t="s" s="0">
        <v>16163</v>
      </c>
      <c r="F738" t="s" s="0">
        <v>16164</v>
      </c>
      <c r="G738" t="s" s="0">
        <v>16165</v>
      </c>
      <c r="H738" t="s" s="0">
        <v>81</v>
      </c>
      <c r="I738" t="s" s="0">
        <v>82</v>
      </c>
      <c r="J738" t="s" s="0">
        <v>16166</v>
      </c>
      <c r="K738" t="s" s="0">
        <v>16167</v>
      </c>
      <c r="L738" t="s" s="0">
        <v>81</v>
      </c>
      <c r="M738" t="s" s="0">
        <v>81</v>
      </c>
      <c r="N738" t="s" s="0">
        <v>81</v>
      </c>
      <c r="O738" t="s" s="0">
        <v>16168</v>
      </c>
      <c r="P738" t="s" s="0">
        <v>16169</v>
      </c>
      <c r="Q738" t="s" s="0">
        <v>87</v>
      </c>
      <c r="R738" t="s" s="0">
        <v>81</v>
      </c>
      <c r="S738" t="s" s="0">
        <v>81</v>
      </c>
      <c r="T738" t="s" s="0">
        <v>81</v>
      </c>
      <c r="U738" t="s" s="0">
        <v>81</v>
      </c>
      <c r="V738" t="s" s="0">
        <v>16170</v>
      </c>
      <c r="W738" t="s" s="0">
        <v>16171</v>
      </c>
      <c r="X738" t="s" s="0">
        <v>81</v>
      </c>
      <c r="Y738" t="s" s="0">
        <v>81</v>
      </c>
      <c r="Z738" t="s" s="0">
        <v>90</v>
      </c>
      <c r="AA738" t="s" s="0">
        <v>91</v>
      </c>
      <c r="AB738" t="s" s="0">
        <v>81</v>
      </c>
      <c r="AC738" t="s" s="0">
        <v>81</v>
      </c>
      <c r="AD738" t="s" s="0">
        <v>81</v>
      </c>
      <c r="AE738" t="s" s="0">
        <v>81</v>
      </c>
      <c r="AF738" t="s" s="0">
        <v>81</v>
      </c>
      <c r="AG738" t="s" s="0">
        <v>16172</v>
      </c>
      <c r="AH738" t="s" s="0">
        <v>81</v>
      </c>
      <c r="AI738" t="s" s="0">
        <v>16173</v>
      </c>
      <c r="AJ738" t="s" s="0">
        <v>16174</v>
      </c>
      <c r="AK738" t="s" s="0">
        <v>81</v>
      </c>
      <c r="AL738" t="s" s="0">
        <v>671</v>
      </c>
      <c r="AM738" t="s" s="0">
        <v>156</v>
      </c>
      <c r="AN738" t="s" s="0">
        <v>156</v>
      </c>
      <c r="AO738" t="s" s="0">
        <v>77</v>
      </c>
      <c r="AP738" t="s" s="0">
        <v>381</v>
      </c>
      <c r="AQ738" t="s" s="0">
        <v>665</v>
      </c>
      <c r="AR738" t="s" s="0">
        <v>546</v>
      </c>
      <c r="AS738" t="s" s="0">
        <v>666</v>
      </c>
      <c r="AT738" t="s" s="0">
        <v>16175</v>
      </c>
      <c r="AU738" t="s" s="0">
        <v>16176</v>
      </c>
      <c r="AV738" t="s" s="0">
        <v>81</v>
      </c>
      <c r="AW738" t="s" s="0">
        <v>16177</v>
      </c>
      <c r="AX738" t="s" s="0">
        <v>16178</v>
      </c>
      <c r="AY738" t="s" s="0">
        <v>1048</v>
      </c>
      <c r="AZ738" t="s" s="0">
        <v>290</v>
      </c>
      <c r="BA738" t="s" s="0">
        <v>508</v>
      </c>
      <c r="BB738" t="s" s="0">
        <v>97</v>
      </c>
      <c r="BC738" t="s" s="0">
        <v>81</v>
      </c>
      <c r="BD738" t="s" s="0">
        <v>81</v>
      </c>
      <c r="BE738" t="s" s="0">
        <v>81</v>
      </c>
      <c r="BF738" t="s" s="0">
        <v>81</v>
      </c>
      <c r="BG738" t="s" s="0">
        <v>81</v>
      </c>
      <c r="BH738" t="s" s="0">
        <v>81</v>
      </c>
      <c r="BI738" t="s" s="0">
        <v>2955</v>
      </c>
      <c r="BJ738" t="s" s="0">
        <v>16179</v>
      </c>
      <c r="BK738" t="s" s="1466">
        <f>HYPERLINK("http://dx.doi.org/10.1186/s13052-025-01892-1","http://dx.doi.org/10.1186/s13052-025-01892-1")</f>
        <v>16180</v>
      </c>
      <c r="BL738" t="s" s="0">
        <v>81</v>
      </c>
      <c r="BM738" t="s" s="0">
        <v>81</v>
      </c>
      <c r="BN738" t="s" s="0">
        <v>191</v>
      </c>
      <c r="BO738" t="s" s="0">
        <v>16181</v>
      </c>
      <c r="BP738" t="s" s="0">
        <v>16181</v>
      </c>
      <c r="BQ738" t="s" s="0">
        <v>16182</v>
      </c>
      <c r="BR738" t="s" s="0">
        <v>16183</v>
      </c>
      <c r="BS738" t="s" s="0">
        <v>16184</v>
      </c>
      <c r="BT738" t="s" s="1467">
        <f>HYPERLINK("https://www.webofscience.com/wos/woscc/full-record/WOS:001451131200004","View Record in Web of Science")</f>
        <v>114</v>
      </c>
      <c r="BU738" t="s" s="0">
        <v>301</v>
      </c>
      <c r="BV738" t="s" s="0">
        <v>81</v>
      </c>
      <c r="BW738" t="s" s="0">
        <v>81</v>
      </c>
      <c r="BX738" t="s" s="0">
        <v>116</v>
      </c>
    </row>
    <row r="739">
      <c r="A739" t="s" s="0">
        <v>77</v>
      </c>
      <c r="B739" t="s" s="0">
        <v>77</v>
      </c>
      <c r="C739" t="s" s="0">
        <v>77</v>
      </c>
      <c r="D739" t="s" s="0">
        <v>77</v>
      </c>
      <c r="E739" t="s" s="0">
        <v>16185</v>
      </c>
      <c r="F739" t="s" s="0">
        <v>16186</v>
      </c>
      <c r="G739" t="s" s="0">
        <v>16187</v>
      </c>
      <c r="H739" t="s" s="0">
        <v>81</v>
      </c>
      <c r="I739" t="s" s="0">
        <v>82</v>
      </c>
      <c r="J739" t="s" s="0">
        <v>16188</v>
      </c>
      <c r="K739" t="s" s="0">
        <v>16189</v>
      </c>
      <c r="L739" t="s" s="0">
        <v>16190</v>
      </c>
      <c r="M739" t="s" s="0">
        <v>16191</v>
      </c>
      <c r="N739" t="s" s="0">
        <v>16192</v>
      </c>
      <c r="O739" t="s" s="0">
        <v>16193</v>
      </c>
      <c r="P739" t="s" s="0">
        <v>16194</v>
      </c>
      <c r="Q739" t="s" s="0">
        <v>87</v>
      </c>
      <c r="R739" t="s" s="0">
        <v>81</v>
      </c>
      <c r="S739" t="s" s="0">
        <v>81</v>
      </c>
      <c r="T739" t="s" s="0">
        <v>81</v>
      </c>
      <c r="U739" t="s" s="0">
        <v>81</v>
      </c>
      <c r="V739" t="s" s="0">
        <v>16195</v>
      </c>
      <c r="W739" t="s" s="0">
        <v>6181</v>
      </c>
      <c r="X739" t="s" s="0">
        <v>81</v>
      </c>
      <c r="Y739" t="s" s="0">
        <v>81</v>
      </c>
      <c r="Z739" t="s" s="0">
        <v>90</v>
      </c>
      <c r="AA739" t="s" s="0">
        <v>91</v>
      </c>
      <c r="AB739" t="s" s="0">
        <v>81</v>
      </c>
      <c r="AC739" t="s" s="0">
        <v>81</v>
      </c>
      <c r="AD739" t="s" s="0">
        <v>81</v>
      </c>
      <c r="AE739" t="s" s="0">
        <v>81</v>
      </c>
      <c r="AF739" t="s" s="0">
        <v>81</v>
      </c>
      <c r="AG739" t="s" s="0">
        <v>16196</v>
      </c>
      <c r="AH739" t="s" s="0">
        <v>16197</v>
      </c>
      <c r="AI739" t="s" s="0">
        <v>81</v>
      </c>
      <c r="AJ739" t="s" s="0">
        <v>81</v>
      </c>
      <c r="AK739" t="s" s="0">
        <v>81</v>
      </c>
      <c r="AL739" t="s" s="0">
        <v>5567</v>
      </c>
      <c r="AM739" t="s" s="0">
        <v>77</v>
      </c>
      <c r="AN739" t="s" s="0">
        <v>77</v>
      </c>
      <c r="AO739" t="s" s="0">
        <v>77</v>
      </c>
      <c r="AP739" t="s" s="0">
        <v>77</v>
      </c>
      <c r="AQ739" t="s" s="0">
        <v>368</v>
      </c>
      <c r="AR739" t="s" s="0">
        <v>369</v>
      </c>
      <c r="AS739" t="s" s="0">
        <v>370</v>
      </c>
      <c r="AT739" t="s" s="0">
        <v>6184</v>
      </c>
      <c r="AU739" t="s" s="0">
        <v>81</v>
      </c>
      <c r="AV739" t="s" s="0">
        <v>81</v>
      </c>
      <c r="AW739" t="s" s="0">
        <v>6185</v>
      </c>
      <c r="AX739" t="s" s="0">
        <v>6186</v>
      </c>
      <c r="AY739" t="s" s="0">
        <v>16198</v>
      </c>
      <c r="AZ739" t="s" s="0">
        <v>103</v>
      </c>
      <c r="BA739" t="s" s="0">
        <v>222</v>
      </c>
      <c r="BB739" t="s" s="0">
        <v>81</v>
      </c>
      <c r="BC739" t="s" s="0">
        <v>81</v>
      </c>
      <c r="BD739" t="s" s="0">
        <v>81</v>
      </c>
      <c r="BE739" t="s" s="0">
        <v>81</v>
      </c>
      <c r="BF739" t="s" s="0">
        <v>81</v>
      </c>
      <c r="BG739" t="s" s="0">
        <v>81</v>
      </c>
      <c r="BH739" t="s" s="0">
        <v>81</v>
      </c>
      <c r="BI739" t="s" s="0">
        <v>16199</v>
      </c>
      <c r="BJ739" t="s" s="0">
        <v>16200</v>
      </c>
      <c r="BK739" t="s" s="1468">
        <f>HYPERLINK("http://dx.doi.org/10.3389/fneur.2026.1839071","http://dx.doi.org/10.3389/fneur.2026.1839071")</f>
        <v>16201</v>
      </c>
      <c r="BL739" t="s" s="0">
        <v>81</v>
      </c>
      <c r="BM739" t="s" s="0">
        <v>81</v>
      </c>
      <c r="BN739" t="s" s="0">
        <v>671</v>
      </c>
      <c r="BO739" t="s" s="0">
        <v>3906</v>
      </c>
      <c r="BP739" t="s" s="0">
        <v>2504</v>
      </c>
      <c r="BQ739" t="s" s="0">
        <v>16202</v>
      </c>
      <c r="BR739" t="s" s="0">
        <v>81</v>
      </c>
      <c r="BS739" t="s" s="0">
        <v>16203</v>
      </c>
      <c r="BT739" t="s" s="1469">
        <f>HYPERLINK("https://www.webofscience.com/wos/woscc/full-record/WOS:001843319400001","View Record in Web of Science")</f>
        <v>114</v>
      </c>
      <c r="BU739" t="s" s="0">
        <v>115</v>
      </c>
      <c r="BV739" t="s" s="0">
        <v>81</v>
      </c>
      <c r="BW739" t="s" s="0">
        <v>81</v>
      </c>
      <c r="BX739" t="s" s="0">
        <v>116</v>
      </c>
    </row>
    <row r="740">
      <c r="A740" t="s" s="0">
        <v>77</v>
      </c>
      <c r="B740" t="s" s="0">
        <v>77</v>
      </c>
      <c r="C740" t="s" s="0">
        <v>97</v>
      </c>
      <c r="D740" t="s" s="0">
        <v>77</v>
      </c>
      <c r="E740" t="s" s="0">
        <v>16204</v>
      </c>
      <c r="F740" t="s" s="0">
        <v>16205</v>
      </c>
      <c r="G740" t="s" s="0">
        <v>16206</v>
      </c>
      <c r="H740" t="s" s="0">
        <v>81</v>
      </c>
      <c r="I740" t="s" s="0">
        <v>82</v>
      </c>
      <c r="J740" t="s" s="0">
        <v>16207</v>
      </c>
      <c r="K740" t="s" s="0">
        <v>16208</v>
      </c>
      <c r="L740" t="s" s="0">
        <v>16209</v>
      </c>
      <c r="M740" t="s" s="0">
        <v>10689</v>
      </c>
      <c r="N740" t="s" s="0">
        <v>16210</v>
      </c>
      <c r="O740" t="s" s="0">
        <v>16211</v>
      </c>
      <c r="P740" t="s" s="0">
        <v>81</v>
      </c>
      <c r="Q740" t="s" s="0">
        <v>87</v>
      </c>
      <c r="R740" t="s" s="0">
        <v>81</v>
      </c>
      <c r="S740" t="s" s="0">
        <v>81</v>
      </c>
      <c r="T740" t="s" s="0">
        <v>81</v>
      </c>
      <c r="U740" t="s" s="0">
        <v>81</v>
      </c>
      <c r="V740" t="s" s="0">
        <v>16212</v>
      </c>
      <c r="W740" t="s" s="0">
        <v>1954</v>
      </c>
      <c r="X740" t="s" s="0">
        <v>81</v>
      </c>
      <c r="Y740" t="s" s="0">
        <v>81</v>
      </c>
      <c r="Z740" t="s" s="0">
        <v>90</v>
      </c>
      <c r="AA740" t="s" s="0">
        <v>91</v>
      </c>
      <c r="AB740" t="s" s="0">
        <v>81</v>
      </c>
      <c r="AC740" t="s" s="0">
        <v>81</v>
      </c>
      <c r="AD740" t="s" s="0">
        <v>81</v>
      </c>
      <c r="AE740" t="s" s="0">
        <v>81</v>
      </c>
      <c r="AF740" t="s" s="0">
        <v>81</v>
      </c>
      <c r="AG740" t="s" s="0">
        <v>16213</v>
      </c>
      <c r="AH740" t="s" s="0">
        <v>16214</v>
      </c>
      <c r="AI740" t="s" s="0">
        <v>81</v>
      </c>
      <c r="AJ740" t="s" s="0">
        <v>16215</v>
      </c>
      <c r="AK740" t="s" s="0">
        <v>81</v>
      </c>
      <c r="AL740" t="s" s="0">
        <v>672</v>
      </c>
      <c r="AM740" t="s" s="0">
        <v>175</v>
      </c>
      <c r="AN740" t="s" s="0">
        <v>175</v>
      </c>
      <c r="AO740" t="s" s="0">
        <v>234</v>
      </c>
      <c r="AP740" t="s" s="0">
        <v>234</v>
      </c>
      <c r="AQ740" t="s" s="0">
        <v>665</v>
      </c>
      <c r="AR740" t="s" s="0">
        <v>546</v>
      </c>
      <c r="AS740" t="s" s="0">
        <v>666</v>
      </c>
      <c r="AT740" t="s" s="0">
        <v>81</v>
      </c>
      <c r="AU740" t="s" s="0">
        <v>1957</v>
      </c>
      <c r="AV740" t="s" s="0">
        <v>81</v>
      </c>
      <c r="AW740" t="s" s="0">
        <v>1958</v>
      </c>
      <c r="AX740" t="s" s="0">
        <v>1959</v>
      </c>
      <c r="AY740" t="s" s="0">
        <v>6378</v>
      </c>
      <c r="AZ740" t="s" s="0">
        <v>290</v>
      </c>
      <c r="BA740" t="s" s="0">
        <v>228</v>
      </c>
      <c r="BB740" t="s" s="0">
        <v>97</v>
      </c>
      <c r="BC740" t="s" s="0">
        <v>81</v>
      </c>
      <c r="BD740" t="s" s="0">
        <v>81</v>
      </c>
      <c r="BE740" t="s" s="0">
        <v>81</v>
      </c>
      <c r="BF740" t="s" s="0">
        <v>81</v>
      </c>
      <c r="BG740" t="s" s="0">
        <v>81</v>
      </c>
      <c r="BH740" t="s" s="0">
        <v>81</v>
      </c>
      <c r="BI740" t="s" s="0">
        <v>252</v>
      </c>
      <c r="BJ740" t="s" s="0">
        <v>16216</v>
      </c>
      <c r="BK740" t="s" s="1470">
        <f>HYPERLINK("http://dx.doi.org/10.1186/s12911-025-03326-8","http://dx.doi.org/10.1186/s12911-025-03326-8")</f>
        <v>16217</v>
      </c>
      <c r="BL740" t="s" s="0">
        <v>81</v>
      </c>
      <c r="BM740" t="s" s="0">
        <v>81</v>
      </c>
      <c r="BN740" t="s" s="0">
        <v>434</v>
      </c>
      <c r="BO740" t="s" s="0">
        <v>1963</v>
      </c>
      <c r="BP740" t="s" s="0">
        <v>1963</v>
      </c>
      <c r="BQ740" t="s" s="0">
        <v>16218</v>
      </c>
      <c r="BR740" t="s" s="0">
        <v>16219</v>
      </c>
      <c r="BS740" t="s" s="0">
        <v>16220</v>
      </c>
      <c r="BT740" t="s" s="1471">
        <f>HYPERLINK("https://www.webofscience.com/wos/woscc/full-record/WOS:001672214600001","View Record in Web of Science")</f>
        <v>114</v>
      </c>
      <c r="BU740" t="s" s="0">
        <v>301</v>
      </c>
      <c r="BV740" t="s" s="0">
        <v>81</v>
      </c>
      <c r="BW740" t="s" s="0">
        <v>81</v>
      </c>
      <c r="BX740" t="s" s="0">
        <v>116</v>
      </c>
    </row>
    <row r="741">
      <c r="A741" t="s" s="0">
        <v>77</v>
      </c>
      <c r="B741" t="s" s="0">
        <v>77</v>
      </c>
      <c r="C741" t="s" s="0">
        <v>77</v>
      </c>
      <c r="D741" t="s" s="0">
        <v>77</v>
      </c>
      <c r="E741" t="s" s="0">
        <v>16221</v>
      </c>
      <c r="F741" t="s" s="0">
        <v>16222</v>
      </c>
      <c r="G741" t="s" s="0">
        <v>16223</v>
      </c>
      <c r="H741" t="s" s="0">
        <v>81</v>
      </c>
      <c r="I741" t="s" s="0">
        <v>238</v>
      </c>
      <c r="J741" t="s" s="0">
        <v>16224</v>
      </c>
      <c r="K741" t="s" s="0">
        <v>16225</v>
      </c>
      <c r="L741" t="s" s="0">
        <v>81</v>
      </c>
      <c r="M741" t="s" s="0">
        <v>81</v>
      </c>
      <c r="N741" t="s" s="0">
        <v>81</v>
      </c>
      <c r="O741" t="s" s="0">
        <v>16226</v>
      </c>
      <c r="P741" t="s" s="0">
        <v>16227</v>
      </c>
      <c r="Q741" t="s" s="0">
        <v>87</v>
      </c>
      <c r="R741" t="s" s="0">
        <v>81</v>
      </c>
      <c r="S741" t="s" s="0">
        <v>81</v>
      </c>
      <c r="T741" t="s" s="0">
        <v>81</v>
      </c>
      <c r="U741" t="s" s="0">
        <v>81</v>
      </c>
      <c r="V741" t="s" s="0">
        <v>16228</v>
      </c>
      <c r="W741" t="s" s="0">
        <v>16229</v>
      </c>
      <c r="X741" t="s" s="0">
        <v>81</v>
      </c>
      <c r="Y741" t="s" s="0">
        <v>81</v>
      </c>
      <c r="Z741" t="s" s="0">
        <v>90</v>
      </c>
      <c r="AA741" t="s" s="0">
        <v>91</v>
      </c>
      <c r="AB741" t="s" s="0">
        <v>81</v>
      </c>
      <c r="AC741" t="s" s="0">
        <v>81</v>
      </c>
      <c r="AD741" t="s" s="0">
        <v>81</v>
      </c>
      <c r="AE741" t="s" s="0">
        <v>81</v>
      </c>
      <c r="AF741" t="s" s="0">
        <v>81</v>
      </c>
      <c r="AG741" t="s" s="0">
        <v>16230</v>
      </c>
      <c r="AH741" t="s" s="0">
        <v>16231</v>
      </c>
      <c r="AI741" t="s" s="0">
        <v>16232</v>
      </c>
      <c r="AJ741" t="s" s="0">
        <v>16233</v>
      </c>
      <c r="AK741" t="s" s="0">
        <v>81</v>
      </c>
      <c r="AL741" t="s" s="0">
        <v>1883</v>
      </c>
      <c r="AM741" t="s" s="0">
        <v>191</v>
      </c>
      <c r="AN741" t="s" s="0">
        <v>104</v>
      </c>
      <c r="AO741" t="s" s="0">
        <v>211</v>
      </c>
      <c r="AP741" t="s" s="0">
        <v>134</v>
      </c>
      <c r="AQ741" t="s" s="0">
        <v>98</v>
      </c>
      <c r="AR741" t="s" s="0">
        <v>99</v>
      </c>
      <c r="AS741" t="s" s="0">
        <v>100</v>
      </c>
      <c r="AT741" t="s" s="0">
        <v>81</v>
      </c>
      <c r="AU741" t="s" s="0">
        <v>16234</v>
      </c>
      <c r="AV741" t="s" s="0">
        <v>81</v>
      </c>
      <c r="AW741" t="s" s="0">
        <v>16235</v>
      </c>
      <c r="AX741" t="s" s="0">
        <v>16236</v>
      </c>
      <c r="AY741" t="s" s="0">
        <v>578</v>
      </c>
      <c r="AZ741" t="s" s="0">
        <v>290</v>
      </c>
      <c r="BA741" t="s" s="0">
        <v>316</v>
      </c>
      <c r="BB741" t="s" s="0">
        <v>196</v>
      </c>
      <c r="BC741" t="s" s="0">
        <v>81</v>
      </c>
      <c r="BD741" t="s" s="0">
        <v>81</v>
      </c>
      <c r="BE741" t="s" s="0">
        <v>81</v>
      </c>
      <c r="BF741" t="s" s="0">
        <v>81</v>
      </c>
      <c r="BG741" t="s" s="0">
        <v>5676</v>
      </c>
      <c r="BH741" t="s" s="0">
        <v>4526</v>
      </c>
      <c r="BI741" t="s" s="0">
        <v>81</v>
      </c>
      <c r="BJ741" t="s" s="0">
        <v>16237</v>
      </c>
      <c r="BK741" t="s" s="1472">
        <f>HYPERLINK("http://dx.doi.org/10.1109/TTS.2025.3538125","http://dx.doi.org/10.1109/TTS.2025.3538125")</f>
        <v>16238</v>
      </c>
      <c r="BL741" t="s" s="0">
        <v>81</v>
      </c>
      <c r="BM741" t="s" s="0">
        <v>81</v>
      </c>
      <c r="BN741" t="s" s="0">
        <v>316</v>
      </c>
      <c r="BO741" t="s" s="0">
        <v>16239</v>
      </c>
      <c r="BP741" t="s" s="0">
        <v>16240</v>
      </c>
      <c r="BQ741" t="s" s="0">
        <v>16241</v>
      </c>
      <c r="BR741" t="s" s="0">
        <v>81</v>
      </c>
      <c r="BS741" t="s" s="0">
        <v>16242</v>
      </c>
      <c r="BT741" t="s" s="1473">
        <f>HYPERLINK("https://www.webofscience.com/wos/woscc/full-record/WOS:001648359800007","View Record in Web of Science")</f>
        <v>114</v>
      </c>
      <c r="BU741" t="s" s="0">
        <v>81</v>
      </c>
      <c r="BV741" t="s" s="0">
        <v>81</v>
      </c>
      <c r="BW741" t="s" s="0">
        <v>81</v>
      </c>
      <c r="BX741" t="s" s="0">
        <v>116</v>
      </c>
    </row>
    <row r="742">
      <c r="A742" t="s" s="0">
        <v>77</v>
      </c>
      <c r="B742" t="s" s="0">
        <v>77</v>
      </c>
      <c r="C742" t="s" s="0">
        <v>77</v>
      </c>
      <c r="D742" t="s" s="0">
        <v>77</v>
      </c>
      <c r="E742" t="s" s="0">
        <v>16243</v>
      </c>
      <c r="F742" t="s" s="0">
        <v>16244</v>
      </c>
      <c r="G742" t="s" s="0">
        <v>16245</v>
      </c>
      <c r="H742" t="s" s="0">
        <v>81</v>
      </c>
      <c r="I742" t="s" s="0">
        <v>82</v>
      </c>
      <c r="J742" t="s" s="0">
        <v>16246</v>
      </c>
      <c r="K742" t="s" s="0">
        <v>16247</v>
      </c>
      <c r="L742" t="s" s="0">
        <v>16248</v>
      </c>
      <c r="M742" t="s" s="0">
        <v>16249</v>
      </c>
      <c r="N742" t="s" s="0">
        <v>16250</v>
      </c>
      <c r="O742" t="s" s="0">
        <v>16251</v>
      </c>
      <c r="P742" t="s" s="0">
        <v>16252</v>
      </c>
      <c r="Q742" t="s" s="0">
        <v>87</v>
      </c>
      <c r="R742" t="s" s="0">
        <v>81</v>
      </c>
      <c r="S742" t="s" s="0">
        <v>81</v>
      </c>
      <c r="T742" t="s" s="0">
        <v>81</v>
      </c>
      <c r="U742" t="s" s="0">
        <v>81</v>
      </c>
      <c r="V742" t="s" s="0">
        <v>16253</v>
      </c>
      <c r="W742" t="s" s="0">
        <v>8829</v>
      </c>
      <c r="X742" t="s" s="0">
        <v>81</v>
      </c>
      <c r="Y742" t="s" s="0">
        <v>81</v>
      </c>
      <c r="Z742" t="s" s="0">
        <v>90</v>
      </c>
      <c r="AA742" t="s" s="0">
        <v>1581</v>
      </c>
      <c r="AB742" t="s" s="0">
        <v>81</v>
      </c>
      <c r="AC742" t="s" s="0">
        <v>81</v>
      </c>
      <c r="AD742" t="s" s="0">
        <v>81</v>
      </c>
      <c r="AE742" t="s" s="0">
        <v>81</v>
      </c>
      <c r="AF742" t="s" s="0">
        <v>81</v>
      </c>
      <c r="AG742" t="s" s="0">
        <v>16254</v>
      </c>
      <c r="AH742" t="s" s="0">
        <v>16255</v>
      </c>
      <c r="AI742" t="s" s="0">
        <v>81</v>
      </c>
      <c r="AJ742" t="s" s="0">
        <v>16256</v>
      </c>
      <c r="AK742" t="s" s="0">
        <v>81</v>
      </c>
      <c r="AL742" t="s" s="0">
        <v>664</v>
      </c>
      <c r="AM742" t="s" s="0">
        <v>77</v>
      </c>
      <c r="AN742" t="s" s="0">
        <v>77</v>
      </c>
      <c r="AO742" t="s" s="0">
        <v>97</v>
      </c>
      <c r="AP742" t="s" s="0">
        <v>97</v>
      </c>
      <c r="AQ742" t="s" s="0">
        <v>1809</v>
      </c>
      <c r="AR742" t="s" s="0">
        <v>1810</v>
      </c>
      <c r="AS742" t="s" s="0">
        <v>1811</v>
      </c>
      <c r="AT742" t="s" s="0">
        <v>8833</v>
      </c>
      <c r="AU742" t="s" s="0">
        <v>8834</v>
      </c>
      <c r="AV742" t="s" s="0">
        <v>81</v>
      </c>
      <c r="AW742" t="s" s="0">
        <v>8835</v>
      </c>
      <c r="AX742" t="s" s="0">
        <v>8836</v>
      </c>
      <c r="AY742" t="s" s="0">
        <v>81</v>
      </c>
      <c r="AZ742" t="s" s="0">
        <v>103</v>
      </c>
      <c r="BA742" t="s" s="0">
        <v>81</v>
      </c>
      <c r="BB742" t="s" s="0">
        <v>81</v>
      </c>
      <c r="BC742" t="s" s="0">
        <v>81</v>
      </c>
      <c r="BD742" t="s" s="0">
        <v>81</v>
      </c>
      <c r="BE742" t="s" s="0">
        <v>81</v>
      </c>
      <c r="BF742" t="s" s="0">
        <v>81</v>
      </c>
      <c r="BG742" t="s" s="0">
        <v>81</v>
      </c>
      <c r="BH742" t="s" s="0">
        <v>81</v>
      </c>
      <c r="BI742" t="s" s="0">
        <v>81</v>
      </c>
      <c r="BJ742" t="s" s="0">
        <v>16257</v>
      </c>
      <c r="BK742" t="s" s="1474">
        <f>HYPERLINK("http://dx.doi.org/10.1177/00220345261466240","http://dx.doi.org/10.1177/00220345261466240")</f>
        <v>16258</v>
      </c>
      <c r="BL742" t="s" s="0">
        <v>81</v>
      </c>
      <c r="BM742" t="s" s="0">
        <v>3366</v>
      </c>
      <c r="BN742" t="s" s="0">
        <v>211</v>
      </c>
      <c r="BO742" t="s" s="0">
        <v>5166</v>
      </c>
      <c r="BP742" t="s" s="0">
        <v>5166</v>
      </c>
      <c r="BQ742" t="s" s="0">
        <v>16259</v>
      </c>
      <c r="BR742" t="s" s="0">
        <v>16260</v>
      </c>
      <c r="BS742" t="s" s="0">
        <v>16261</v>
      </c>
      <c r="BT742" t="s" s="1475">
        <f>HYPERLINK("https://www.webofscience.com/wos/woscc/full-record/WOS:001829662800001","View Record in Web of Science")</f>
        <v>114</v>
      </c>
      <c r="BU742" t="s" s="0">
        <v>1055</v>
      </c>
      <c r="BV742" t="s" s="0">
        <v>81</v>
      </c>
      <c r="BW742" t="s" s="0">
        <v>81</v>
      </c>
      <c r="BX742" t="s" s="0">
        <v>116</v>
      </c>
    </row>
    <row r="743">
      <c r="A743" t="s" s="0">
        <v>77</v>
      </c>
      <c r="B743" t="s" s="0">
        <v>77</v>
      </c>
      <c r="C743" t="s" s="0">
        <v>77</v>
      </c>
      <c r="D743" t="s" s="0">
        <v>77</v>
      </c>
      <c r="E743" t="s" s="0">
        <v>16262</v>
      </c>
      <c r="F743" t="s" s="0">
        <v>16263</v>
      </c>
      <c r="G743" t="s" s="0">
        <v>16264</v>
      </c>
      <c r="H743" t="s" s="0">
        <v>81</v>
      </c>
      <c r="I743" t="s" s="0">
        <v>82</v>
      </c>
      <c r="J743" t="s" s="0">
        <v>16265</v>
      </c>
      <c r="K743" t="s" s="0">
        <v>16266</v>
      </c>
      <c r="L743" t="s" s="0">
        <v>16267</v>
      </c>
      <c r="M743" t="s" s="0">
        <v>16268</v>
      </c>
      <c r="N743" t="s" s="0">
        <v>16269</v>
      </c>
      <c r="O743" t="s" s="0">
        <v>16270</v>
      </c>
      <c r="P743" t="s" s="0">
        <v>16271</v>
      </c>
      <c r="Q743" t="s" s="0">
        <v>87</v>
      </c>
      <c r="R743" t="s" s="0">
        <v>81</v>
      </c>
      <c r="S743" t="s" s="0">
        <v>81</v>
      </c>
      <c r="T743" t="s" s="0">
        <v>81</v>
      </c>
      <c r="U743" t="s" s="0">
        <v>81</v>
      </c>
      <c r="V743" t="s" s="0">
        <v>16272</v>
      </c>
      <c r="W743" t="s" s="0">
        <v>16273</v>
      </c>
      <c r="X743" t="s" s="0">
        <v>81</v>
      </c>
      <c r="Y743" t="s" s="0">
        <v>81</v>
      </c>
      <c r="Z743" t="s" s="0">
        <v>90</v>
      </c>
      <c r="AA743" t="s" s="0">
        <v>1581</v>
      </c>
      <c r="AB743" t="s" s="0">
        <v>81</v>
      </c>
      <c r="AC743" t="s" s="0">
        <v>81</v>
      </c>
      <c r="AD743" t="s" s="0">
        <v>81</v>
      </c>
      <c r="AE743" t="s" s="0">
        <v>81</v>
      </c>
      <c r="AF743" t="s" s="0">
        <v>81</v>
      </c>
      <c r="AG743" t="s" s="0">
        <v>16274</v>
      </c>
      <c r="AH743" t="s" s="0">
        <v>16275</v>
      </c>
      <c r="AI743" t="s" s="0">
        <v>16276</v>
      </c>
      <c r="AJ743" t="s" s="0">
        <v>16277</v>
      </c>
      <c r="AK743" t="s" s="0">
        <v>81</v>
      </c>
      <c r="AL743" t="s" s="0">
        <v>3518</v>
      </c>
      <c r="AM743" t="s" s="0">
        <v>77</v>
      </c>
      <c r="AN743" t="s" s="0">
        <v>77</v>
      </c>
      <c r="AO743" t="s" s="0">
        <v>97</v>
      </c>
      <c r="AP743" t="s" s="0">
        <v>97</v>
      </c>
      <c r="AQ743" t="s" s="0">
        <v>16278</v>
      </c>
      <c r="AR743" t="s" s="0">
        <v>916</v>
      </c>
      <c r="AS743" t="s" s="0">
        <v>16279</v>
      </c>
      <c r="AT743" t="s" s="0">
        <v>16280</v>
      </c>
      <c r="AU743" t="s" s="0">
        <v>16281</v>
      </c>
      <c r="AV743" t="s" s="0">
        <v>81</v>
      </c>
      <c r="AW743" t="s" s="0">
        <v>16282</v>
      </c>
      <c r="AX743" t="s" s="0">
        <v>16283</v>
      </c>
      <c r="AY743" t="s" s="0">
        <v>81</v>
      </c>
      <c r="AZ743" t="s" s="0">
        <v>103</v>
      </c>
      <c r="BA743" t="s" s="0">
        <v>81</v>
      </c>
      <c r="BB743" t="s" s="0">
        <v>81</v>
      </c>
      <c r="BC743" t="s" s="0">
        <v>81</v>
      </c>
      <c r="BD743" t="s" s="0">
        <v>81</v>
      </c>
      <c r="BE743" t="s" s="0">
        <v>81</v>
      </c>
      <c r="BF743" t="s" s="0">
        <v>81</v>
      </c>
      <c r="BG743" t="s" s="0">
        <v>81</v>
      </c>
      <c r="BH743" t="s" s="0">
        <v>81</v>
      </c>
      <c r="BI743" t="s" s="0">
        <v>81</v>
      </c>
      <c r="BJ743" t="s" s="0">
        <v>16284</v>
      </c>
      <c r="BK743" t="s" s="1476">
        <f>HYPERLINK("http://dx.doi.org/10.1515/bmt-2025-0250","http://dx.doi.org/10.1515/bmt-2025-0250")</f>
        <v>16285</v>
      </c>
      <c r="BL743" t="s" s="0">
        <v>81</v>
      </c>
      <c r="BM743" t="s" s="0">
        <v>675</v>
      </c>
      <c r="BN743" t="s" s="0">
        <v>104</v>
      </c>
      <c r="BO743" t="s" s="0">
        <v>16286</v>
      </c>
      <c r="BP743" t="s" s="0">
        <v>16287</v>
      </c>
      <c r="BQ743" t="s" s="0">
        <v>16288</v>
      </c>
      <c r="BR743" t="s" s="0">
        <v>16289</v>
      </c>
      <c r="BS743" t="s" s="0">
        <v>16290</v>
      </c>
      <c r="BT743" t="s" s="1477">
        <f>HYPERLINK("https://www.webofscience.com/wos/woscc/full-record/WOS:001761199600001","View Record in Web of Science")</f>
        <v>114</v>
      </c>
      <c r="BU743" t="s" s="0">
        <v>1055</v>
      </c>
      <c r="BV743" t="s" s="0">
        <v>81</v>
      </c>
      <c r="BW743" t="s" s="0">
        <v>81</v>
      </c>
      <c r="BX743" t="s" s="0">
        <v>116</v>
      </c>
    </row>
    <row r="744">
      <c r="A744" t="s" s="0">
        <v>77</v>
      </c>
      <c r="B744" t="s" s="0">
        <v>77</v>
      </c>
      <c r="C744" t="s" s="0">
        <v>77</v>
      </c>
      <c r="D744" t="s" s="0">
        <v>77</v>
      </c>
      <c r="E744" t="s" s="0">
        <v>16291</v>
      </c>
      <c r="F744" t="s" s="0">
        <v>16292</v>
      </c>
      <c r="G744" t="s" s="0">
        <v>16293</v>
      </c>
      <c r="H744" t="s" s="0">
        <v>81</v>
      </c>
      <c r="I744" t="s" s="0">
        <v>238</v>
      </c>
      <c r="J744" t="s" s="0">
        <v>16294</v>
      </c>
      <c r="K744" t="s" s="0">
        <v>16295</v>
      </c>
      <c r="L744" t="s" s="0">
        <v>81</v>
      </c>
      <c r="M744" t="s" s="0">
        <v>81</v>
      </c>
      <c r="N744" t="s" s="0">
        <v>3193</v>
      </c>
      <c r="O744" t="s" s="0">
        <v>16296</v>
      </c>
      <c r="P744" t="s" s="0">
        <v>16297</v>
      </c>
      <c r="Q744" t="s" s="0">
        <v>87</v>
      </c>
      <c r="R744" t="s" s="0">
        <v>81</v>
      </c>
      <c r="S744" t="s" s="0">
        <v>81</v>
      </c>
      <c r="T744" t="s" s="0">
        <v>81</v>
      </c>
      <c r="U744" t="s" s="0">
        <v>81</v>
      </c>
      <c r="V744" t="s" s="0">
        <v>16298</v>
      </c>
      <c r="W744" t="s" s="0">
        <v>600</v>
      </c>
      <c r="X744" t="s" s="0">
        <v>81</v>
      </c>
      <c r="Y744" t="s" s="0">
        <v>81</v>
      </c>
      <c r="Z744" t="s" s="0">
        <v>90</v>
      </c>
      <c r="AA744" t="s" s="0">
        <v>91</v>
      </c>
      <c r="AB744" t="s" s="0">
        <v>81</v>
      </c>
      <c r="AC744" t="s" s="0">
        <v>81</v>
      </c>
      <c r="AD744" t="s" s="0">
        <v>81</v>
      </c>
      <c r="AE744" t="s" s="0">
        <v>81</v>
      </c>
      <c r="AF744" t="s" s="0">
        <v>81</v>
      </c>
      <c r="AG744" t="s" s="0">
        <v>16299</v>
      </c>
      <c r="AH744" t="s" s="0">
        <v>16300</v>
      </c>
      <c r="AI744" t="s" s="0">
        <v>81</v>
      </c>
      <c r="AJ744" t="s" s="0">
        <v>81</v>
      </c>
      <c r="AK744" t="s" s="0">
        <v>81</v>
      </c>
      <c r="AL744" t="s" s="0">
        <v>3518</v>
      </c>
      <c r="AM744" t="s" s="0">
        <v>77</v>
      </c>
      <c r="AN744" t="s" s="0">
        <v>77</v>
      </c>
      <c r="AO744" t="s" s="0">
        <v>77</v>
      </c>
      <c r="AP744" t="s" s="0">
        <v>77</v>
      </c>
      <c r="AQ744" t="s" s="0">
        <v>284</v>
      </c>
      <c r="AR744" t="s" s="0">
        <v>285</v>
      </c>
      <c r="AS744" t="s" s="0">
        <v>286</v>
      </c>
      <c r="AT744" t="s" s="0">
        <v>81</v>
      </c>
      <c r="AU744" t="s" s="0">
        <v>4064</v>
      </c>
      <c r="AV744" t="s" s="0">
        <v>81</v>
      </c>
      <c r="AW744" t="s" s="0">
        <v>4065</v>
      </c>
      <c r="AX744" t="s" s="0">
        <v>600</v>
      </c>
      <c r="AY744" t="s" s="0">
        <v>16301</v>
      </c>
      <c r="AZ744" t="s" s="0">
        <v>103</v>
      </c>
      <c r="BA744" t="s" s="0">
        <v>234</v>
      </c>
      <c r="BB744" t="s" s="0">
        <v>234</v>
      </c>
      <c r="BC744" t="s" s="0">
        <v>81</v>
      </c>
      <c r="BD744" t="s" s="0">
        <v>81</v>
      </c>
      <c r="BE744" t="s" s="0">
        <v>81</v>
      </c>
      <c r="BF744" t="s" s="0">
        <v>81</v>
      </c>
      <c r="BG744" t="s" s="0">
        <v>81</v>
      </c>
      <c r="BH744" t="s" s="0">
        <v>81</v>
      </c>
      <c r="BI744" t="s" s="0">
        <v>15674</v>
      </c>
      <c r="BJ744" t="s" s="0">
        <v>16302</v>
      </c>
      <c r="BK744" t="s" s="1478">
        <f>HYPERLINK("http://dx.doi.org/10.3390/ai7070267","http://dx.doi.org/10.3390/ai7070267")</f>
        <v>16303</v>
      </c>
      <c r="BL744" t="s" s="0">
        <v>81</v>
      </c>
      <c r="BM744" t="s" s="0">
        <v>81</v>
      </c>
      <c r="BN744" t="s" s="0">
        <v>367</v>
      </c>
      <c r="BO744" t="s" s="0">
        <v>2009</v>
      </c>
      <c r="BP744" t="s" s="0">
        <v>152</v>
      </c>
      <c r="BQ744" t="s" s="0">
        <v>16304</v>
      </c>
      <c r="BR744" t="s" s="0">
        <v>81</v>
      </c>
      <c r="BS744" t="s" s="0">
        <v>16305</v>
      </c>
      <c r="BT744" t="s" s="1479">
        <f>HYPERLINK("https://www.webofscience.com/wos/woscc/full-record/WOS:001831360900001","View Record in Web of Science")</f>
        <v>114</v>
      </c>
      <c r="BU744" t="s" s="0">
        <v>115</v>
      </c>
      <c r="BV744" t="s" s="0">
        <v>81</v>
      </c>
      <c r="BW744" t="s" s="0">
        <v>81</v>
      </c>
      <c r="BX744" t="s" s="0">
        <v>116</v>
      </c>
    </row>
    <row r="745">
      <c r="A745" t="s" s="0">
        <v>77</v>
      </c>
      <c r="B745" t="s" s="0">
        <v>77</v>
      </c>
      <c r="C745" t="s" s="0">
        <v>77</v>
      </c>
      <c r="D745" t="s" s="0">
        <v>77</v>
      </c>
      <c r="E745" t="s" s="0">
        <v>16306</v>
      </c>
      <c r="F745" t="s" s="0">
        <v>16307</v>
      </c>
      <c r="G745" t="s" s="0">
        <v>16308</v>
      </c>
      <c r="H745" t="s" s="0">
        <v>81</v>
      </c>
      <c r="I745" t="s" s="0">
        <v>82</v>
      </c>
      <c r="J745" t="s" s="0">
        <v>16309</v>
      </c>
      <c r="K745" t="s" s="0">
        <v>16310</v>
      </c>
      <c r="L745" t="s" s="0">
        <v>81</v>
      </c>
      <c r="M745" t="s" s="0">
        <v>81</v>
      </c>
      <c r="N745" t="s" s="0">
        <v>81</v>
      </c>
      <c r="O745" t="s" s="0">
        <v>16311</v>
      </c>
      <c r="P745" t="s" s="0">
        <v>81</v>
      </c>
      <c r="Q745" t="s" s="0">
        <v>87</v>
      </c>
      <c r="R745" t="s" s="0">
        <v>81</v>
      </c>
      <c r="S745" t="s" s="0">
        <v>81</v>
      </c>
      <c r="T745" t="s" s="0">
        <v>81</v>
      </c>
      <c r="U745" t="s" s="0">
        <v>81</v>
      </c>
      <c r="V745" t="s" s="0">
        <v>16312</v>
      </c>
      <c r="W745" t="s" s="0">
        <v>16313</v>
      </c>
      <c r="X745" t="s" s="0">
        <v>81</v>
      </c>
      <c r="Y745" t="s" s="0">
        <v>81</v>
      </c>
      <c r="Z745" t="s" s="0">
        <v>90</v>
      </c>
      <c r="AA745" t="s" s="0">
        <v>91</v>
      </c>
      <c r="AB745" t="s" s="0">
        <v>81</v>
      </c>
      <c r="AC745" t="s" s="0">
        <v>81</v>
      </c>
      <c r="AD745" t="s" s="0">
        <v>81</v>
      </c>
      <c r="AE745" t="s" s="0">
        <v>81</v>
      </c>
      <c r="AF745" t="s" s="0">
        <v>81</v>
      </c>
      <c r="AG745" t="s" s="0">
        <v>16314</v>
      </c>
      <c r="AH745" t="s" s="0">
        <v>81</v>
      </c>
      <c r="AI745" t="s" s="0">
        <v>16315</v>
      </c>
      <c r="AJ745" t="s" s="0">
        <v>81</v>
      </c>
      <c r="AK745" t="s" s="0">
        <v>81</v>
      </c>
      <c r="AL745" t="s" s="0">
        <v>252</v>
      </c>
      <c r="AM745" t="s" s="0">
        <v>97</v>
      </c>
      <c r="AN745" t="s" s="0">
        <v>97</v>
      </c>
      <c r="AO745" t="s" s="0">
        <v>77</v>
      </c>
      <c r="AP745" t="s" s="0">
        <v>97</v>
      </c>
      <c r="AQ745" t="s" s="0">
        <v>212</v>
      </c>
      <c r="AR745" t="s" s="0">
        <v>213</v>
      </c>
      <c r="AS745" t="s" s="0">
        <v>214</v>
      </c>
      <c r="AT745" t="s" s="0">
        <v>16316</v>
      </c>
      <c r="AU745" t="s" s="0">
        <v>16317</v>
      </c>
      <c r="AV745" t="s" s="0">
        <v>81</v>
      </c>
      <c r="AW745" t="s" s="0">
        <v>16318</v>
      </c>
      <c r="AX745" t="s" s="0">
        <v>16319</v>
      </c>
      <c r="AY745" t="s" s="0">
        <v>11688</v>
      </c>
      <c r="AZ745" t="s" s="0">
        <v>290</v>
      </c>
      <c r="BA745" t="s" s="0">
        <v>399</v>
      </c>
      <c r="BB745" t="s" s="0">
        <v>97</v>
      </c>
      <c r="BC745" t="s" s="0">
        <v>81</v>
      </c>
      <c r="BD745" t="s" s="0">
        <v>81</v>
      </c>
      <c r="BE745" t="s" s="0">
        <v>81</v>
      </c>
      <c r="BF745" t="s" s="0">
        <v>81</v>
      </c>
      <c r="BG745" t="s" s="0">
        <v>81</v>
      </c>
      <c r="BH745" t="s" s="0">
        <v>81</v>
      </c>
      <c r="BI745" t="s" s="0">
        <v>196</v>
      </c>
      <c r="BJ745" t="s" s="0">
        <v>16320</v>
      </c>
      <c r="BK745" t="s" s="1480">
        <f>HYPERLINK("http://dx.doi.org/10.1007/s10822-025-00709-x","http://dx.doi.org/10.1007/s10822-025-00709-x")</f>
        <v>16321</v>
      </c>
      <c r="BL745" t="s" s="0">
        <v>81</v>
      </c>
      <c r="BM745" t="s" s="0">
        <v>81</v>
      </c>
      <c r="BN745" t="s" s="0">
        <v>874</v>
      </c>
      <c r="BO745" t="s" s="0">
        <v>16322</v>
      </c>
      <c r="BP745" t="s" s="0">
        <v>16323</v>
      </c>
      <c r="BQ745" t="s" s="0">
        <v>16324</v>
      </c>
      <c r="BR745" t="s" s="0">
        <v>16325</v>
      </c>
      <c r="BS745" t="s" s="0">
        <v>16326</v>
      </c>
      <c r="BT745" t="s" s="1481">
        <f>HYPERLINK("https://www.webofscience.com/wos/woscc/full-record/WOS:001622410000004","View Record in Web of Science")</f>
        <v>114</v>
      </c>
      <c r="BU745" t="s" s="0">
        <v>81</v>
      </c>
      <c r="BV745" t="s" s="0">
        <v>81</v>
      </c>
      <c r="BW745" t="s" s="0">
        <v>81</v>
      </c>
      <c r="BX745" t="s" s="0">
        <v>116</v>
      </c>
    </row>
    <row r="746">
      <c r="A746" t="s" s="0">
        <v>77</v>
      </c>
      <c r="B746" t="s" s="0">
        <v>77</v>
      </c>
      <c r="C746" t="s" s="0">
        <v>156</v>
      </c>
      <c r="D746" t="s" s="0">
        <v>77</v>
      </c>
      <c r="E746" t="s" s="0">
        <v>16327</v>
      </c>
      <c r="F746" t="s" s="0">
        <v>16328</v>
      </c>
      <c r="G746" t="s" s="0">
        <v>16329</v>
      </c>
      <c r="H746" t="s" s="0">
        <v>81</v>
      </c>
      <c r="I746" t="s" s="0">
        <v>82</v>
      </c>
      <c r="J746" t="s" s="0">
        <v>16330</v>
      </c>
      <c r="K746" t="s" s="0">
        <v>16331</v>
      </c>
      <c r="L746" t="s" s="0">
        <v>16332</v>
      </c>
      <c r="M746" t="s" s="0">
        <v>16333</v>
      </c>
      <c r="N746" t="s" s="0">
        <v>16334</v>
      </c>
      <c r="O746" t="s" s="0">
        <v>16335</v>
      </c>
      <c r="P746" t="s" s="0">
        <v>16336</v>
      </c>
      <c r="Q746" t="s" s="0">
        <v>87</v>
      </c>
      <c r="R746" t="s" s="0">
        <v>81</v>
      </c>
      <c r="S746" t="s" s="0">
        <v>81</v>
      </c>
      <c r="T746" t="s" s="0">
        <v>81</v>
      </c>
      <c r="U746" t="s" s="0">
        <v>81</v>
      </c>
      <c r="V746" t="s" s="0">
        <v>16337</v>
      </c>
      <c r="W746" t="s" s="0">
        <v>16338</v>
      </c>
      <c r="X746" t="s" s="0">
        <v>81</v>
      </c>
      <c r="Y746" t="s" s="0">
        <v>81</v>
      </c>
      <c r="Z746" t="s" s="0">
        <v>90</v>
      </c>
      <c r="AA746" t="s" s="0">
        <v>91</v>
      </c>
      <c r="AB746" t="s" s="0">
        <v>81</v>
      </c>
      <c r="AC746" t="s" s="0">
        <v>81</v>
      </c>
      <c r="AD746" t="s" s="0">
        <v>81</v>
      </c>
      <c r="AE746" t="s" s="0">
        <v>81</v>
      </c>
      <c r="AF746" t="s" s="0">
        <v>81</v>
      </c>
      <c r="AG746" t="s" s="0">
        <v>16339</v>
      </c>
      <c r="AH746" t="s" s="0">
        <v>16340</v>
      </c>
      <c r="AI746" t="s" s="0">
        <v>16341</v>
      </c>
      <c r="AJ746" t="s" s="0">
        <v>16342</v>
      </c>
      <c r="AK746" t="s" s="0">
        <v>81</v>
      </c>
      <c r="AL746" t="s" s="0">
        <v>5451</v>
      </c>
      <c r="AM746" t="s" s="0">
        <v>381</v>
      </c>
      <c r="AN746" t="s" s="0">
        <v>381</v>
      </c>
      <c r="AO746" t="s" s="0">
        <v>381</v>
      </c>
      <c r="AP746" t="s" s="0">
        <v>485</v>
      </c>
      <c r="AQ746" t="s" s="0">
        <v>136</v>
      </c>
      <c r="AR746" t="s" s="0">
        <v>137</v>
      </c>
      <c r="AS746" t="s" s="0">
        <v>138</v>
      </c>
      <c r="AT746" t="s" s="0">
        <v>81</v>
      </c>
      <c r="AU746" t="s" s="0">
        <v>16343</v>
      </c>
      <c r="AV746" t="s" s="0">
        <v>81</v>
      </c>
      <c r="AW746" t="s" s="0">
        <v>16338</v>
      </c>
      <c r="AX746" t="s" s="0">
        <v>16344</v>
      </c>
      <c r="AY746" t="s" s="0">
        <v>149</v>
      </c>
      <c r="AZ746" t="s" s="0">
        <v>290</v>
      </c>
      <c r="BA746" t="s" s="0">
        <v>3425</v>
      </c>
      <c r="BB746" t="s" s="0">
        <v>81</v>
      </c>
      <c r="BC746" t="s" s="0">
        <v>81</v>
      </c>
      <c r="BD746" t="s" s="0">
        <v>81</v>
      </c>
      <c r="BE746" t="s" s="0">
        <v>81</v>
      </c>
      <c r="BF746" t="s" s="0">
        <v>81</v>
      </c>
      <c r="BG746" t="s" s="0">
        <v>81</v>
      </c>
      <c r="BH746" t="s" s="0">
        <v>81</v>
      </c>
      <c r="BI746" t="s" s="0">
        <v>16345</v>
      </c>
      <c r="BJ746" t="s" s="0">
        <v>16346</v>
      </c>
      <c r="BK746" t="s" s="1482">
        <f>HYPERLINK("http://dx.doi.org/10.1016/j.eclinm.2025.103452","http://dx.doi.org/10.1016/j.eclinm.2025.103452")</f>
        <v>16347</v>
      </c>
      <c r="BL746" t="s" s="0">
        <v>81</v>
      </c>
      <c r="BM746" t="s" s="0">
        <v>149</v>
      </c>
      <c r="BN746" t="s" s="0">
        <v>104</v>
      </c>
      <c r="BO746" t="s" s="0">
        <v>296</v>
      </c>
      <c r="BP746" t="s" s="0">
        <v>297</v>
      </c>
      <c r="BQ746" t="s" s="0">
        <v>16348</v>
      </c>
      <c r="BR746" t="s" s="0">
        <v>16349</v>
      </c>
      <c r="BS746" t="s" s="0">
        <v>16350</v>
      </c>
      <c r="BT746" t="s" s="1483">
        <f>HYPERLINK("https://www.webofscience.com/wos/woscc/full-record/WOS:001607788700010","View Record in Web of Science")</f>
        <v>114</v>
      </c>
      <c r="BU746" t="s" s="0">
        <v>301</v>
      </c>
      <c r="BV746" t="s" s="0">
        <v>81</v>
      </c>
      <c r="BW746" t="s" s="0">
        <v>81</v>
      </c>
      <c r="BX746" t="s" s="0">
        <v>116</v>
      </c>
    </row>
    <row r="747">
      <c r="A747" t="s" s="0">
        <v>77</v>
      </c>
      <c r="B747" t="s" s="0">
        <v>77</v>
      </c>
      <c r="C747" t="s" s="0">
        <v>77</v>
      </c>
      <c r="D747" t="s" s="0">
        <v>77</v>
      </c>
      <c r="E747" t="s" s="0">
        <v>16351</v>
      </c>
      <c r="F747" t="s" s="0">
        <v>16352</v>
      </c>
      <c r="G747" t="s" s="0">
        <v>16353</v>
      </c>
      <c r="H747" t="s" s="0">
        <v>81</v>
      </c>
      <c r="I747" t="s" s="0">
        <v>9767</v>
      </c>
      <c r="J747" t="s" s="0">
        <v>16354</v>
      </c>
      <c r="K747" t="s" s="0">
        <v>16355</v>
      </c>
      <c r="L747" t="s" s="0">
        <v>81</v>
      </c>
      <c r="M747" t="s" s="0">
        <v>81</v>
      </c>
      <c r="N747" t="s" s="0">
        <v>81</v>
      </c>
      <c r="O747" t="s" s="0">
        <v>16356</v>
      </c>
      <c r="P747" t="s" s="0">
        <v>16357</v>
      </c>
      <c r="Q747" t="s" s="0">
        <v>87</v>
      </c>
      <c r="R747" t="s" s="0">
        <v>81</v>
      </c>
      <c r="S747" t="s" s="0">
        <v>81</v>
      </c>
      <c r="T747" t="s" s="0">
        <v>81</v>
      </c>
      <c r="U747" t="s" s="0">
        <v>81</v>
      </c>
      <c r="V747" t="s" s="0">
        <v>16358</v>
      </c>
      <c r="W747" t="s" s="0">
        <v>16359</v>
      </c>
      <c r="X747" t="s" s="0">
        <v>81</v>
      </c>
      <c r="Y747" t="s" s="0">
        <v>81</v>
      </c>
      <c r="Z747" t="s" s="0">
        <v>90</v>
      </c>
      <c r="AA747" t="s" s="0">
        <v>91</v>
      </c>
      <c r="AB747" t="s" s="0">
        <v>81</v>
      </c>
      <c r="AC747" t="s" s="0">
        <v>81</v>
      </c>
      <c r="AD747" t="s" s="0">
        <v>81</v>
      </c>
      <c r="AE747" t="s" s="0">
        <v>81</v>
      </c>
      <c r="AF747" t="s" s="0">
        <v>81</v>
      </c>
      <c r="AG747" t="s" s="0">
        <v>16360</v>
      </c>
      <c r="AH747" t="s" s="0">
        <v>16361</v>
      </c>
      <c r="AI747" t="s" s="0">
        <v>81</v>
      </c>
      <c r="AJ747" t="s" s="0">
        <v>81</v>
      </c>
      <c r="AK747" t="s" s="0">
        <v>81</v>
      </c>
      <c r="AL747" t="s" s="0">
        <v>221</v>
      </c>
      <c r="AM747" t="s" s="0">
        <v>104</v>
      </c>
      <c r="AN747" t="s" s="0">
        <v>222</v>
      </c>
      <c r="AO747" t="s" s="0">
        <v>156</v>
      </c>
      <c r="AP747" t="s" s="0">
        <v>756</v>
      </c>
      <c r="AQ747" t="s" s="0">
        <v>9827</v>
      </c>
      <c r="AR747" t="s" s="0">
        <v>546</v>
      </c>
      <c r="AS747" t="s" s="0">
        <v>9828</v>
      </c>
      <c r="AT747" t="s" s="0">
        <v>16362</v>
      </c>
      <c r="AU747" t="s" s="0">
        <v>16363</v>
      </c>
      <c r="AV747" t="s" s="0">
        <v>81</v>
      </c>
      <c r="AW747" t="s" s="0">
        <v>16364</v>
      </c>
      <c r="AX747" t="s" s="0">
        <v>16365</v>
      </c>
      <c r="AY747" t="s" s="0">
        <v>2577</v>
      </c>
      <c r="AZ747" t="s" s="0">
        <v>260</v>
      </c>
      <c r="BA747" t="s" s="0">
        <v>2447</v>
      </c>
      <c r="BB747" t="s" s="0">
        <v>133</v>
      </c>
      <c r="BC747" t="s" s="0">
        <v>81</v>
      </c>
      <c r="BD747" t="s" s="0">
        <v>81</v>
      </c>
      <c r="BE747" t="s" s="0">
        <v>81</v>
      </c>
      <c r="BF747" t="s" s="0">
        <v>81</v>
      </c>
      <c r="BG747" t="s" s="0">
        <v>16366</v>
      </c>
      <c r="BH747" t="s" s="0">
        <v>16367</v>
      </c>
      <c r="BI747" t="s" s="0">
        <v>81</v>
      </c>
      <c r="BJ747" t="s" s="0">
        <v>16368</v>
      </c>
      <c r="BK747" t="s" s="1484">
        <f>HYPERLINK("http://dx.doi.org/10.1177/03063127231163756","http://dx.doi.org/10.1177/03063127231163756")</f>
        <v>16369</v>
      </c>
      <c r="BL747" t="s" s="0">
        <v>81</v>
      </c>
      <c r="BM747" t="s" s="0">
        <v>2081</v>
      </c>
      <c r="BN747" t="s" s="0">
        <v>135</v>
      </c>
      <c r="BO747" t="s" s="0">
        <v>16370</v>
      </c>
      <c r="BP747" t="s" s="0">
        <v>16371</v>
      </c>
      <c r="BQ747" t="s" s="0">
        <v>16372</v>
      </c>
      <c r="BR747" t="s" s="0">
        <v>16373</v>
      </c>
      <c r="BS747" t="s" s="0">
        <v>16374</v>
      </c>
      <c r="BT747" t="s" s="1485">
        <f>HYPERLINK("https://www.webofscience.com/wos/woscc/full-record/WOS:000980809300001","View Record in Web of Science")</f>
        <v>114</v>
      </c>
      <c r="BU747" t="s" s="0">
        <v>2239</v>
      </c>
      <c r="BV747" t="s" s="0">
        <v>81</v>
      </c>
      <c r="BW747" t="s" s="0">
        <v>81</v>
      </c>
      <c r="BX747" t="s" s="0">
        <v>116</v>
      </c>
    </row>
    <row r="748">
      <c r="A748" t="s" s="0">
        <v>77</v>
      </c>
      <c r="B748" t="s" s="0">
        <v>77</v>
      </c>
      <c r="C748" t="s" s="0">
        <v>77</v>
      </c>
      <c r="D748" t="s" s="0">
        <v>77</v>
      </c>
      <c r="E748" t="s" s="0">
        <v>16375</v>
      </c>
      <c r="F748" t="s" s="0">
        <v>16376</v>
      </c>
      <c r="G748" t="s" s="0">
        <v>16377</v>
      </c>
      <c r="H748" t="s" s="0">
        <v>81</v>
      </c>
      <c r="I748" t="s" s="0">
        <v>238</v>
      </c>
      <c r="J748" t="s" s="0">
        <v>16378</v>
      </c>
      <c r="K748" t="s" s="0">
        <v>16379</v>
      </c>
      <c r="L748" t="s" s="0">
        <v>16380</v>
      </c>
      <c r="M748" t="s" s="0">
        <v>16381</v>
      </c>
      <c r="N748" t="s" s="0">
        <v>16382</v>
      </c>
      <c r="O748" t="s" s="0">
        <v>16383</v>
      </c>
      <c r="P748" t="s" s="0">
        <v>16384</v>
      </c>
      <c r="Q748" t="s" s="0">
        <v>87</v>
      </c>
      <c r="R748" t="s" s="0">
        <v>81</v>
      </c>
      <c r="S748" t="s" s="0">
        <v>81</v>
      </c>
      <c r="T748" t="s" s="0">
        <v>81</v>
      </c>
      <c r="U748" t="s" s="0">
        <v>81</v>
      </c>
      <c r="V748" t="s" s="0">
        <v>16385</v>
      </c>
      <c r="W748" t="s" s="0">
        <v>7986</v>
      </c>
      <c r="X748" t="s" s="0">
        <v>81</v>
      </c>
      <c r="Y748" t="s" s="0">
        <v>81</v>
      </c>
      <c r="Z748" t="s" s="0">
        <v>90</v>
      </c>
      <c r="AA748" t="s" s="0">
        <v>91</v>
      </c>
      <c r="AB748" t="s" s="0">
        <v>81</v>
      </c>
      <c r="AC748" t="s" s="0">
        <v>81</v>
      </c>
      <c r="AD748" t="s" s="0">
        <v>81</v>
      </c>
      <c r="AE748" t="s" s="0">
        <v>81</v>
      </c>
      <c r="AF748" t="s" s="0">
        <v>81</v>
      </c>
      <c r="AG748" t="s" s="0">
        <v>16386</v>
      </c>
      <c r="AH748" t="s" s="0">
        <v>16387</v>
      </c>
      <c r="AI748" t="s" s="0">
        <v>81</v>
      </c>
      <c r="AJ748" t="s" s="0">
        <v>16388</v>
      </c>
      <c r="AK748" t="s" s="0">
        <v>81</v>
      </c>
      <c r="AL748" t="s" s="0">
        <v>324</v>
      </c>
      <c r="AM748" t="s" s="0">
        <v>156</v>
      </c>
      <c r="AN748" t="s" s="0">
        <v>156</v>
      </c>
      <c r="AO748" t="s" s="0">
        <v>175</v>
      </c>
      <c r="AP748" t="s" s="0">
        <v>211</v>
      </c>
      <c r="AQ748" t="s" s="0">
        <v>3061</v>
      </c>
      <c r="AR748" t="s" s="0">
        <v>3062</v>
      </c>
      <c r="AS748" t="s" s="0">
        <v>3063</v>
      </c>
      <c r="AT748" t="s" s="0">
        <v>7991</v>
      </c>
      <c r="AU748" t="s" s="0">
        <v>81</v>
      </c>
      <c r="AV748" t="s" s="0">
        <v>81</v>
      </c>
      <c r="AW748" t="s" s="0">
        <v>7992</v>
      </c>
      <c r="AX748" t="s" s="0">
        <v>7993</v>
      </c>
      <c r="AY748" t="s" s="0">
        <v>290</v>
      </c>
      <c r="AZ748" t="s" s="0">
        <v>290</v>
      </c>
      <c r="BA748" t="s" s="0">
        <v>134</v>
      </c>
      <c r="BB748" t="s" s="0">
        <v>81</v>
      </c>
      <c r="BC748" t="s" s="0">
        <v>81</v>
      </c>
      <c r="BD748" t="s" s="0">
        <v>81</v>
      </c>
      <c r="BE748" t="s" s="0">
        <v>81</v>
      </c>
      <c r="BF748" t="s" s="0">
        <v>81</v>
      </c>
      <c r="BG748" t="s" s="0">
        <v>81</v>
      </c>
      <c r="BH748" t="s" s="0">
        <v>81</v>
      </c>
      <c r="BI748" t="s" s="0">
        <v>16389</v>
      </c>
      <c r="BJ748" t="s" s="0">
        <v>16390</v>
      </c>
      <c r="BK748" t="s" s="1486">
        <f>HYPERLINK("http://dx.doi.org/10.2196/69144","http://dx.doi.org/10.2196/69144")</f>
        <v>16391</v>
      </c>
      <c r="BL748" t="s" s="0">
        <v>81</v>
      </c>
      <c r="BM748" t="s" s="0">
        <v>81</v>
      </c>
      <c r="BN748" t="s" s="0">
        <v>381</v>
      </c>
      <c r="BO748" t="s" s="0">
        <v>792</v>
      </c>
      <c r="BP748" t="s" s="0">
        <v>792</v>
      </c>
      <c r="BQ748" t="s" s="0">
        <v>16392</v>
      </c>
      <c r="BR748" t="s" s="0">
        <v>16393</v>
      </c>
      <c r="BS748" t="s" s="0">
        <v>16394</v>
      </c>
      <c r="BT748" t="s" s="1487">
        <f>HYPERLINK("https://www.webofscience.com/wos/woscc/full-record/WOS:001490102200001","View Record in Web of Science")</f>
        <v>114</v>
      </c>
      <c r="BU748" t="s" s="0">
        <v>301</v>
      </c>
      <c r="BV748" t="s" s="0">
        <v>81</v>
      </c>
      <c r="BW748" t="s" s="0">
        <v>81</v>
      </c>
      <c r="BX748" t="s" s="0">
        <v>116</v>
      </c>
    </row>
    <row r="749">
      <c r="A749" t="s" s="0">
        <v>77</v>
      </c>
      <c r="B749" t="s" s="0">
        <v>77</v>
      </c>
      <c r="C749" t="s" s="0">
        <v>77</v>
      </c>
      <c r="D749" t="s" s="0">
        <v>77</v>
      </c>
      <c r="E749" t="s" s="0">
        <v>3990</v>
      </c>
      <c r="F749" t="s" s="0">
        <v>16395</v>
      </c>
      <c r="G749" t="s" s="0">
        <v>3992</v>
      </c>
      <c r="H749" t="s" s="0">
        <v>81</v>
      </c>
      <c r="I749" t="s" s="0">
        <v>238</v>
      </c>
      <c r="J749" t="s" s="0">
        <v>3993</v>
      </c>
      <c r="K749" t="s" s="0">
        <v>3994</v>
      </c>
      <c r="L749" t="s" s="0">
        <v>81</v>
      </c>
      <c r="M749" t="s" s="0">
        <v>81</v>
      </c>
      <c r="N749" t="s" s="0">
        <v>81</v>
      </c>
      <c r="O749" t="s" s="0">
        <v>16396</v>
      </c>
      <c r="P749" t="s" s="0">
        <v>3996</v>
      </c>
      <c r="Q749" t="s" s="0">
        <v>87</v>
      </c>
      <c r="R749" t="s" s="0">
        <v>81</v>
      </c>
      <c r="S749" t="s" s="0">
        <v>81</v>
      </c>
      <c r="T749" t="s" s="0">
        <v>81</v>
      </c>
      <c r="U749" t="s" s="0">
        <v>81</v>
      </c>
      <c r="V749" t="s" s="0">
        <v>16397</v>
      </c>
      <c r="W749" t="s" s="0">
        <v>16398</v>
      </c>
      <c r="X749" t="s" s="0">
        <v>81</v>
      </c>
      <c r="Y749" t="s" s="0">
        <v>81</v>
      </c>
      <c r="Z749" t="s" s="0">
        <v>90</v>
      </c>
      <c r="AA749" t="s" s="0">
        <v>91</v>
      </c>
      <c r="AB749" t="s" s="0">
        <v>81</v>
      </c>
      <c r="AC749" t="s" s="0">
        <v>81</v>
      </c>
      <c r="AD749" t="s" s="0">
        <v>81</v>
      </c>
      <c r="AE749" t="s" s="0">
        <v>81</v>
      </c>
      <c r="AF749" t="s" s="0">
        <v>81</v>
      </c>
      <c r="AG749" t="s" s="0">
        <v>16399</v>
      </c>
      <c r="AH749" t="s" s="0">
        <v>81</v>
      </c>
      <c r="AI749" t="s" s="0">
        <v>16400</v>
      </c>
      <c r="AJ749" t="s" s="0">
        <v>16401</v>
      </c>
      <c r="AK749" t="s" s="0">
        <v>81</v>
      </c>
      <c r="AL749" t="s" s="0">
        <v>150</v>
      </c>
      <c r="AM749" t="s" s="0">
        <v>77</v>
      </c>
      <c r="AN749" t="s" s="0">
        <v>97</v>
      </c>
      <c r="AO749" t="s" s="0">
        <v>156</v>
      </c>
      <c r="AP749" t="s" s="0">
        <v>196</v>
      </c>
      <c r="AQ749" t="s" s="0">
        <v>284</v>
      </c>
      <c r="AR749" t="s" s="0">
        <v>285</v>
      </c>
      <c r="AS749" t="s" s="0">
        <v>286</v>
      </c>
      <c r="AT749" t="s" s="0">
        <v>81</v>
      </c>
      <c r="AU749" t="s" s="0">
        <v>16402</v>
      </c>
      <c r="AV749" t="s" s="0">
        <v>81</v>
      </c>
      <c r="AW749" t="s" s="0">
        <v>16403</v>
      </c>
      <c r="AX749" t="s" s="0">
        <v>16404</v>
      </c>
      <c r="AY749" t="s" s="0">
        <v>16405</v>
      </c>
      <c r="AZ749" t="s" s="0">
        <v>290</v>
      </c>
      <c r="BA749" t="s" s="0">
        <v>134</v>
      </c>
      <c r="BB749" t="s" s="0">
        <v>133</v>
      </c>
      <c r="BC749" t="s" s="0">
        <v>81</v>
      </c>
      <c r="BD749" t="s" s="0">
        <v>81</v>
      </c>
      <c r="BE749" t="s" s="0">
        <v>81</v>
      </c>
      <c r="BF749" t="s" s="0">
        <v>81</v>
      </c>
      <c r="BG749" t="s" s="0">
        <v>81</v>
      </c>
      <c r="BH749" t="s" s="0">
        <v>81</v>
      </c>
      <c r="BI749" t="s" s="0">
        <v>16406</v>
      </c>
      <c r="BJ749" t="s" s="0">
        <v>16407</v>
      </c>
      <c r="BK749" t="s" s="1488">
        <f>HYPERLINK("http://dx.doi.org/10.3390/cosmetics12050194","http://dx.doi.org/10.3390/cosmetics12050194")</f>
        <v>16408</v>
      </c>
      <c r="BL749" t="s" s="0">
        <v>81</v>
      </c>
      <c r="BM749" t="s" s="0">
        <v>81</v>
      </c>
      <c r="BN749" t="s" s="0">
        <v>174</v>
      </c>
      <c r="BO749" t="s" s="0">
        <v>16409</v>
      </c>
      <c r="BP749" t="s" s="0">
        <v>16409</v>
      </c>
      <c r="BQ749" t="s" s="0">
        <v>16410</v>
      </c>
      <c r="BR749" t="s" s="0">
        <v>81</v>
      </c>
      <c r="BS749" t="s" s="0">
        <v>16411</v>
      </c>
      <c r="BT749" t="s" s="1489">
        <f>HYPERLINK("https://www.webofscience.com/wos/woscc/full-record/WOS:001602368500001","View Record in Web of Science")</f>
        <v>114</v>
      </c>
      <c r="BU749" t="s" s="0">
        <v>301</v>
      </c>
      <c r="BV749" t="s" s="0">
        <v>81</v>
      </c>
      <c r="BW749" t="s" s="0">
        <v>81</v>
      </c>
      <c r="BX749" t="s" s="0">
        <v>116</v>
      </c>
    </row>
    <row r="750">
      <c r="A750" t="s" s="0">
        <v>77</v>
      </c>
      <c r="B750" t="s" s="0">
        <v>77</v>
      </c>
      <c r="C750" t="s" s="0">
        <v>77</v>
      </c>
      <c r="D750" t="s" s="0">
        <v>77</v>
      </c>
      <c r="E750" t="s" s="0">
        <v>16412</v>
      </c>
      <c r="F750" t="s" s="0">
        <v>16413</v>
      </c>
      <c r="G750" t="s" s="0">
        <v>16414</v>
      </c>
      <c r="H750" t="s" s="0">
        <v>81</v>
      </c>
      <c r="I750" t="s" s="0">
        <v>528</v>
      </c>
      <c r="J750" t="s" s="0">
        <v>16415</v>
      </c>
      <c r="K750" t="s" s="0">
        <v>16416</v>
      </c>
      <c r="L750" t="s" s="0">
        <v>16417</v>
      </c>
      <c r="M750" t="s" s="0">
        <v>16418</v>
      </c>
      <c r="N750" t="s" s="0">
        <v>16419</v>
      </c>
      <c r="O750" t="s" s="0">
        <v>16420</v>
      </c>
      <c r="P750" t="s" s="0">
        <v>16421</v>
      </c>
      <c r="Q750" t="s" s="0">
        <v>87</v>
      </c>
      <c r="R750" t="s" s="0">
        <v>81</v>
      </c>
      <c r="S750" t="s" s="0">
        <v>81</v>
      </c>
      <c r="T750" t="s" s="0">
        <v>81</v>
      </c>
      <c r="U750" t="s" s="0">
        <v>81</v>
      </c>
      <c r="V750" t="s" s="0">
        <v>16422</v>
      </c>
      <c r="W750" t="s" s="0">
        <v>16423</v>
      </c>
      <c r="X750" t="s" s="0">
        <v>81</v>
      </c>
      <c r="Y750" t="s" s="0">
        <v>81</v>
      </c>
      <c r="Z750" t="s" s="0">
        <v>90</v>
      </c>
      <c r="AA750" t="s" s="0">
        <v>1581</v>
      </c>
      <c r="AB750" t="s" s="0">
        <v>81</v>
      </c>
      <c r="AC750" t="s" s="0">
        <v>81</v>
      </c>
      <c r="AD750" t="s" s="0">
        <v>81</v>
      </c>
      <c r="AE750" t="s" s="0">
        <v>81</v>
      </c>
      <c r="AF750" t="s" s="0">
        <v>81</v>
      </c>
      <c r="AG750" t="s" s="0">
        <v>16424</v>
      </c>
      <c r="AH750" t="s" s="0">
        <v>81</v>
      </c>
      <c r="AI750" t="s" s="0">
        <v>81</v>
      </c>
      <c r="AJ750" t="s" s="0">
        <v>16425</v>
      </c>
      <c r="AK750" t="s" s="0">
        <v>81</v>
      </c>
      <c r="AL750" t="s" s="0">
        <v>1184</v>
      </c>
      <c r="AM750" t="s" s="0">
        <v>77</v>
      </c>
      <c r="AN750" t="s" s="0">
        <v>77</v>
      </c>
      <c r="AO750" t="s" s="0">
        <v>175</v>
      </c>
      <c r="AP750" t="s" s="0">
        <v>175</v>
      </c>
      <c r="AQ750" t="s" s="0">
        <v>9777</v>
      </c>
      <c r="AR750" t="s" s="0">
        <v>255</v>
      </c>
      <c r="AS750" t="s" s="0">
        <v>9778</v>
      </c>
      <c r="AT750" t="s" s="0">
        <v>16426</v>
      </c>
      <c r="AU750" t="s" s="0">
        <v>16427</v>
      </c>
      <c r="AV750" t="s" s="0">
        <v>81</v>
      </c>
      <c r="AW750" t="s" s="0">
        <v>16428</v>
      </c>
      <c r="AX750" t="s" s="0">
        <v>16429</v>
      </c>
      <c r="AY750" t="s" s="0">
        <v>81</v>
      </c>
      <c r="AZ750" t="s" s="0">
        <v>103</v>
      </c>
      <c r="BA750" t="s" s="0">
        <v>81</v>
      </c>
      <c r="BB750" t="s" s="0">
        <v>81</v>
      </c>
      <c r="BC750" t="s" s="0">
        <v>81</v>
      </c>
      <c r="BD750" t="s" s="0">
        <v>81</v>
      </c>
      <c r="BE750" t="s" s="0">
        <v>81</v>
      </c>
      <c r="BF750" t="s" s="0">
        <v>81</v>
      </c>
      <c r="BG750" t="s" s="0">
        <v>81</v>
      </c>
      <c r="BH750" t="s" s="0">
        <v>81</v>
      </c>
      <c r="BI750" t="s" s="0">
        <v>81</v>
      </c>
      <c r="BJ750" t="s" s="0">
        <v>16430</v>
      </c>
      <c r="BK750" t="s" s="1490">
        <f>HYPERLINK("http://dx.doi.org/10.1017/jme.2026.10256","http://dx.doi.org/10.1017/jme.2026.10256")</f>
        <v>16431</v>
      </c>
      <c r="BL750" t="s" s="0">
        <v>81</v>
      </c>
      <c r="BM750" t="s" s="0">
        <v>948</v>
      </c>
      <c r="BN750" t="s" s="0">
        <v>104</v>
      </c>
      <c r="BO750" t="s" s="0">
        <v>1663</v>
      </c>
      <c r="BP750" t="s" s="0">
        <v>1664</v>
      </c>
      <c r="BQ750" t="s" s="0">
        <v>16432</v>
      </c>
      <c r="BR750" t="s" s="0">
        <v>16433</v>
      </c>
      <c r="BS750" t="s" s="0">
        <v>16434</v>
      </c>
      <c r="BT750" t="s" s="1491">
        <f>HYPERLINK("https://www.webofscience.com/wos/woscc/full-record/WOS:001743712800001","View Record in Web of Science")</f>
        <v>114</v>
      </c>
      <c r="BU750" t="s" s="0">
        <v>81</v>
      </c>
      <c r="BV750" t="s" s="0">
        <v>81</v>
      </c>
      <c r="BW750" t="s" s="0">
        <v>81</v>
      </c>
      <c r="BX750" t="s" s="0">
        <v>116</v>
      </c>
    </row>
    <row r="751">
      <c r="A751" t="s" s="0">
        <v>77</v>
      </c>
      <c r="B751" t="s" s="0">
        <v>77</v>
      </c>
      <c r="C751" t="s" s="0">
        <v>156</v>
      </c>
      <c r="D751" t="s" s="0">
        <v>77</v>
      </c>
      <c r="E751" t="s" s="0">
        <v>16435</v>
      </c>
      <c r="F751" t="s" s="0">
        <v>16436</v>
      </c>
      <c r="G751" t="s" s="0">
        <v>16437</v>
      </c>
      <c r="H751" t="s" s="0">
        <v>81</v>
      </c>
      <c r="I751" t="s" s="0">
        <v>82</v>
      </c>
      <c r="J751" t="s" s="0">
        <v>16438</v>
      </c>
      <c r="K751" t="s" s="0">
        <v>16439</v>
      </c>
      <c r="L751" t="s" s="0">
        <v>16440</v>
      </c>
      <c r="M751" t="s" s="0">
        <v>16441</v>
      </c>
      <c r="N751" t="s" s="0">
        <v>16442</v>
      </c>
      <c r="O751" t="s" s="0">
        <v>16443</v>
      </c>
      <c r="P751" t="s" s="0">
        <v>16444</v>
      </c>
      <c r="Q751" t="s" s="0">
        <v>87</v>
      </c>
      <c r="R751" t="s" s="0">
        <v>81</v>
      </c>
      <c r="S751" t="s" s="0">
        <v>81</v>
      </c>
      <c r="T751" t="s" s="0">
        <v>81</v>
      </c>
      <c r="U751" t="s" s="0">
        <v>81</v>
      </c>
      <c r="V751" t="s" s="0">
        <v>16445</v>
      </c>
      <c r="W751" t="s" s="0">
        <v>16446</v>
      </c>
      <c r="X751" t="s" s="0">
        <v>81</v>
      </c>
      <c r="Y751" t="s" s="0">
        <v>81</v>
      </c>
      <c r="Z751" t="s" s="0">
        <v>90</v>
      </c>
      <c r="AA751" t="s" s="0">
        <v>91</v>
      </c>
      <c r="AB751" t="s" s="0">
        <v>81</v>
      </c>
      <c r="AC751" t="s" s="0">
        <v>81</v>
      </c>
      <c r="AD751" t="s" s="0">
        <v>81</v>
      </c>
      <c r="AE751" t="s" s="0">
        <v>81</v>
      </c>
      <c r="AF751" t="s" s="0">
        <v>81</v>
      </c>
      <c r="AG751" t="s" s="0">
        <v>16447</v>
      </c>
      <c r="AH751" t="s" s="0">
        <v>81</v>
      </c>
      <c r="AI751" t="s" s="0">
        <v>16448</v>
      </c>
      <c r="AJ751" t="s" s="0">
        <v>16449</v>
      </c>
      <c r="AK751" t="s" s="0">
        <v>81</v>
      </c>
      <c r="AL751" t="s" s="0">
        <v>485</v>
      </c>
      <c r="AM751" t="s" s="0">
        <v>381</v>
      </c>
      <c r="AN751" t="s" s="0">
        <v>261</v>
      </c>
      <c r="AO751" t="s" s="0">
        <v>97</v>
      </c>
      <c r="AP751" t="s" s="0">
        <v>133</v>
      </c>
      <c r="AQ751" t="s" s="0">
        <v>16450</v>
      </c>
      <c r="AR751" t="s" s="0">
        <v>4821</v>
      </c>
      <c r="AS751" t="s" s="0">
        <v>16451</v>
      </c>
      <c r="AT751" t="s" s="0">
        <v>16452</v>
      </c>
      <c r="AU751" t="s" s="0">
        <v>16453</v>
      </c>
      <c r="AV751" t="s" s="0">
        <v>81</v>
      </c>
      <c r="AW751" t="s" s="0">
        <v>16454</v>
      </c>
      <c r="AX751" t="s" s="0">
        <v>16455</v>
      </c>
      <c r="AY751" t="s" s="0">
        <v>1029</v>
      </c>
      <c r="AZ751" t="s" s="0">
        <v>290</v>
      </c>
      <c r="BA751" t="s" s="0">
        <v>1184</v>
      </c>
      <c r="BB751" t="s" s="0">
        <v>97</v>
      </c>
      <c r="BC751" t="s" s="0">
        <v>81</v>
      </c>
      <c r="BD751" t="s" s="0">
        <v>81</v>
      </c>
      <c r="BE751" t="s" s="0">
        <v>81</v>
      </c>
      <c r="BF751" t="s" s="0">
        <v>81</v>
      </c>
      <c r="BG751" t="s" s="0">
        <v>4518</v>
      </c>
      <c r="BH751" t="s" s="0">
        <v>2819</v>
      </c>
      <c r="BI751" t="s" s="0">
        <v>81</v>
      </c>
      <c r="BJ751" t="s" s="0">
        <v>16456</v>
      </c>
      <c r="BK751" t="s" s="1492">
        <f>HYPERLINK("http://dx.doi.org/10.1016/j.alit.2024.07.004","http://dx.doi.org/10.1016/j.alit.2024.07.004")</f>
        <v>16457</v>
      </c>
      <c r="BL751" t="s" s="0">
        <v>81</v>
      </c>
      <c r="BM751" t="s" s="0">
        <v>1029</v>
      </c>
      <c r="BN751" t="s" s="0">
        <v>191</v>
      </c>
      <c r="BO751" t="s" s="0">
        <v>16458</v>
      </c>
      <c r="BP751" t="s" s="0">
        <v>16458</v>
      </c>
      <c r="BQ751" t="s" s="0">
        <v>16459</v>
      </c>
      <c r="BR751" t="s" s="0">
        <v>16460</v>
      </c>
      <c r="BS751" t="s" s="0">
        <v>16461</v>
      </c>
      <c r="BT751" t="s" s="1493">
        <f>HYPERLINK("https://www.webofscience.com/wos/woscc/full-record/WOS:001400354100001","View Record in Web of Science")</f>
        <v>114</v>
      </c>
      <c r="BU751" t="s" s="0">
        <v>301</v>
      </c>
      <c r="BV751" t="s" s="0">
        <v>81</v>
      </c>
      <c r="BW751" t="s" s="0">
        <v>81</v>
      </c>
      <c r="BX751" t="s" s="0">
        <v>116</v>
      </c>
    </row>
    <row r="752">
      <c r="A752" t="s" s="0">
        <v>77</v>
      </c>
      <c r="B752" t="s" s="0">
        <v>77</v>
      </c>
      <c r="C752" t="s" s="0">
        <v>77</v>
      </c>
      <c r="D752" t="s" s="0">
        <v>77</v>
      </c>
      <c r="E752" t="s" s="0">
        <v>16462</v>
      </c>
      <c r="F752" t="s" s="0">
        <v>16463</v>
      </c>
      <c r="G752" t="s" s="0">
        <v>16464</v>
      </c>
      <c r="H752" t="s" s="0">
        <v>81</v>
      </c>
      <c r="I752" t="s" s="0">
        <v>82</v>
      </c>
      <c r="J752" t="s" s="0">
        <v>16465</v>
      </c>
      <c r="K752" t="s" s="0">
        <v>16466</v>
      </c>
      <c r="L752" t="s" s="0">
        <v>16467</v>
      </c>
      <c r="M752" t="s" s="0">
        <v>16468</v>
      </c>
      <c r="N752" t="s" s="0">
        <v>16469</v>
      </c>
      <c r="O752" t="s" s="0">
        <v>16470</v>
      </c>
      <c r="P752" t="s" s="0">
        <v>16471</v>
      </c>
      <c r="Q752" t="s" s="0">
        <v>87</v>
      </c>
      <c r="R752" t="s" s="0">
        <v>81</v>
      </c>
      <c r="S752" t="s" s="0">
        <v>81</v>
      </c>
      <c r="T752" t="s" s="0">
        <v>81</v>
      </c>
      <c r="U752" t="s" s="0">
        <v>81</v>
      </c>
      <c r="V752" t="s" s="0">
        <v>16472</v>
      </c>
      <c r="W752" t="s" s="0">
        <v>1340</v>
      </c>
      <c r="X752" t="s" s="0">
        <v>81</v>
      </c>
      <c r="Y752" t="s" s="0">
        <v>81</v>
      </c>
      <c r="Z752" t="s" s="0">
        <v>90</v>
      </c>
      <c r="AA752" t="s" s="0">
        <v>91</v>
      </c>
      <c r="AB752" t="s" s="0">
        <v>81</v>
      </c>
      <c r="AC752" t="s" s="0">
        <v>81</v>
      </c>
      <c r="AD752" t="s" s="0">
        <v>81</v>
      </c>
      <c r="AE752" t="s" s="0">
        <v>81</v>
      </c>
      <c r="AF752" t="s" s="0">
        <v>81</v>
      </c>
      <c r="AG752" t="s" s="0">
        <v>16473</v>
      </c>
      <c r="AH752" t="s" s="0">
        <v>81</v>
      </c>
      <c r="AI752" t="s" s="0">
        <v>16474</v>
      </c>
      <c r="AJ752" t="s" s="0">
        <v>16475</v>
      </c>
      <c r="AK752" t="s" s="0">
        <v>81</v>
      </c>
      <c r="AL752" t="s" s="0">
        <v>696</v>
      </c>
      <c r="AM752" t="s" s="0">
        <v>77</v>
      </c>
      <c r="AN752" t="s" s="0">
        <v>77</v>
      </c>
      <c r="AO752" t="s" s="0">
        <v>156</v>
      </c>
      <c r="AP752" t="s" s="0">
        <v>133</v>
      </c>
      <c r="AQ752" t="s" s="0">
        <v>1344</v>
      </c>
      <c r="AR752" t="s" s="0">
        <v>1345</v>
      </c>
      <c r="AS752" t="s" s="0">
        <v>1346</v>
      </c>
      <c r="AT752" t="s" s="0">
        <v>1347</v>
      </c>
      <c r="AU752" t="s" s="0">
        <v>1348</v>
      </c>
      <c r="AV752" t="s" s="0">
        <v>81</v>
      </c>
      <c r="AW752" t="s" s="0">
        <v>1349</v>
      </c>
      <c r="AX752" t="s" s="0">
        <v>1350</v>
      </c>
      <c r="AY752" t="s" s="0">
        <v>16476</v>
      </c>
      <c r="AZ752" t="s" s="0">
        <v>103</v>
      </c>
      <c r="BA752" t="s" s="0">
        <v>16477</v>
      </c>
      <c r="BB752" t="s" s="0">
        <v>81</v>
      </c>
      <c r="BC752" t="s" s="0">
        <v>81</v>
      </c>
      <c r="BD752" t="s" s="0">
        <v>81</v>
      </c>
      <c r="BE752" t="s" s="0">
        <v>81</v>
      </c>
      <c r="BF752" t="s" s="0">
        <v>81</v>
      </c>
      <c r="BG752" t="s" s="0">
        <v>81</v>
      </c>
      <c r="BH752" t="s" s="0">
        <v>81</v>
      </c>
      <c r="BI752" t="s" s="0">
        <v>16478</v>
      </c>
      <c r="BJ752" t="s" s="0">
        <v>16479</v>
      </c>
      <c r="BK752" t="s" s="1494">
        <f>HYPERLINK("http://dx.doi.org/10.1016/j.eswa.2025.130746","http://dx.doi.org/10.1016/j.eswa.2025.130746")</f>
        <v>16480</v>
      </c>
      <c r="BL752" t="s" s="0">
        <v>81</v>
      </c>
      <c r="BM752" t="s" s="0">
        <v>2353</v>
      </c>
      <c r="BN752" t="s" s="0">
        <v>135</v>
      </c>
      <c r="BO752" t="s" s="0">
        <v>1356</v>
      </c>
      <c r="BP752" t="s" s="0">
        <v>1357</v>
      </c>
      <c r="BQ752" t="s" s="0">
        <v>16481</v>
      </c>
      <c r="BR752" t="s" s="0">
        <v>81</v>
      </c>
      <c r="BS752" t="s" s="0">
        <v>16482</v>
      </c>
      <c r="BT752" t="s" s="1495">
        <f>HYPERLINK("https://www.webofscience.com/wos/woscc/full-record/WOS:001648464800001","View Record in Web of Science")</f>
        <v>114</v>
      </c>
      <c r="BU752" t="s" s="0">
        <v>81</v>
      </c>
      <c r="BV752" t="s" s="0">
        <v>81</v>
      </c>
      <c r="BW752" t="s" s="0">
        <v>81</v>
      </c>
      <c r="BX752" t="s" s="0">
        <v>116</v>
      </c>
    </row>
    <row r="753">
      <c r="A753" t="s" s="0">
        <v>77</v>
      </c>
      <c r="B753" t="s" s="0">
        <v>77</v>
      </c>
      <c r="C753" t="s" s="0">
        <v>77</v>
      </c>
      <c r="D753" t="s" s="0">
        <v>77</v>
      </c>
      <c r="E753" t="s" s="0">
        <v>16483</v>
      </c>
      <c r="F753" t="s" s="0">
        <v>16484</v>
      </c>
      <c r="G753" t="s" s="0">
        <v>16485</v>
      </c>
      <c r="H753" t="s" s="0">
        <v>81</v>
      </c>
      <c r="I753" t="s" s="0">
        <v>238</v>
      </c>
      <c r="J753" t="s" s="0">
        <v>16486</v>
      </c>
      <c r="K753" t="s" s="0">
        <v>16487</v>
      </c>
      <c r="L753" t="s" s="0">
        <v>16488</v>
      </c>
      <c r="M753" t="s" s="0">
        <v>16489</v>
      </c>
      <c r="N753" t="s" s="0">
        <v>16490</v>
      </c>
      <c r="O753" t="s" s="0">
        <v>16491</v>
      </c>
      <c r="P753" t="s" s="0">
        <v>16492</v>
      </c>
      <c r="Q753" t="s" s="0">
        <v>87</v>
      </c>
      <c r="R753" t="s" s="0">
        <v>81</v>
      </c>
      <c r="S753" t="s" s="0">
        <v>81</v>
      </c>
      <c r="T753" t="s" s="0">
        <v>81</v>
      </c>
      <c r="U753" t="s" s="0">
        <v>81</v>
      </c>
      <c r="V753" t="s" s="0">
        <v>16493</v>
      </c>
      <c r="W753" t="s" s="0">
        <v>4399</v>
      </c>
      <c r="X753" t="s" s="0">
        <v>81</v>
      </c>
      <c r="Y753" t="s" s="0">
        <v>81</v>
      </c>
      <c r="Z753" t="s" s="0">
        <v>90</v>
      </c>
      <c r="AA753" t="s" s="0">
        <v>91</v>
      </c>
      <c r="AB753" t="s" s="0">
        <v>81</v>
      </c>
      <c r="AC753" t="s" s="0">
        <v>81</v>
      </c>
      <c r="AD753" t="s" s="0">
        <v>81</v>
      </c>
      <c r="AE753" t="s" s="0">
        <v>81</v>
      </c>
      <c r="AF753" t="s" s="0">
        <v>81</v>
      </c>
      <c r="AG753" t="s" s="0">
        <v>16494</v>
      </c>
      <c r="AH753" t="s" s="0">
        <v>81</v>
      </c>
      <c r="AI753" t="s" s="0">
        <v>16495</v>
      </c>
      <c r="AJ753" t="s" s="0">
        <v>16496</v>
      </c>
      <c r="AK753" t="s" s="0">
        <v>81</v>
      </c>
      <c r="AL753" t="s" s="0">
        <v>434</v>
      </c>
      <c r="AM753" t="s" s="0">
        <v>77</v>
      </c>
      <c r="AN753" t="s" s="0">
        <v>77</v>
      </c>
      <c r="AO753" t="s" s="0">
        <v>97</v>
      </c>
      <c r="AP753" t="s" s="0">
        <v>133</v>
      </c>
      <c r="AQ753" t="s" s="0">
        <v>136</v>
      </c>
      <c r="AR753" t="s" s="0">
        <v>137</v>
      </c>
      <c r="AS753" t="s" s="0">
        <v>138</v>
      </c>
      <c r="AT753" t="s" s="0">
        <v>4403</v>
      </c>
      <c r="AU753" t="s" s="0">
        <v>4404</v>
      </c>
      <c r="AV753" t="s" s="0">
        <v>81</v>
      </c>
      <c r="AW753" t="s" s="0">
        <v>4399</v>
      </c>
      <c r="AX753" t="s" s="0">
        <v>4405</v>
      </c>
      <c r="AY753" t="s" s="0">
        <v>5526</v>
      </c>
      <c r="AZ753" t="s" s="0">
        <v>260</v>
      </c>
      <c r="BA753" t="s" s="0">
        <v>176</v>
      </c>
      <c r="BB753" t="s" s="0">
        <v>81</v>
      </c>
      <c r="BC753" t="s" s="0">
        <v>81</v>
      </c>
      <c r="BD753" t="s" s="0">
        <v>81</v>
      </c>
      <c r="BE753" t="s" s="0">
        <v>81</v>
      </c>
      <c r="BF753" t="s" s="0">
        <v>81</v>
      </c>
      <c r="BG753" t="s" s="0">
        <v>81</v>
      </c>
      <c r="BH753" t="s" s="0">
        <v>81</v>
      </c>
      <c r="BI753" t="s" s="0">
        <v>16497</v>
      </c>
      <c r="BJ753" t="s" s="0">
        <v>16498</v>
      </c>
      <c r="BK753" t="s" s="1496">
        <f>HYPERLINK("http://dx.doi.org/10.1016/j.smhl.2023.100384","http://dx.doi.org/10.1016/j.smhl.2023.100384")</f>
        <v>16499</v>
      </c>
      <c r="BL753" t="s" s="0">
        <v>81</v>
      </c>
      <c r="BM753" t="s" s="0">
        <v>5526</v>
      </c>
      <c r="BN753" t="s" s="0">
        <v>316</v>
      </c>
      <c r="BO753" t="s" s="0">
        <v>1963</v>
      </c>
      <c r="BP753" t="s" s="0">
        <v>1963</v>
      </c>
      <c r="BQ753" t="s" s="0">
        <v>16500</v>
      </c>
      <c r="BR753" t="s" s="0">
        <v>16501</v>
      </c>
      <c r="BS753" t="s" s="0">
        <v>16502</v>
      </c>
      <c r="BT753" t="s" s="1497">
        <f>HYPERLINK("https://www.webofscience.com/wos/woscc/full-record/WOS:001612137800019","View Record in Web of Science")</f>
        <v>114</v>
      </c>
      <c r="BU753" t="s" s="0">
        <v>233</v>
      </c>
      <c r="BV753" t="s" s="0">
        <v>81</v>
      </c>
      <c r="BW753" t="s" s="0">
        <v>81</v>
      </c>
      <c r="BX753" t="s" s="0">
        <v>116</v>
      </c>
    </row>
    <row r="754">
      <c r="A754" t="s" s="0">
        <v>77</v>
      </c>
      <c r="B754" t="s" s="0">
        <v>77</v>
      </c>
      <c r="C754" t="s" s="0">
        <v>77</v>
      </c>
      <c r="D754" t="s" s="0">
        <v>77</v>
      </c>
      <c r="E754" t="s" s="0">
        <v>16503</v>
      </c>
      <c r="F754" t="s" s="0">
        <v>16504</v>
      </c>
      <c r="G754" t="s" s="0">
        <v>16505</v>
      </c>
      <c r="H754" t="s" s="0">
        <v>81</v>
      </c>
      <c r="I754" t="s" s="0">
        <v>238</v>
      </c>
      <c r="J754" t="s" s="0">
        <v>16506</v>
      </c>
      <c r="K754" t="s" s="0">
        <v>16507</v>
      </c>
      <c r="L754" t="s" s="0">
        <v>16508</v>
      </c>
      <c r="M754" t="s" s="0">
        <v>16508</v>
      </c>
      <c r="N754" t="s" s="0">
        <v>16509</v>
      </c>
      <c r="O754" t="s" s="0">
        <v>16510</v>
      </c>
      <c r="P754" t="s" s="0">
        <v>16511</v>
      </c>
      <c r="Q754" t="s" s="0">
        <v>87</v>
      </c>
      <c r="R754" t="s" s="0">
        <v>81</v>
      </c>
      <c r="S754" t="s" s="0">
        <v>81</v>
      </c>
      <c r="T754" t="s" s="0">
        <v>81</v>
      </c>
      <c r="U754" t="s" s="0">
        <v>81</v>
      </c>
      <c r="V754" t="s" s="0">
        <v>16512</v>
      </c>
      <c r="W754" t="s" s="0">
        <v>5833</v>
      </c>
      <c r="X754" t="s" s="0">
        <v>81</v>
      </c>
      <c r="Y754" t="s" s="0">
        <v>81</v>
      </c>
      <c r="Z754" t="s" s="0">
        <v>90</v>
      </c>
      <c r="AA754" t="s" s="0">
        <v>91</v>
      </c>
      <c r="AB754" t="s" s="0">
        <v>81</v>
      </c>
      <c r="AC754" t="s" s="0">
        <v>81</v>
      </c>
      <c r="AD754" t="s" s="0">
        <v>81</v>
      </c>
      <c r="AE754" t="s" s="0">
        <v>81</v>
      </c>
      <c r="AF754" t="s" s="0">
        <v>81</v>
      </c>
      <c r="AG754" t="s" s="0">
        <v>16513</v>
      </c>
      <c r="AH754" t="s" s="0">
        <v>16514</v>
      </c>
      <c r="AI754" t="s" s="0">
        <v>16515</v>
      </c>
      <c r="AJ754" t="s" s="0">
        <v>81</v>
      </c>
      <c r="AK754" t="s" s="0">
        <v>81</v>
      </c>
      <c r="AL754" t="s" s="0">
        <v>5451</v>
      </c>
      <c r="AM754" t="s" s="0">
        <v>77</v>
      </c>
      <c r="AN754" t="s" s="0">
        <v>77</v>
      </c>
      <c r="AO754" t="s" s="0">
        <v>77</v>
      </c>
      <c r="AP754" t="s" s="0">
        <v>77</v>
      </c>
      <c r="AQ754" t="s" s="0">
        <v>284</v>
      </c>
      <c r="AR754" t="s" s="0">
        <v>285</v>
      </c>
      <c r="AS754" t="s" s="0">
        <v>286</v>
      </c>
      <c r="AT754" t="s" s="0">
        <v>81</v>
      </c>
      <c r="AU754" t="s" s="0">
        <v>5837</v>
      </c>
      <c r="AV754" t="s" s="0">
        <v>81</v>
      </c>
      <c r="AW754" t="s" s="0">
        <v>5838</v>
      </c>
      <c r="AX754" t="s" s="0">
        <v>5839</v>
      </c>
      <c r="AY754" t="s" s="0">
        <v>9915</v>
      </c>
      <c r="AZ754" t="s" s="0">
        <v>103</v>
      </c>
      <c r="BA754" t="s" s="0">
        <v>134</v>
      </c>
      <c r="BB754" t="s" s="0">
        <v>316</v>
      </c>
      <c r="BC754" t="s" s="0">
        <v>81</v>
      </c>
      <c r="BD754" t="s" s="0">
        <v>81</v>
      </c>
      <c r="BE754" t="s" s="0">
        <v>81</v>
      </c>
      <c r="BF754" t="s" s="0">
        <v>81</v>
      </c>
      <c r="BG754" t="s" s="0">
        <v>81</v>
      </c>
      <c r="BH754" t="s" s="0">
        <v>81</v>
      </c>
      <c r="BI754" t="s" s="0">
        <v>5802</v>
      </c>
      <c r="BJ754" t="s" s="0">
        <v>16516</v>
      </c>
      <c r="BK754" t="s" s="1498">
        <f>HYPERLINK("http://dx.doi.org/10.3390/jimaging12060236","http://dx.doi.org/10.3390/jimaging12060236")</f>
        <v>16517</v>
      </c>
      <c r="BL754" t="s" s="0">
        <v>81</v>
      </c>
      <c r="BM754" t="s" s="0">
        <v>675</v>
      </c>
      <c r="BN754" t="s" s="0">
        <v>542</v>
      </c>
      <c r="BO754" t="s" s="0">
        <v>5844</v>
      </c>
      <c r="BP754" t="s" s="0">
        <v>5844</v>
      </c>
      <c r="BQ754" t="s" s="0">
        <v>16518</v>
      </c>
      <c r="BR754" t="s" s="0">
        <v>16519</v>
      </c>
      <c r="BS754" t="s" s="0">
        <v>16520</v>
      </c>
      <c r="BT754" t="s" s="1499">
        <f>HYPERLINK("https://www.webofscience.com/wos/woscc/full-record/WOS:001802581200001","View Record in Web of Science")</f>
        <v>114</v>
      </c>
      <c r="BU754" t="s" s="0">
        <v>301</v>
      </c>
      <c r="BV754" t="s" s="0">
        <v>81</v>
      </c>
      <c r="BW754" t="s" s="0">
        <v>81</v>
      </c>
      <c r="BX754" t="s" s="0">
        <v>116</v>
      </c>
    </row>
    <row r="755">
      <c r="A755" t="s" s="0">
        <v>77</v>
      </c>
      <c r="B755" t="s" s="0">
        <v>77</v>
      </c>
      <c r="C755" t="s" s="0">
        <v>77</v>
      </c>
      <c r="D755" t="s" s="0">
        <v>77</v>
      </c>
      <c r="E755" t="s" s="0">
        <v>16521</v>
      </c>
      <c r="F755" t="s" s="0">
        <v>16522</v>
      </c>
      <c r="G755" t="s" s="0">
        <v>16523</v>
      </c>
      <c r="H755" t="s" s="0">
        <v>81</v>
      </c>
      <c r="I755" t="s" s="0">
        <v>82</v>
      </c>
      <c r="J755" t="s" s="0">
        <v>16524</v>
      </c>
      <c r="K755" t="s" s="0">
        <v>16525</v>
      </c>
      <c r="L755" t="s" s="0">
        <v>81</v>
      </c>
      <c r="M755" t="s" s="0">
        <v>81</v>
      </c>
      <c r="N755" t="s" s="0">
        <v>81</v>
      </c>
      <c r="O755" t="s" s="0">
        <v>16526</v>
      </c>
      <c r="P755" t="s" s="0">
        <v>16527</v>
      </c>
      <c r="Q755" t="s" s="0">
        <v>87</v>
      </c>
      <c r="R755" t="s" s="0">
        <v>81</v>
      </c>
      <c r="S755" t="s" s="0">
        <v>81</v>
      </c>
      <c r="T755" t="s" s="0">
        <v>81</v>
      </c>
      <c r="U755" t="s" s="0">
        <v>81</v>
      </c>
      <c r="V755" t="s" s="0">
        <v>16528</v>
      </c>
      <c r="W755" t="s" s="0">
        <v>4446</v>
      </c>
      <c r="X755" t="s" s="0">
        <v>81</v>
      </c>
      <c r="Y755" t="s" s="0">
        <v>81</v>
      </c>
      <c r="Z755" t="s" s="0">
        <v>90</v>
      </c>
      <c r="AA755" t="s" s="0">
        <v>91</v>
      </c>
      <c r="AB755" t="s" s="0">
        <v>81</v>
      </c>
      <c r="AC755" t="s" s="0">
        <v>81</v>
      </c>
      <c r="AD755" t="s" s="0">
        <v>81</v>
      </c>
      <c r="AE755" t="s" s="0">
        <v>81</v>
      </c>
      <c r="AF755" t="s" s="0">
        <v>81</v>
      </c>
      <c r="AG755" t="s" s="0">
        <v>16529</v>
      </c>
      <c r="AH755" t="s" s="0">
        <v>16530</v>
      </c>
      <c r="AI755" t="s" s="0">
        <v>16531</v>
      </c>
      <c r="AJ755" t="s" s="0">
        <v>16532</v>
      </c>
      <c r="AK755" t="s" s="0">
        <v>81</v>
      </c>
      <c r="AL755" t="s" s="0">
        <v>1837</v>
      </c>
      <c r="AM755" t="s" s="0">
        <v>486</v>
      </c>
      <c r="AN755" t="s" s="0">
        <v>486</v>
      </c>
      <c r="AO755" t="s" s="0">
        <v>156</v>
      </c>
      <c r="AP755" t="s" s="0">
        <v>261</v>
      </c>
      <c r="AQ755" t="s" s="0">
        <v>284</v>
      </c>
      <c r="AR755" t="s" s="0">
        <v>285</v>
      </c>
      <c r="AS755" t="s" s="0">
        <v>286</v>
      </c>
      <c r="AT755" t="s" s="0">
        <v>81</v>
      </c>
      <c r="AU755" t="s" s="0">
        <v>4451</v>
      </c>
      <c r="AV755" t="s" s="0">
        <v>81</v>
      </c>
      <c r="AW755" t="s" s="0">
        <v>4452</v>
      </c>
      <c r="AX755" t="s" s="0">
        <v>4453</v>
      </c>
      <c r="AY755" t="s" s="0">
        <v>3339</v>
      </c>
      <c r="AZ755" t="s" s="0">
        <v>290</v>
      </c>
      <c r="BA755" t="s" s="0">
        <v>104</v>
      </c>
      <c r="BB755" t="s" s="0">
        <v>261</v>
      </c>
      <c r="BC755" t="s" s="0">
        <v>81</v>
      </c>
      <c r="BD755" t="s" s="0">
        <v>81</v>
      </c>
      <c r="BE755" t="s" s="0">
        <v>81</v>
      </c>
      <c r="BF755" t="s" s="0">
        <v>81</v>
      </c>
      <c r="BG755" t="s" s="0">
        <v>81</v>
      </c>
      <c r="BH755" t="s" s="0">
        <v>81</v>
      </c>
      <c r="BI755" t="s" s="0">
        <v>16533</v>
      </c>
      <c r="BJ755" t="s" s="0">
        <v>16534</v>
      </c>
      <c r="BK755" t="s" s="1500">
        <f>HYPERLINK("http://dx.doi.org/10.3390/jcm14093111","http://dx.doi.org/10.3390/jcm14093111")</f>
        <v>16535</v>
      </c>
      <c r="BL755" t="s" s="0">
        <v>81</v>
      </c>
      <c r="BM755" t="s" s="0">
        <v>81</v>
      </c>
      <c r="BN755" t="s" s="0">
        <v>367</v>
      </c>
      <c r="BO755" t="s" s="0">
        <v>296</v>
      </c>
      <c r="BP755" t="s" s="0">
        <v>297</v>
      </c>
      <c r="BQ755" t="s" s="0">
        <v>16536</v>
      </c>
      <c r="BR755" t="s" s="0">
        <v>16537</v>
      </c>
      <c r="BS755" t="s" s="0">
        <v>16538</v>
      </c>
      <c r="BT755" t="s" s="1501">
        <f>HYPERLINK("https://www.webofscience.com/wos/woscc/full-record/WOS:001487010500001","View Record in Web of Science")</f>
        <v>114</v>
      </c>
      <c r="BU755" t="s" s="0">
        <v>650</v>
      </c>
      <c r="BV755" t="s" s="0">
        <v>81</v>
      </c>
      <c r="BW755" t="s" s="0">
        <v>81</v>
      </c>
      <c r="BX755" t="s" s="0">
        <v>116</v>
      </c>
    </row>
    <row r="756">
      <c r="A756" t="s" s="0">
        <v>77</v>
      </c>
      <c r="B756" t="s" s="0">
        <v>77</v>
      </c>
      <c r="C756" t="s" s="0">
        <v>77</v>
      </c>
      <c r="D756" t="s" s="0">
        <v>77</v>
      </c>
      <c r="E756" t="s" s="0">
        <v>16539</v>
      </c>
      <c r="F756" t="s" s="0">
        <v>16540</v>
      </c>
      <c r="G756" t="s" s="0">
        <v>16541</v>
      </c>
      <c r="H756" t="s" s="0">
        <v>81</v>
      </c>
      <c r="I756" t="s" s="0">
        <v>82</v>
      </c>
      <c r="J756" t="s" s="0">
        <v>16542</v>
      </c>
      <c r="K756" t="s" s="0">
        <v>16543</v>
      </c>
      <c r="L756" t="s" s="0">
        <v>16544</v>
      </c>
      <c r="M756" t="s" s="0">
        <v>16545</v>
      </c>
      <c r="N756" t="s" s="0">
        <v>16546</v>
      </c>
      <c r="O756" t="s" s="0">
        <v>16547</v>
      </c>
      <c r="P756" t="s" s="0">
        <v>16548</v>
      </c>
      <c r="Q756" t="s" s="0">
        <v>87</v>
      </c>
      <c r="R756" t="s" s="0">
        <v>81</v>
      </c>
      <c r="S756" t="s" s="0">
        <v>81</v>
      </c>
      <c r="T756" t="s" s="0">
        <v>81</v>
      </c>
      <c r="U756" t="s" s="0">
        <v>81</v>
      </c>
      <c r="V756" t="s" s="0">
        <v>16549</v>
      </c>
      <c r="W756" t="s" s="0">
        <v>1855</v>
      </c>
      <c r="X756" t="s" s="0">
        <v>81</v>
      </c>
      <c r="Y756" t="s" s="0">
        <v>81</v>
      </c>
      <c r="Z756" t="s" s="0">
        <v>90</v>
      </c>
      <c r="AA756" t="s" s="0">
        <v>91</v>
      </c>
      <c r="AB756" t="s" s="0">
        <v>81</v>
      </c>
      <c r="AC756" t="s" s="0">
        <v>81</v>
      </c>
      <c r="AD756" t="s" s="0">
        <v>81</v>
      </c>
      <c r="AE756" t="s" s="0">
        <v>81</v>
      </c>
      <c r="AF756" t="s" s="0">
        <v>81</v>
      </c>
      <c r="AG756" t="s" s="0">
        <v>16550</v>
      </c>
      <c r="AH756" t="s" s="0">
        <v>81</v>
      </c>
      <c r="AI756" t="s" s="0">
        <v>81</v>
      </c>
      <c r="AJ756" t="s" s="0">
        <v>81</v>
      </c>
      <c r="AK756" t="s" s="0">
        <v>81</v>
      </c>
      <c r="AL756" t="s" s="0">
        <v>1883</v>
      </c>
      <c r="AM756" t="s" s="0">
        <v>77</v>
      </c>
      <c r="AN756" t="s" s="0">
        <v>77</v>
      </c>
      <c r="AO756" t="s" s="0">
        <v>156</v>
      </c>
      <c r="AP756" t="s" s="0">
        <v>156</v>
      </c>
      <c r="AQ756" t="s" s="0">
        <v>136</v>
      </c>
      <c r="AR756" t="s" s="0">
        <v>137</v>
      </c>
      <c r="AS756" t="s" s="0">
        <v>138</v>
      </c>
      <c r="AT756" t="s" s="0">
        <v>1860</v>
      </c>
      <c r="AU756" t="s" s="0">
        <v>1861</v>
      </c>
      <c r="AV756" t="s" s="0">
        <v>81</v>
      </c>
      <c r="AW756" t="s" s="0">
        <v>1862</v>
      </c>
      <c r="AX756" t="s" s="0">
        <v>1863</v>
      </c>
      <c r="AY756" t="s" s="0">
        <v>16551</v>
      </c>
      <c r="AZ756" t="s" s="0">
        <v>103</v>
      </c>
      <c r="BA756" t="s" s="0">
        <v>16552</v>
      </c>
      <c r="BB756" t="s" s="0">
        <v>81</v>
      </c>
      <c r="BC756" t="s" s="0">
        <v>81</v>
      </c>
      <c r="BD756" t="s" s="0">
        <v>2974</v>
      </c>
      <c r="BE756" t="s" s="0">
        <v>81</v>
      </c>
      <c r="BF756" t="s" s="0">
        <v>81</v>
      </c>
      <c r="BG756" t="s" s="0">
        <v>81</v>
      </c>
      <c r="BH756" t="s" s="0">
        <v>81</v>
      </c>
      <c r="BI756" t="s" s="0">
        <v>16553</v>
      </c>
      <c r="BJ756" t="s" s="0">
        <v>16554</v>
      </c>
      <c r="BK756" t="s" s="1502">
        <f>HYPERLINK("http://dx.doi.org/10.1016/j.knosys.2026.116607","http://dx.doi.org/10.1016/j.knosys.2026.116607")</f>
        <v>16555</v>
      </c>
      <c r="BL756" t="s" s="0">
        <v>81</v>
      </c>
      <c r="BM756" t="s" s="0">
        <v>3366</v>
      </c>
      <c r="BN756" t="s" s="0">
        <v>291</v>
      </c>
      <c r="BO756" t="s" s="0">
        <v>409</v>
      </c>
      <c r="BP756" t="s" s="0">
        <v>152</v>
      </c>
      <c r="BQ756" t="s" s="0">
        <v>16556</v>
      </c>
      <c r="BR756" t="s" s="0">
        <v>81</v>
      </c>
      <c r="BS756" t="s" s="0">
        <v>16557</v>
      </c>
      <c r="BT756" t="s" s="1503">
        <f>HYPERLINK("https://www.webofscience.com/wos/woscc/full-record/WOS:001823185700001","View Record in Web of Science")</f>
        <v>114</v>
      </c>
      <c r="BU756" t="s" s="0">
        <v>81</v>
      </c>
      <c r="BV756" t="s" s="0">
        <v>81</v>
      </c>
      <c r="BW756" t="s" s="0">
        <v>81</v>
      </c>
      <c r="BX756" t="s" s="0">
        <v>116</v>
      </c>
    </row>
    <row r="757">
      <c r="A757" t="s" s="0">
        <v>77</v>
      </c>
      <c r="B757" t="s" s="0">
        <v>77</v>
      </c>
      <c r="C757" t="s" s="0">
        <v>77</v>
      </c>
      <c r="D757" t="s" s="0">
        <v>77</v>
      </c>
      <c r="E757" t="s" s="0">
        <v>16558</v>
      </c>
      <c r="F757" t="s" s="0">
        <v>16559</v>
      </c>
      <c r="G757" t="s" s="0">
        <v>16560</v>
      </c>
      <c r="H757" t="s" s="0">
        <v>81</v>
      </c>
      <c r="I757" t="s" s="0">
        <v>82</v>
      </c>
      <c r="J757" t="s" s="0">
        <v>16561</v>
      </c>
      <c r="K757" t="s" s="0">
        <v>16562</v>
      </c>
      <c r="L757" t="s" s="0">
        <v>16563</v>
      </c>
      <c r="M757" t="s" s="0">
        <v>1221</v>
      </c>
      <c r="N757" t="s" s="0">
        <v>16564</v>
      </c>
      <c r="O757" t="s" s="0">
        <v>16565</v>
      </c>
      <c r="P757" t="s" s="0">
        <v>16566</v>
      </c>
      <c r="Q757" t="s" s="0">
        <v>87</v>
      </c>
      <c r="R757" t="s" s="0">
        <v>81</v>
      </c>
      <c r="S757" t="s" s="0">
        <v>81</v>
      </c>
      <c r="T757" t="s" s="0">
        <v>81</v>
      </c>
      <c r="U757" t="s" s="0">
        <v>81</v>
      </c>
      <c r="V757" t="s" s="0">
        <v>16567</v>
      </c>
      <c r="W757" t="s" s="0">
        <v>16568</v>
      </c>
      <c r="X757" t="s" s="0">
        <v>81</v>
      </c>
      <c r="Y757" t="s" s="0">
        <v>81</v>
      </c>
      <c r="Z757" t="s" s="0">
        <v>90</v>
      </c>
      <c r="AA757" t="s" s="0">
        <v>91</v>
      </c>
      <c r="AB757" t="s" s="0">
        <v>81</v>
      </c>
      <c r="AC757" t="s" s="0">
        <v>81</v>
      </c>
      <c r="AD757" t="s" s="0">
        <v>81</v>
      </c>
      <c r="AE757" t="s" s="0">
        <v>81</v>
      </c>
      <c r="AF757" t="s" s="0">
        <v>81</v>
      </c>
      <c r="AG757" t="s" s="0">
        <v>16569</v>
      </c>
      <c r="AH757" t="s" s="0">
        <v>81</v>
      </c>
      <c r="AI757" t="s" s="0">
        <v>81</v>
      </c>
      <c r="AJ757" t="s" s="0">
        <v>16570</v>
      </c>
      <c r="AK757" t="s" s="0">
        <v>81</v>
      </c>
      <c r="AL757" t="s" s="0">
        <v>210</v>
      </c>
      <c r="AM757" t="s" s="0">
        <v>175</v>
      </c>
      <c r="AN757" t="s" s="0">
        <v>175</v>
      </c>
      <c r="AO757" t="s" s="0">
        <v>156</v>
      </c>
      <c r="AP757" t="s" s="0">
        <v>261</v>
      </c>
      <c r="AQ757" t="s" s="0">
        <v>98</v>
      </c>
      <c r="AR757" t="s" s="0">
        <v>99</v>
      </c>
      <c r="AS757" t="s" s="0">
        <v>100</v>
      </c>
      <c r="AT757" t="s" s="0">
        <v>16571</v>
      </c>
      <c r="AU757" t="s" s="0">
        <v>16572</v>
      </c>
      <c r="AV757" t="s" s="0">
        <v>81</v>
      </c>
      <c r="AW757" t="s" s="0">
        <v>16573</v>
      </c>
      <c r="AX757" t="s" s="0">
        <v>16574</v>
      </c>
      <c r="AY757" t="s" s="0">
        <v>185</v>
      </c>
      <c r="AZ757" t="s" s="0">
        <v>185</v>
      </c>
      <c r="BA757" t="s" s="0">
        <v>253</v>
      </c>
      <c r="BB757" t="s" s="0">
        <v>81</v>
      </c>
      <c r="BC757" t="s" s="0">
        <v>81</v>
      </c>
      <c r="BD757" t="s" s="0">
        <v>81</v>
      </c>
      <c r="BE757" t="s" s="0">
        <v>81</v>
      </c>
      <c r="BF757" t="s" s="0">
        <v>81</v>
      </c>
      <c r="BG757" t="s" s="0">
        <v>16575</v>
      </c>
      <c r="BH757" t="s" s="0">
        <v>16576</v>
      </c>
      <c r="BI757" t="s" s="0">
        <v>81</v>
      </c>
      <c r="BJ757" t="s" s="0">
        <v>16577</v>
      </c>
      <c r="BK757" t="s" s="1504">
        <f>HYPERLINK("http://dx.doi.org/10.1109/TIP.2024.3442614","http://dx.doi.org/10.1109/TIP.2024.3442614")</f>
        <v>16578</v>
      </c>
      <c r="BL757" t="s" s="0">
        <v>81</v>
      </c>
      <c r="BM757" t="s" s="0">
        <v>81</v>
      </c>
      <c r="BN757" t="s" s="0">
        <v>925</v>
      </c>
      <c r="BO757" t="s" s="0">
        <v>192</v>
      </c>
      <c r="BP757" t="s" s="0">
        <v>193</v>
      </c>
      <c r="BQ757" t="s" s="0">
        <v>16579</v>
      </c>
      <c r="BR757" t="s" s="0">
        <v>16580</v>
      </c>
      <c r="BS757" t="s" s="0">
        <v>16581</v>
      </c>
      <c r="BT757" t="s" s="1505">
        <f>HYPERLINK("https://www.webofscience.com/wos/woscc/full-record/WOS:001297463800001","View Record in Web of Science")</f>
        <v>114</v>
      </c>
      <c r="BU757" t="s" s="0">
        <v>81</v>
      </c>
      <c r="BV757" t="s" s="0">
        <v>81</v>
      </c>
      <c r="BW757" t="s" s="0">
        <v>81</v>
      </c>
      <c r="BX757" t="s" s="0">
        <v>116</v>
      </c>
    </row>
    <row r="758">
      <c r="A758" t="s" s="0">
        <v>77</v>
      </c>
      <c r="B758" t="s" s="0">
        <v>77</v>
      </c>
      <c r="C758" t="s" s="0">
        <v>77</v>
      </c>
      <c r="D758" t="s" s="0">
        <v>77</v>
      </c>
      <c r="E758" t="s" s="0">
        <v>16582</v>
      </c>
      <c r="F758" t="s" s="0">
        <v>16583</v>
      </c>
      <c r="G758" t="s" s="0">
        <v>16584</v>
      </c>
      <c r="H758" t="s" s="0">
        <v>81</v>
      </c>
      <c r="I758" t="s" s="0">
        <v>589</v>
      </c>
      <c r="J758" t="s" s="0">
        <v>16585</v>
      </c>
      <c r="K758" t="s" s="0">
        <v>16586</v>
      </c>
      <c r="L758" t="s" s="0">
        <v>81</v>
      </c>
      <c r="M758" t="s" s="0">
        <v>81</v>
      </c>
      <c r="N758" t="s" s="0">
        <v>81</v>
      </c>
      <c r="O758" t="s" s="0">
        <v>16587</v>
      </c>
      <c r="P758" t="s" s="0">
        <v>16588</v>
      </c>
      <c r="Q758" t="s" s="0">
        <v>87</v>
      </c>
      <c r="R758" t="s" s="0">
        <v>81</v>
      </c>
      <c r="S758" t="s" s="0">
        <v>81</v>
      </c>
      <c r="T758" t="s" s="0">
        <v>81</v>
      </c>
      <c r="U758" t="s" s="0">
        <v>81</v>
      </c>
      <c r="V758" t="s" s="0">
        <v>16589</v>
      </c>
      <c r="W758" t="s" s="0">
        <v>16590</v>
      </c>
      <c r="X758" t="s" s="0">
        <v>81</v>
      </c>
      <c r="Y758" t="s" s="0">
        <v>81</v>
      </c>
      <c r="Z758" t="s" s="0">
        <v>90</v>
      </c>
      <c r="AA758" t="s" s="0">
        <v>91</v>
      </c>
      <c r="AB758" t="s" s="0">
        <v>81</v>
      </c>
      <c r="AC758" t="s" s="0">
        <v>81</v>
      </c>
      <c r="AD758" t="s" s="0">
        <v>81</v>
      </c>
      <c r="AE758" t="s" s="0">
        <v>81</v>
      </c>
      <c r="AF758" t="s" s="0">
        <v>81</v>
      </c>
      <c r="AG758" t="s" s="0">
        <v>16591</v>
      </c>
      <c r="AH758" t="s" s="0">
        <v>16592</v>
      </c>
      <c r="AI758" t="s" s="0">
        <v>16593</v>
      </c>
      <c r="AJ758" t="s" s="0">
        <v>16594</v>
      </c>
      <c r="AK758" t="s" s="0">
        <v>81</v>
      </c>
      <c r="AL758" t="s" s="0">
        <v>3559</v>
      </c>
      <c r="AM758" t="s" s="0">
        <v>222</v>
      </c>
      <c r="AN758" t="s" s="0">
        <v>135</v>
      </c>
      <c r="AO758" t="s" s="0">
        <v>925</v>
      </c>
      <c r="AP758" t="s" s="0">
        <v>4375</v>
      </c>
      <c r="AQ758" t="s" s="0">
        <v>177</v>
      </c>
      <c r="AR758" t="s" s="0">
        <v>178</v>
      </c>
      <c r="AS758" t="s" s="0">
        <v>179</v>
      </c>
      <c r="AT758" t="s" s="0">
        <v>16595</v>
      </c>
      <c r="AU758" t="s" s="0">
        <v>16596</v>
      </c>
      <c r="AV758" t="s" s="0">
        <v>81</v>
      </c>
      <c r="AW758" t="s" s="0">
        <v>16597</v>
      </c>
      <c r="AX758" t="s" s="0">
        <v>16598</v>
      </c>
      <c r="AY758" t="s" s="0">
        <v>733</v>
      </c>
      <c r="AZ758" t="s" s="0">
        <v>290</v>
      </c>
      <c r="BA758" t="s" s="0">
        <v>135</v>
      </c>
      <c r="BB758" t="s" s="0">
        <v>156</v>
      </c>
      <c r="BC758" t="s" s="0">
        <v>81</v>
      </c>
      <c r="BD758" t="s" s="0">
        <v>81</v>
      </c>
      <c r="BE758" t="s" s="0">
        <v>81</v>
      </c>
      <c r="BF758" t="s" s="0">
        <v>81</v>
      </c>
      <c r="BG758" t="s" s="0">
        <v>81</v>
      </c>
      <c r="BH758" t="s" s="0">
        <v>81</v>
      </c>
      <c r="BI758" t="s" s="0">
        <v>16599</v>
      </c>
      <c r="BJ758" t="s" s="0">
        <v>16600</v>
      </c>
      <c r="BK758" t="s" s="1506">
        <f>HYPERLINK("http://dx.doi.org/10.1016/j.ijme.2024.101104","http://dx.doi.org/10.1016/j.ijme.2024.101104")</f>
        <v>16601</v>
      </c>
      <c r="BL758" t="s" s="0">
        <v>81</v>
      </c>
      <c r="BM758" t="s" s="0">
        <v>1183</v>
      </c>
      <c r="BN758" t="s" s="0">
        <v>367</v>
      </c>
      <c r="BO758" t="s" s="0">
        <v>16602</v>
      </c>
      <c r="BP758" t="s" s="0">
        <v>16603</v>
      </c>
      <c r="BQ758" t="s" s="0">
        <v>16604</v>
      </c>
      <c r="BR758" t="s" s="0">
        <v>81</v>
      </c>
      <c r="BS758" t="s" s="0">
        <v>16605</v>
      </c>
      <c r="BT758" t="s" s="1507">
        <f>HYPERLINK("https://www.webofscience.com/wos/woscc/full-record/WOS:001394349200001","View Record in Web of Science")</f>
        <v>114</v>
      </c>
      <c r="BU758" t="s" s="0">
        <v>81</v>
      </c>
      <c r="BV758" t="s" s="0">
        <v>81</v>
      </c>
      <c r="BW758" t="s" s="0">
        <v>81</v>
      </c>
      <c r="BX758" t="s" s="0">
        <v>116</v>
      </c>
    </row>
    <row r="759">
      <c r="A759" t="s" s="0">
        <v>97</v>
      </c>
      <c r="B759" t="s" s="0">
        <v>77</v>
      </c>
      <c r="C759" t="s" s="0">
        <v>97</v>
      </c>
      <c r="D759" t="s" s="0">
        <v>77</v>
      </c>
      <c r="E759" t="s" s="0">
        <v>16606</v>
      </c>
      <c r="F759" t="s" s="0">
        <v>16607</v>
      </c>
      <c r="G759" t="s" s="0">
        <v>16608</v>
      </c>
      <c r="H759" t="s" s="0">
        <v>81</v>
      </c>
      <c r="I759" t="s" s="0">
        <v>238</v>
      </c>
      <c r="J759" t="s" s="0">
        <v>16609</v>
      </c>
      <c r="K759" t="s" s="0">
        <v>16610</v>
      </c>
      <c r="L759" t="s" s="0">
        <v>81</v>
      </c>
      <c r="M759" t="s" s="0">
        <v>81</v>
      </c>
      <c r="N759" t="s" s="0">
        <v>81</v>
      </c>
      <c r="O759" t="s" s="0">
        <v>16611</v>
      </c>
      <c r="P759" t="s" s="0">
        <v>81</v>
      </c>
      <c r="Q759" t="s" s="0">
        <v>87</v>
      </c>
      <c r="R759" t="s" s="0">
        <v>81</v>
      </c>
      <c r="S759" t="s" s="0">
        <v>81</v>
      </c>
      <c r="T759" t="s" s="0">
        <v>81</v>
      </c>
      <c r="U759" t="s" s="0">
        <v>81</v>
      </c>
      <c r="V759" t="s" s="0">
        <v>16612</v>
      </c>
      <c r="W759" t="s" s="0">
        <v>13099</v>
      </c>
      <c r="X759" t="s" s="0">
        <v>81</v>
      </c>
      <c r="Y759" t="s" s="0">
        <v>81</v>
      </c>
      <c r="Z759" t="s" s="0">
        <v>90</v>
      </c>
      <c r="AA759" t="s" s="0">
        <v>91</v>
      </c>
      <c r="AB759" t="s" s="0">
        <v>81</v>
      </c>
      <c r="AC759" t="s" s="0">
        <v>81</v>
      </c>
      <c r="AD759" t="s" s="0">
        <v>81</v>
      </c>
      <c r="AE759" t="s" s="0">
        <v>81</v>
      </c>
      <c r="AF759" t="s" s="0">
        <v>81</v>
      </c>
      <c r="AG759" t="s" s="0">
        <v>16613</v>
      </c>
      <c r="AH759" t="s" s="0">
        <v>81</v>
      </c>
      <c r="AI759" t="s" s="0">
        <v>16614</v>
      </c>
      <c r="AJ759" t="s" s="0">
        <v>16615</v>
      </c>
      <c r="AK759" t="s" s="0">
        <v>81</v>
      </c>
      <c r="AL759" t="s" s="0">
        <v>1883</v>
      </c>
      <c r="AM759" t="s" s="0">
        <v>234</v>
      </c>
      <c r="AN759" t="s" s="0">
        <v>191</v>
      </c>
      <c r="AO759" t="s" s="0">
        <v>77</v>
      </c>
      <c r="AP759" t="s" s="0">
        <v>291</v>
      </c>
      <c r="AQ759" t="s" s="0">
        <v>1809</v>
      </c>
      <c r="AR759" t="s" s="0">
        <v>1810</v>
      </c>
      <c r="AS759" t="s" s="0">
        <v>1811</v>
      </c>
      <c r="AT759" t="s" s="0">
        <v>13102</v>
      </c>
      <c r="AU759" t="s" s="0">
        <v>81</v>
      </c>
      <c r="AV759" t="s" s="0">
        <v>81</v>
      </c>
      <c r="AW759" t="s" s="0">
        <v>13103</v>
      </c>
      <c r="AX759" t="s" s="0">
        <v>13104</v>
      </c>
      <c r="AY759" t="s" s="0">
        <v>615</v>
      </c>
      <c r="AZ759" t="s" s="0">
        <v>290</v>
      </c>
      <c r="BA759" t="s" s="0">
        <v>485</v>
      </c>
      <c r="BB759" t="s" s="0">
        <v>196</v>
      </c>
      <c r="BC759" t="s" s="0">
        <v>81</v>
      </c>
      <c r="BD759" t="s" s="0">
        <v>81</v>
      </c>
      <c r="BE759" t="s" s="0">
        <v>81</v>
      </c>
      <c r="BF759" t="s" s="0">
        <v>81</v>
      </c>
      <c r="BG759" t="s" s="0">
        <v>16616</v>
      </c>
      <c r="BH759" t="s" s="0">
        <v>16617</v>
      </c>
      <c r="BI759" t="s" s="0">
        <v>81</v>
      </c>
      <c r="BJ759" t="s" s="0">
        <v>16618</v>
      </c>
      <c r="BK759" t="s" s="1508">
        <f>HYPERLINK("http://dx.doi.org/10.1177/19322968241304434","http://dx.doi.org/10.1177/19322968241304434")</f>
        <v>16619</v>
      </c>
      <c r="BL759" t="s" s="0">
        <v>81</v>
      </c>
      <c r="BM759" t="s" s="0">
        <v>1183</v>
      </c>
      <c r="BN759" t="s" s="0">
        <v>381</v>
      </c>
      <c r="BO759" t="s" s="0">
        <v>6302</v>
      </c>
      <c r="BP759" t="s" s="0">
        <v>6302</v>
      </c>
      <c r="BQ759" t="s" s="0">
        <v>16620</v>
      </c>
      <c r="BR759" t="s" s="0">
        <v>16621</v>
      </c>
      <c r="BS759" t="s" s="0">
        <v>16622</v>
      </c>
      <c r="BT759" t="s" s="1509">
        <f>HYPERLINK("https://www.webofscience.com/wos/woscc/full-record/WOS:001385566400001","View Record in Web of Science")</f>
        <v>114</v>
      </c>
      <c r="BU759" t="s" s="0">
        <v>233</v>
      </c>
      <c r="BV759" t="s" s="0">
        <v>81</v>
      </c>
      <c r="BW759" t="s" s="0">
        <v>81</v>
      </c>
      <c r="BX759" t="s" s="0">
        <v>116</v>
      </c>
    </row>
    <row r="760">
      <c r="A760" t="s" s="0">
        <v>77</v>
      </c>
      <c r="B760" t="s" s="0">
        <v>77</v>
      </c>
      <c r="C760" t="s" s="0">
        <v>77</v>
      </c>
      <c r="D760" t="s" s="0">
        <v>77</v>
      </c>
      <c r="E760" t="s" s="0">
        <v>16623</v>
      </c>
      <c r="F760" t="s" s="0">
        <v>16624</v>
      </c>
      <c r="G760" t="s" s="0">
        <v>16625</v>
      </c>
      <c r="H760" t="s" s="0">
        <v>81</v>
      </c>
      <c r="I760" t="s" s="0">
        <v>82</v>
      </c>
      <c r="J760" t="s" s="0">
        <v>16626</v>
      </c>
      <c r="K760" t="s" s="0">
        <v>16627</v>
      </c>
      <c r="L760" t="s" s="0">
        <v>16628</v>
      </c>
      <c r="M760" t="s" s="0">
        <v>16629</v>
      </c>
      <c r="N760" t="s" s="0">
        <v>16630</v>
      </c>
      <c r="O760" t="s" s="0">
        <v>16631</v>
      </c>
      <c r="P760" t="s" s="0">
        <v>16632</v>
      </c>
      <c r="Q760" t="s" s="0">
        <v>87</v>
      </c>
      <c r="R760" t="s" s="0">
        <v>81</v>
      </c>
      <c r="S760" t="s" s="0">
        <v>81</v>
      </c>
      <c r="T760" t="s" s="0">
        <v>81</v>
      </c>
      <c r="U760" t="s" s="0">
        <v>81</v>
      </c>
      <c r="V760" t="s" s="0">
        <v>16633</v>
      </c>
      <c r="W760" t="s" s="0">
        <v>16634</v>
      </c>
      <c r="X760" t="s" s="0">
        <v>81</v>
      </c>
      <c r="Y760" t="s" s="0">
        <v>81</v>
      </c>
      <c r="Z760" t="s" s="0">
        <v>90</v>
      </c>
      <c r="AA760" t="s" s="0">
        <v>91</v>
      </c>
      <c r="AB760" t="s" s="0">
        <v>81</v>
      </c>
      <c r="AC760" t="s" s="0">
        <v>81</v>
      </c>
      <c r="AD760" t="s" s="0">
        <v>81</v>
      </c>
      <c r="AE760" t="s" s="0">
        <v>81</v>
      </c>
      <c r="AF760" t="s" s="0">
        <v>81</v>
      </c>
      <c r="AG760" t="s" s="0">
        <v>16635</v>
      </c>
      <c r="AH760" t="s" s="0">
        <v>16636</v>
      </c>
      <c r="AI760" t="s" s="0">
        <v>81</v>
      </c>
      <c r="AJ760" t="s" s="0">
        <v>81</v>
      </c>
      <c r="AK760" t="s" s="0">
        <v>81</v>
      </c>
      <c r="AL760" t="s" s="0">
        <v>1374</v>
      </c>
      <c r="AM760" t="s" s="0">
        <v>77</v>
      </c>
      <c r="AN760" t="s" s="0">
        <v>77</v>
      </c>
      <c r="AO760" t="s" s="0">
        <v>77</v>
      </c>
      <c r="AP760" t="s" s="0">
        <v>77</v>
      </c>
      <c r="AQ760" t="s" s="0">
        <v>212</v>
      </c>
      <c r="AR760" t="s" s="0">
        <v>429</v>
      </c>
      <c r="AS760" t="s" s="0">
        <v>784</v>
      </c>
      <c r="AT760" t="s" s="0">
        <v>16637</v>
      </c>
      <c r="AU760" t="s" s="0">
        <v>16638</v>
      </c>
      <c r="AV760" t="s" s="0">
        <v>81</v>
      </c>
      <c r="AW760" t="s" s="0">
        <v>16639</v>
      </c>
      <c r="AX760" t="s" s="0">
        <v>16640</v>
      </c>
      <c r="AY760" t="s" s="0">
        <v>5140</v>
      </c>
      <c r="AZ760" t="s" s="0">
        <v>103</v>
      </c>
      <c r="BA760" t="s" s="0">
        <v>1047</v>
      </c>
      <c r="BB760" t="s" s="0">
        <v>261</v>
      </c>
      <c r="BC760" t="s" s="0">
        <v>81</v>
      </c>
      <c r="BD760" t="s" s="0">
        <v>81</v>
      </c>
      <c r="BE760" t="s" s="0">
        <v>81</v>
      </c>
      <c r="BF760" t="s" s="0">
        <v>81</v>
      </c>
      <c r="BG760" t="s" s="0">
        <v>81</v>
      </c>
      <c r="BH760" t="s" s="0">
        <v>81</v>
      </c>
      <c r="BI760" t="s" s="0">
        <v>12652</v>
      </c>
      <c r="BJ760" t="s" s="0">
        <v>16641</v>
      </c>
      <c r="BK760" t="s" s="1510">
        <f>HYPERLINK("http://dx.doi.org/10.1007/s00262-026-04450-8","http://dx.doi.org/10.1007/s00262-026-04450-8")</f>
        <v>16642</v>
      </c>
      <c r="BL760" t="s" s="0">
        <v>81</v>
      </c>
      <c r="BM760" t="s" s="0">
        <v>81</v>
      </c>
      <c r="BN760" t="s" s="0">
        <v>486</v>
      </c>
      <c r="BO760" t="s" s="0">
        <v>16643</v>
      </c>
      <c r="BP760" t="s" s="0">
        <v>16643</v>
      </c>
      <c r="BQ760" t="s" s="0">
        <v>16644</v>
      </c>
      <c r="BR760" t="s" s="0">
        <v>16645</v>
      </c>
      <c r="BS760" t="s" s="0">
        <v>16646</v>
      </c>
      <c r="BT760" t="s" s="1511">
        <f>HYPERLINK("https://www.webofscience.com/wos/woscc/full-record/WOS:001847669600001","View Record in Web of Science")</f>
        <v>114</v>
      </c>
      <c r="BU760" t="s" s="0">
        <v>115</v>
      </c>
      <c r="BV760" t="s" s="0">
        <v>81</v>
      </c>
      <c r="BW760" t="s" s="0">
        <v>81</v>
      </c>
      <c r="BX760" t="s" s="0">
        <v>116</v>
      </c>
    </row>
    <row r="761">
      <c r="A761" t="s" s="0">
        <v>97</v>
      </c>
      <c r="B761" t="s" s="0">
        <v>77</v>
      </c>
      <c r="C761" t="s" s="0">
        <v>196</v>
      </c>
      <c r="D761" t="s" s="0">
        <v>77</v>
      </c>
      <c r="E761" t="s" s="0">
        <v>16647</v>
      </c>
      <c r="F761" t="s" s="0">
        <v>16648</v>
      </c>
      <c r="G761" t="s" s="0">
        <v>16649</v>
      </c>
      <c r="H761" t="s" s="0">
        <v>81</v>
      </c>
      <c r="I761" t="s" s="0">
        <v>82</v>
      </c>
      <c r="J761" t="s" s="0">
        <v>16650</v>
      </c>
      <c r="K761" t="s" s="0">
        <v>16651</v>
      </c>
      <c r="L761" t="s" s="0">
        <v>16652</v>
      </c>
      <c r="M761" t="s" s="0">
        <v>16653</v>
      </c>
      <c r="N761" t="s" s="0">
        <v>16654</v>
      </c>
      <c r="O761" t="s" s="0">
        <v>16655</v>
      </c>
      <c r="P761" t="s" s="0">
        <v>16656</v>
      </c>
      <c r="Q761" t="s" s="0">
        <v>87</v>
      </c>
      <c r="R761" t="s" s="0">
        <v>81</v>
      </c>
      <c r="S761" t="s" s="0">
        <v>16657</v>
      </c>
      <c r="T761" t="s" s="0">
        <v>81</v>
      </c>
      <c r="U761" t="s" s="0">
        <v>81</v>
      </c>
      <c r="V761" t="s" s="0">
        <v>16658</v>
      </c>
      <c r="W761" t="s" s="0">
        <v>16659</v>
      </c>
      <c r="X761" t="s" s="0">
        <v>81</v>
      </c>
      <c r="Y761" t="s" s="0">
        <v>81</v>
      </c>
      <c r="Z761" t="s" s="0">
        <v>90</v>
      </c>
      <c r="AA761" t="s" s="0">
        <v>91</v>
      </c>
      <c r="AB761" t="s" s="0">
        <v>81</v>
      </c>
      <c r="AC761" t="s" s="0">
        <v>81</v>
      </c>
      <c r="AD761" t="s" s="0">
        <v>81</v>
      </c>
      <c r="AE761" t="s" s="0">
        <v>81</v>
      </c>
      <c r="AF761" t="s" s="0">
        <v>81</v>
      </c>
      <c r="AG761" t="s" s="0">
        <v>16660</v>
      </c>
      <c r="AH761" t="s" s="0">
        <v>16661</v>
      </c>
      <c r="AI761" t="s" s="0">
        <v>16662</v>
      </c>
      <c r="AJ761" t="s" s="0">
        <v>16663</v>
      </c>
      <c r="AK761" t="s" s="0">
        <v>81</v>
      </c>
      <c r="AL761" t="s" s="0">
        <v>1837</v>
      </c>
      <c r="AM761" t="s" s="0">
        <v>191</v>
      </c>
      <c r="AN761" t="s" s="0">
        <v>104</v>
      </c>
      <c r="AO761" t="s" s="0">
        <v>156</v>
      </c>
      <c r="AP761" t="s" s="0">
        <v>925</v>
      </c>
      <c r="AQ761" t="s" s="0">
        <v>698</v>
      </c>
      <c r="AR761" t="s" s="0">
        <v>699</v>
      </c>
      <c r="AS761" t="s" s="0">
        <v>700</v>
      </c>
      <c r="AT761" t="s" s="0">
        <v>16664</v>
      </c>
      <c r="AU761" t="s" s="0">
        <v>16665</v>
      </c>
      <c r="AV761" t="s" s="0">
        <v>81</v>
      </c>
      <c r="AW761" t="s" s="0">
        <v>16659</v>
      </c>
      <c r="AX761" t="s" s="0">
        <v>16666</v>
      </c>
      <c r="AY761" t="s" s="0">
        <v>16667</v>
      </c>
      <c r="AZ761" t="s" s="0">
        <v>185</v>
      </c>
      <c r="BA761" t="s" s="0">
        <v>16668</v>
      </c>
      <c r="BB761" t="s" s="0">
        <v>81</v>
      </c>
      <c r="BC761" t="s" s="0">
        <v>81</v>
      </c>
      <c r="BD761" t="s" s="0">
        <v>81</v>
      </c>
      <c r="BE761" t="s" s="0">
        <v>81</v>
      </c>
      <c r="BF761" t="s" s="0">
        <v>81</v>
      </c>
      <c r="BG761" t="s" s="0">
        <v>81</v>
      </c>
      <c r="BH761" t="s" s="0">
        <v>81</v>
      </c>
      <c r="BI761" t="s" s="0">
        <v>16669</v>
      </c>
      <c r="BJ761" t="s" s="0">
        <v>16670</v>
      </c>
      <c r="BK761" t="s" s="1512">
        <f>HYPERLINK("http://dx.doi.org/10.1016/j.neuroimage.2024.120695","http://dx.doi.org/10.1016/j.neuroimage.2024.120695")</f>
        <v>16671</v>
      </c>
      <c r="BL761" t="s" s="0">
        <v>81</v>
      </c>
      <c r="BM761" t="s" s="0">
        <v>6555</v>
      </c>
      <c r="BN761" t="s" s="0">
        <v>486</v>
      </c>
      <c r="BO761" t="s" s="0">
        <v>16672</v>
      </c>
      <c r="BP761" t="s" s="0">
        <v>16673</v>
      </c>
      <c r="BQ761" t="s" s="0">
        <v>16674</v>
      </c>
      <c r="BR761" t="s" s="0">
        <v>16675</v>
      </c>
      <c r="BS761" t="s" s="0">
        <v>16676</v>
      </c>
      <c r="BT761" t="s" s="1513">
        <f>HYPERLINK("https://www.webofscience.com/wos/woscc/full-record/WOS:001265276700001","View Record in Web of Science")</f>
        <v>114</v>
      </c>
      <c r="BU761" t="s" s="0">
        <v>115</v>
      </c>
      <c r="BV761" t="s" s="0">
        <v>81</v>
      </c>
      <c r="BW761" t="s" s="0">
        <v>81</v>
      </c>
      <c r="BX761" t="s" s="0">
        <v>116</v>
      </c>
    </row>
    <row r="762">
      <c r="A762" t="s" s="0">
        <v>77</v>
      </c>
      <c r="B762" t="s" s="0">
        <v>77</v>
      </c>
      <c r="C762" t="s" s="0">
        <v>77</v>
      </c>
      <c r="D762" t="s" s="0">
        <v>77</v>
      </c>
      <c r="E762" t="s" s="0">
        <v>16677</v>
      </c>
      <c r="F762" t="s" s="0">
        <v>16678</v>
      </c>
      <c r="G762" t="s" s="0">
        <v>16679</v>
      </c>
      <c r="H762" t="s" s="0">
        <v>81</v>
      </c>
      <c r="I762" t="s" s="0">
        <v>82</v>
      </c>
      <c r="J762" t="s" s="0">
        <v>16680</v>
      </c>
      <c r="K762" t="s" s="0">
        <v>16681</v>
      </c>
      <c r="L762" t="s" s="0">
        <v>16682</v>
      </c>
      <c r="M762" t="s" s="0">
        <v>16683</v>
      </c>
      <c r="N762" t="s" s="0">
        <v>16684</v>
      </c>
      <c r="O762" t="s" s="0">
        <v>16685</v>
      </c>
      <c r="P762" t="s" s="0">
        <v>16686</v>
      </c>
      <c r="Q762" t="s" s="0">
        <v>87</v>
      </c>
      <c r="R762" t="s" s="0">
        <v>81</v>
      </c>
      <c r="S762" t="s" s="0">
        <v>81</v>
      </c>
      <c r="T762" t="s" s="0">
        <v>81</v>
      </c>
      <c r="U762" t="s" s="0">
        <v>81</v>
      </c>
      <c r="V762" t="s" s="0">
        <v>16687</v>
      </c>
      <c r="W762" t="s" s="0">
        <v>89</v>
      </c>
      <c r="X762" t="s" s="0">
        <v>81</v>
      </c>
      <c r="Y762" t="s" s="0">
        <v>81</v>
      </c>
      <c r="Z762" t="s" s="0">
        <v>90</v>
      </c>
      <c r="AA762" t="s" s="0">
        <v>91</v>
      </c>
      <c r="AB762" t="s" s="0">
        <v>81</v>
      </c>
      <c r="AC762" t="s" s="0">
        <v>81</v>
      </c>
      <c r="AD762" t="s" s="0">
        <v>81</v>
      </c>
      <c r="AE762" t="s" s="0">
        <v>81</v>
      </c>
      <c r="AF762" t="s" s="0">
        <v>81</v>
      </c>
      <c r="AG762" t="s" s="0">
        <v>16688</v>
      </c>
      <c r="AH762" t="s" s="0">
        <v>16689</v>
      </c>
      <c r="AI762" t="s" s="0">
        <v>16690</v>
      </c>
      <c r="AJ762" t="s" s="0">
        <v>16691</v>
      </c>
      <c r="AK762" t="s" s="0">
        <v>81</v>
      </c>
      <c r="AL762" t="s" s="0">
        <v>602</v>
      </c>
      <c r="AM762" t="s" s="0">
        <v>77</v>
      </c>
      <c r="AN762" t="s" s="0">
        <v>77</v>
      </c>
      <c r="AO762" t="s" s="0">
        <v>77</v>
      </c>
      <c r="AP762" t="s" s="0">
        <v>175</v>
      </c>
      <c r="AQ762" t="s" s="0">
        <v>98</v>
      </c>
      <c r="AR762" t="s" s="0">
        <v>99</v>
      </c>
      <c r="AS762" t="s" s="0">
        <v>100</v>
      </c>
      <c r="AT762" t="s" s="0">
        <v>101</v>
      </c>
      <c r="AU762" t="s" s="0">
        <v>81</v>
      </c>
      <c r="AV762" t="s" s="0">
        <v>81</v>
      </c>
      <c r="AW762" t="s" s="0">
        <v>89</v>
      </c>
      <c r="AX762" t="s" s="0">
        <v>102</v>
      </c>
      <c r="AY762" t="s" s="0">
        <v>290</v>
      </c>
      <c r="AZ762" t="s" s="0">
        <v>290</v>
      </c>
      <c r="BA762" t="s" s="0">
        <v>486</v>
      </c>
      <c r="BB762" t="s" s="0">
        <v>81</v>
      </c>
      <c r="BC762" t="s" s="0">
        <v>81</v>
      </c>
      <c r="BD762" t="s" s="0">
        <v>81</v>
      </c>
      <c r="BE762" t="s" s="0">
        <v>81</v>
      </c>
      <c r="BF762" t="s" s="0">
        <v>81</v>
      </c>
      <c r="BG762" t="s" s="0">
        <v>16692</v>
      </c>
      <c r="BH762" t="s" s="0">
        <v>16693</v>
      </c>
      <c r="BI762" t="s" s="0">
        <v>81</v>
      </c>
      <c r="BJ762" t="s" s="0">
        <v>16694</v>
      </c>
      <c r="BK762" t="s" s="1514">
        <f>HYPERLINK("http://dx.doi.org/10.1109/ACCESS.2025.3609330","http://dx.doi.org/10.1109/ACCESS.2025.3609330")</f>
        <v>16695</v>
      </c>
      <c r="BL762" t="s" s="0">
        <v>81</v>
      </c>
      <c r="BM762" t="s" s="0">
        <v>81</v>
      </c>
      <c r="BN762" t="s" s="0">
        <v>176</v>
      </c>
      <c r="BO762" t="s" s="0">
        <v>110</v>
      </c>
      <c r="BP762" t="s" s="0">
        <v>111</v>
      </c>
      <c r="BQ762" t="s" s="0">
        <v>12069</v>
      </c>
      <c r="BR762" t="s" s="0">
        <v>81</v>
      </c>
      <c r="BS762" t="s" s="0">
        <v>16696</v>
      </c>
      <c r="BT762" t="s" s="1515">
        <f>HYPERLINK("https://www.webofscience.com/wos/woscc/full-record/WOS:001575778800007","View Record in Web of Science")</f>
        <v>114</v>
      </c>
      <c r="BU762" t="s" s="0">
        <v>301</v>
      </c>
      <c r="BV762" t="s" s="0">
        <v>81</v>
      </c>
      <c r="BW762" t="s" s="0">
        <v>81</v>
      </c>
      <c r="BX762" t="s" s="0">
        <v>116</v>
      </c>
    </row>
    <row r="763">
      <c r="A763" t="s" s="0">
        <v>77</v>
      </c>
      <c r="B763" t="s" s="0">
        <v>77</v>
      </c>
      <c r="C763" t="s" s="0">
        <v>77</v>
      </c>
      <c r="D763" t="s" s="0">
        <v>77</v>
      </c>
      <c r="E763" t="s" s="0">
        <v>16697</v>
      </c>
      <c r="F763" t="s" s="0">
        <v>16698</v>
      </c>
      <c r="G763" t="s" s="0">
        <v>16699</v>
      </c>
      <c r="H763" t="s" s="0">
        <v>81</v>
      </c>
      <c r="I763" t="s" s="0">
        <v>82</v>
      </c>
      <c r="J763" t="s" s="0">
        <v>16700</v>
      </c>
      <c r="K763" t="s" s="0">
        <v>16701</v>
      </c>
      <c r="L763" t="s" s="0">
        <v>16702</v>
      </c>
      <c r="M763" t="s" s="0">
        <v>16703</v>
      </c>
      <c r="N763" t="s" s="0">
        <v>16704</v>
      </c>
      <c r="O763" t="s" s="0">
        <v>16705</v>
      </c>
      <c r="P763" t="s" s="0">
        <v>16706</v>
      </c>
      <c r="Q763" t="s" s="0">
        <v>87</v>
      </c>
      <c r="R763" t="s" s="0">
        <v>81</v>
      </c>
      <c r="S763" t="s" s="0">
        <v>81</v>
      </c>
      <c r="T763" t="s" s="0">
        <v>81</v>
      </c>
      <c r="U763" t="s" s="0">
        <v>81</v>
      </c>
      <c r="V763" t="s" s="0">
        <v>16707</v>
      </c>
      <c r="W763" t="s" s="0">
        <v>14440</v>
      </c>
      <c r="X763" t="s" s="0">
        <v>81</v>
      </c>
      <c r="Y763" t="s" s="0">
        <v>81</v>
      </c>
      <c r="Z763" t="s" s="0">
        <v>90</v>
      </c>
      <c r="AA763" t="s" s="0">
        <v>91</v>
      </c>
      <c r="AB763" t="s" s="0">
        <v>81</v>
      </c>
      <c r="AC763" t="s" s="0">
        <v>81</v>
      </c>
      <c r="AD763" t="s" s="0">
        <v>81</v>
      </c>
      <c r="AE763" t="s" s="0">
        <v>81</v>
      </c>
      <c r="AF763" t="s" s="0">
        <v>81</v>
      </c>
      <c r="AG763" t="s" s="0">
        <v>16708</v>
      </c>
      <c r="AH763" t="s" s="0">
        <v>81</v>
      </c>
      <c r="AI763" t="s" s="0">
        <v>16709</v>
      </c>
      <c r="AJ763" t="s" s="0">
        <v>16710</v>
      </c>
      <c r="AK763" t="s" s="0">
        <v>81</v>
      </c>
      <c r="AL763" t="s" s="0">
        <v>1374</v>
      </c>
      <c r="AM763" t="s" s="0">
        <v>77</v>
      </c>
      <c r="AN763" t="s" s="0">
        <v>77</v>
      </c>
      <c r="AO763" t="s" s="0">
        <v>316</v>
      </c>
      <c r="AP763" t="s" s="0">
        <v>316</v>
      </c>
      <c r="AQ763" t="s" s="0">
        <v>2208</v>
      </c>
      <c r="AR763" t="s" s="0">
        <v>2209</v>
      </c>
      <c r="AS763" t="s" s="0">
        <v>2210</v>
      </c>
      <c r="AT763" t="s" s="0">
        <v>14444</v>
      </c>
      <c r="AU763" t="s" s="0">
        <v>14445</v>
      </c>
      <c r="AV763" t="s" s="0">
        <v>81</v>
      </c>
      <c r="AW763" t="s" s="0">
        <v>14446</v>
      </c>
      <c r="AX763" t="s" s="0">
        <v>14447</v>
      </c>
      <c r="AY763" t="s" s="0">
        <v>675</v>
      </c>
      <c r="AZ763" t="s" s="0">
        <v>103</v>
      </c>
      <c r="BA763" t="s" s="0">
        <v>251</v>
      </c>
      <c r="BB763" t="s" s="0">
        <v>133</v>
      </c>
      <c r="BC763" t="s" s="0">
        <v>81</v>
      </c>
      <c r="BD763" t="s" s="0">
        <v>81</v>
      </c>
      <c r="BE763" t="s" s="0">
        <v>81</v>
      </c>
      <c r="BF763" t="s" s="0">
        <v>81</v>
      </c>
      <c r="BG763" t="s" s="0">
        <v>16711</v>
      </c>
      <c r="BH763" t="s" s="0">
        <v>16712</v>
      </c>
      <c r="BI763" t="s" s="0">
        <v>81</v>
      </c>
      <c r="BJ763" t="s" s="0">
        <v>16713</v>
      </c>
      <c r="BK763" t="s" s="1516">
        <f>HYPERLINK("http://dx.doi.org/10.1007/s11517-026-03530-2","http://dx.doi.org/10.1007/s11517-026-03530-2")</f>
        <v>16714</v>
      </c>
      <c r="BL763" t="s" s="0">
        <v>81</v>
      </c>
      <c r="BM763" t="s" s="0">
        <v>143</v>
      </c>
      <c r="BN763" t="s" s="0">
        <v>104</v>
      </c>
      <c r="BO763" t="s" s="0">
        <v>14451</v>
      </c>
      <c r="BP763" t="s" s="0">
        <v>14452</v>
      </c>
      <c r="BQ763" t="s" s="0">
        <v>16715</v>
      </c>
      <c r="BR763" t="s" s="0">
        <v>16716</v>
      </c>
      <c r="BS763" t="s" s="0">
        <v>16717</v>
      </c>
      <c r="BT763" t="s" s="1517">
        <f>HYPERLINK("https://www.webofscience.com/wos/woscc/full-record/WOS:001705978400001","View Record in Web of Science")</f>
        <v>114</v>
      </c>
      <c r="BU763" t="s" s="0">
        <v>81</v>
      </c>
      <c r="BV763" t="s" s="0">
        <v>81</v>
      </c>
      <c r="BW763" t="s" s="0">
        <v>81</v>
      </c>
      <c r="BX763" t="s" s="0">
        <v>116</v>
      </c>
    </row>
    <row r="764">
      <c r="A764" t="s" s="0">
        <v>77</v>
      </c>
      <c r="B764" t="s" s="0">
        <v>77</v>
      </c>
      <c r="C764" t="s" s="0">
        <v>77</v>
      </c>
      <c r="D764" t="s" s="0">
        <v>77</v>
      </c>
      <c r="E764" t="s" s="0">
        <v>16718</v>
      </c>
      <c r="F764" t="s" s="0">
        <v>16719</v>
      </c>
      <c r="G764" t="s" s="0">
        <v>16720</v>
      </c>
      <c r="H764" t="s" s="0">
        <v>81</v>
      </c>
      <c r="I764" t="s" s="0">
        <v>82</v>
      </c>
      <c r="J764" t="s" s="0">
        <v>16721</v>
      </c>
      <c r="K764" t="s" s="0">
        <v>16722</v>
      </c>
      <c r="L764" t="s" s="0">
        <v>16723</v>
      </c>
      <c r="M764" t="s" s="0">
        <v>16723</v>
      </c>
      <c r="N764" t="s" s="0">
        <v>16724</v>
      </c>
      <c r="O764" t="s" s="0">
        <v>16725</v>
      </c>
      <c r="P764" t="s" s="0">
        <v>16726</v>
      </c>
      <c r="Q764" t="s" s="0">
        <v>87</v>
      </c>
      <c r="R764" t="s" s="0">
        <v>81</v>
      </c>
      <c r="S764" t="s" s="0">
        <v>81</v>
      </c>
      <c r="T764" t="s" s="0">
        <v>81</v>
      </c>
      <c r="U764" t="s" s="0">
        <v>81</v>
      </c>
      <c r="V764" t="s" s="0">
        <v>16727</v>
      </c>
      <c r="W764" t="s" s="0">
        <v>16728</v>
      </c>
      <c r="X764" t="s" s="0">
        <v>81</v>
      </c>
      <c r="Y764" t="s" s="0">
        <v>81</v>
      </c>
      <c r="Z764" t="s" s="0">
        <v>90</v>
      </c>
      <c r="AA764" t="s" s="0">
        <v>1581</v>
      </c>
      <c r="AB764" t="s" s="0">
        <v>81</v>
      </c>
      <c r="AC764" t="s" s="0">
        <v>81</v>
      </c>
      <c r="AD764" t="s" s="0">
        <v>81</v>
      </c>
      <c r="AE764" t="s" s="0">
        <v>81</v>
      </c>
      <c r="AF764" t="s" s="0">
        <v>81</v>
      </c>
      <c r="AG764" t="s" s="0">
        <v>16729</v>
      </c>
      <c r="AH764" t="s" s="0">
        <v>81</v>
      </c>
      <c r="AI764" t="s" s="0">
        <v>81</v>
      </c>
      <c r="AJ764" t="s" s="0">
        <v>16730</v>
      </c>
      <c r="AK764" t="s" s="0">
        <v>81</v>
      </c>
      <c r="AL764" t="s" s="0">
        <v>486</v>
      </c>
      <c r="AM764" t="s" s="0">
        <v>77</v>
      </c>
      <c r="AN764" t="s" s="0">
        <v>77</v>
      </c>
      <c r="AO764" t="s" s="0">
        <v>175</v>
      </c>
      <c r="AP764" t="s" s="0">
        <v>175</v>
      </c>
      <c r="AQ764" t="s" s="0">
        <v>545</v>
      </c>
      <c r="AR764" t="s" s="0">
        <v>546</v>
      </c>
      <c r="AS764" t="s" s="0">
        <v>547</v>
      </c>
      <c r="AT764" t="s" s="0">
        <v>16731</v>
      </c>
      <c r="AU764" t="s" s="0">
        <v>16732</v>
      </c>
      <c r="AV764" t="s" s="0">
        <v>81</v>
      </c>
      <c r="AW764" t="s" s="0">
        <v>16733</v>
      </c>
      <c r="AX764" t="s" s="0">
        <v>16734</v>
      </c>
      <c r="AY764" t="s" s="0">
        <v>81</v>
      </c>
      <c r="AZ764" t="s" s="0">
        <v>103</v>
      </c>
      <c r="BA764" t="s" s="0">
        <v>81</v>
      </c>
      <c r="BB764" t="s" s="0">
        <v>81</v>
      </c>
      <c r="BC764" t="s" s="0">
        <v>81</v>
      </c>
      <c r="BD764" t="s" s="0">
        <v>81</v>
      </c>
      <c r="BE764" t="s" s="0">
        <v>81</v>
      </c>
      <c r="BF764" t="s" s="0">
        <v>81</v>
      </c>
      <c r="BG764" t="s" s="0">
        <v>81</v>
      </c>
      <c r="BH764" t="s" s="0">
        <v>81</v>
      </c>
      <c r="BI764" t="s" s="0">
        <v>81</v>
      </c>
      <c r="BJ764" t="s" s="0">
        <v>16735</v>
      </c>
      <c r="BK764" t="s" s="1518">
        <f>HYPERLINK("http://dx.doi.org/10.1136/bjo-2025-328498","http://dx.doi.org/10.1136/bjo-2025-328498")</f>
        <v>16736</v>
      </c>
      <c r="BL764" t="s" s="0">
        <v>81</v>
      </c>
      <c r="BM764" t="s" s="0">
        <v>2108</v>
      </c>
      <c r="BN764" t="s" s="0">
        <v>316</v>
      </c>
      <c r="BO764" t="s" s="0">
        <v>3745</v>
      </c>
      <c r="BP764" t="s" s="0">
        <v>3745</v>
      </c>
      <c r="BQ764" t="s" s="0">
        <v>16737</v>
      </c>
      <c r="BR764" t="s" s="0">
        <v>16738</v>
      </c>
      <c r="BS764" t="s" s="0">
        <v>16739</v>
      </c>
      <c r="BT764" t="s" s="1519">
        <f>HYPERLINK("https://www.webofscience.com/wos/woscc/full-record/WOS:001702915200001","View Record in Web of Science")</f>
        <v>114</v>
      </c>
      <c r="BU764" t="s" s="0">
        <v>81</v>
      </c>
      <c r="BV764" t="s" s="0">
        <v>81</v>
      </c>
      <c r="BW764" t="s" s="0">
        <v>81</v>
      </c>
      <c r="BX764" t="s" s="0">
        <v>116</v>
      </c>
    </row>
    <row r="765">
      <c r="A765" t="s" s="0">
        <v>77</v>
      </c>
      <c r="B765" t="s" s="0">
        <v>77</v>
      </c>
      <c r="C765" t="s" s="0">
        <v>77</v>
      </c>
      <c r="D765" t="s" s="0">
        <v>77</v>
      </c>
      <c r="E765" t="s" s="0">
        <v>16740</v>
      </c>
      <c r="F765" t="s" s="0">
        <v>16741</v>
      </c>
      <c r="G765" t="s" s="0">
        <v>16742</v>
      </c>
      <c r="H765" t="s" s="0">
        <v>81</v>
      </c>
      <c r="I765" t="s" s="0">
        <v>82</v>
      </c>
      <c r="J765" t="s" s="0">
        <v>16743</v>
      </c>
      <c r="K765" t="s" s="0">
        <v>16744</v>
      </c>
      <c r="L765" t="s" s="0">
        <v>81</v>
      </c>
      <c r="M765" t="s" s="0">
        <v>81</v>
      </c>
      <c r="N765" t="s" s="0">
        <v>81</v>
      </c>
      <c r="O765" t="s" s="0">
        <v>16745</v>
      </c>
      <c r="P765" t="s" s="0">
        <v>16746</v>
      </c>
      <c r="Q765" t="s" s="0">
        <v>87</v>
      </c>
      <c r="R765" t="s" s="0">
        <v>81</v>
      </c>
      <c r="S765" t="s" s="0">
        <v>81</v>
      </c>
      <c r="T765" t="s" s="0">
        <v>81</v>
      </c>
      <c r="U765" t="s" s="0">
        <v>81</v>
      </c>
      <c r="V765" t="s" s="0">
        <v>16747</v>
      </c>
      <c r="W765" t="s" s="0">
        <v>9235</v>
      </c>
      <c r="X765" t="s" s="0">
        <v>81</v>
      </c>
      <c r="Y765" t="s" s="0">
        <v>81</v>
      </c>
      <c r="Z765" t="s" s="0">
        <v>90</v>
      </c>
      <c r="AA765" t="s" s="0">
        <v>1581</v>
      </c>
      <c r="AB765" t="s" s="0">
        <v>81</v>
      </c>
      <c r="AC765" t="s" s="0">
        <v>81</v>
      </c>
      <c r="AD765" t="s" s="0">
        <v>81</v>
      </c>
      <c r="AE765" t="s" s="0">
        <v>81</v>
      </c>
      <c r="AF765" t="s" s="0">
        <v>81</v>
      </c>
      <c r="AG765" t="s" s="0">
        <v>16748</v>
      </c>
      <c r="AH765" t="s" s="0">
        <v>81</v>
      </c>
      <c r="AI765" t="s" s="0">
        <v>16749</v>
      </c>
      <c r="AJ765" t="s" s="0">
        <v>16750</v>
      </c>
      <c r="AK765" t="s" s="0">
        <v>81</v>
      </c>
      <c r="AL765" t="s" s="0">
        <v>134</v>
      </c>
      <c r="AM765" t="s" s="0">
        <v>77</v>
      </c>
      <c r="AN765" t="s" s="0">
        <v>77</v>
      </c>
      <c r="AO765" t="s" s="0">
        <v>196</v>
      </c>
      <c r="AP765" t="s" s="0">
        <v>196</v>
      </c>
      <c r="AQ765" t="s" s="0">
        <v>636</v>
      </c>
      <c r="AR765" t="s" s="0">
        <v>637</v>
      </c>
      <c r="AS765" t="s" s="0">
        <v>638</v>
      </c>
      <c r="AT765" t="s" s="0">
        <v>9239</v>
      </c>
      <c r="AU765" t="s" s="0">
        <v>9240</v>
      </c>
      <c r="AV765" t="s" s="0">
        <v>81</v>
      </c>
      <c r="AW765" t="s" s="0">
        <v>9241</v>
      </c>
      <c r="AX765" t="s" s="0">
        <v>9242</v>
      </c>
      <c r="AY765" t="s" s="0">
        <v>81</v>
      </c>
      <c r="AZ765" t="s" s="0">
        <v>103</v>
      </c>
      <c r="BA765" t="s" s="0">
        <v>81</v>
      </c>
      <c r="BB765" t="s" s="0">
        <v>81</v>
      </c>
      <c r="BC765" t="s" s="0">
        <v>81</v>
      </c>
      <c r="BD765" t="s" s="0">
        <v>81</v>
      </c>
      <c r="BE765" t="s" s="0">
        <v>81</v>
      </c>
      <c r="BF765" t="s" s="0">
        <v>81</v>
      </c>
      <c r="BG765" t="s" s="0">
        <v>81</v>
      </c>
      <c r="BH765" t="s" s="0">
        <v>81</v>
      </c>
      <c r="BI765" t="s" s="0">
        <v>81</v>
      </c>
      <c r="BJ765" t="s" s="0">
        <v>16751</v>
      </c>
      <c r="BK765" t="s" s="1520">
        <f>HYPERLINK("http://dx.doi.org/10.1080/10589759.2026.2691296","http://dx.doi.org/10.1080/10589759.2026.2691296")</f>
        <v>16752</v>
      </c>
      <c r="BL765" t="s" s="0">
        <v>81</v>
      </c>
      <c r="BM765" t="s" s="0">
        <v>849</v>
      </c>
      <c r="BN765" t="s" s="0">
        <v>485</v>
      </c>
      <c r="BO765" t="s" s="0">
        <v>9245</v>
      </c>
      <c r="BP765" t="s" s="0">
        <v>9246</v>
      </c>
      <c r="BQ765" t="s" s="0">
        <v>16753</v>
      </c>
      <c r="BR765" t="s" s="0">
        <v>81</v>
      </c>
      <c r="BS765" t="s" s="0">
        <v>16754</v>
      </c>
      <c r="BT765" t="s" s="1521">
        <f>HYPERLINK("https://www.webofscience.com/wos/woscc/full-record/WOS:001809535700001","View Record in Web of Science")</f>
        <v>114</v>
      </c>
      <c r="BU765" t="s" s="0">
        <v>81</v>
      </c>
      <c r="BV765" t="s" s="0">
        <v>81</v>
      </c>
      <c r="BW765" t="s" s="0">
        <v>81</v>
      </c>
      <c r="BX765" t="s" s="0">
        <v>116</v>
      </c>
    </row>
    <row r="766">
      <c r="A766" t="s" s="0">
        <v>77</v>
      </c>
      <c r="B766" t="s" s="0">
        <v>77</v>
      </c>
      <c r="C766" t="s" s="0">
        <v>316</v>
      </c>
      <c r="D766" t="s" s="0">
        <v>77</v>
      </c>
      <c r="E766" t="s" s="0">
        <v>16755</v>
      </c>
      <c r="F766" t="s" s="0">
        <v>16756</v>
      </c>
      <c r="G766" t="s" s="0">
        <v>16757</v>
      </c>
      <c r="H766" t="s" s="0">
        <v>81</v>
      </c>
      <c r="I766" t="s" s="0">
        <v>82</v>
      </c>
      <c r="J766" t="s" s="0">
        <v>16758</v>
      </c>
      <c r="K766" t="s" s="0">
        <v>13861</v>
      </c>
      <c r="L766" t="s" s="0">
        <v>16759</v>
      </c>
      <c r="M766" t="s" s="0">
        <v>16760</v>
      </c>
      <c r="N766" t="s" s="0">
        <v>16761</v>
      </c>
      <c r="O766" t="s" s="0">
        <v>16762</v>
      </c>
      <c r="P766" t="s" s="0">
        <v>16763</v>
      </c>
      <c r="Q766" t="s" s="0">
        <v>87</v>
      </c>
      <c r="R766" t="s" s="0">
        <v>81</v>
      </c>
      <c r="S766" t="s" s="0">
        <v>81</v>
      </c>
      <c r="T766" t="s" s="0">
        <v>81</v>
      </c>
      <c r="U766" t="s" s="0">
        <v>81</v>
      </c>
      <c r="V766" t="s" s="0">
        <v>16764</v>
      </c>
      <c r="W766" t="s" s="0">
        <v>16765</v>
      </c>
      <c r="X766" t="s" s="0">
        <v>81</v>
      </c>
      <c r="Y766" t="s" s="0">
        <v>81</v>
      </c>
      <c r="Z766" t="s" s="0">
        <v>90</v>
      </c>
      <c r="AA766" t="s" s="0">
        <v>91</v>
      </c>
      <c r="AB766" t="s" s="0">
        <v>81</v>
      </c>
      <c r="AC766" t="s" s="0">
        <v>81</v>
      </c>
      <c r="AD766" t="s" s="0">
        <v>81</v>
      </c>
      <c r="AE766" t="s" s="0">
        <v>81</v>
      </c>
      <c r="AF766" t="s" s="0">
        <v>81</v>
      </c>
      <c r="AG766" t="s" s="0">
        <v>16766</v>
      </c>
      <c r="AH766" t="s" s="0">
        <v>16767</v>
      </c>
      <c r="AI766" t="s" s="0">
        <v>16768</v>
      </c>
      <c r="AJ766" t="s" s="0">
        <v>16769</v>
      </c>
      <c r="AK766" t="s" s="0">
        <v>81</v>
      </c>
      <c r="AL766" t="s" s="0">
        <v>399</v>
      </c>
      <c r="AM766" t="s" s="0">
        <v>1635</v>
      </c>
      <c r="AN766" t="s" s="0">
        <v>1607</v>
      </c>
      <c r="AO766" t="s" s="0">
        <v>133</v>
      </c>
      <c r="AP766" t="s" s="0">
        <v>150</v>
      </c>
      <c r="AQ766" t="s" s="0">
        <v>1608</v>
      </c>
      <c r="AR766" t="s" s="0">
        <v>1609</v>
      </c>
      <c r="AS766" t="s" s="0">
        <v>1610</v>
      </c>
      <c r="AT766" t="s" s="0">
        <v>16770</v>
      </c>
      <c r="AU766" t="s" s="0">
        <v>16771</v>
      </c>
      <c r="AV766" t="s" s="0">
        <v>81</v>
      </c>
      <c r="AW766" t="s" s="0">
        <v>16772</v>
      </c>
      <c r="AX766" t="s" s="0">
        <v>16773</v>
      </c>
      <c r="AY766" t="s" s="0">
        <v>320</v>
      </c>
      <c r="AZ766" t="s" s="0">
        <v>185</v>
      </c>
      <c r="BA766" t="s" s="0">
        <v>16774</v>
      </c>
      <c r="BB766" t="s" s="0">
        <v>81</v>
      </c>
      <c r="BC766" t="s" s="0">
        <v>81</v>
      </c>
      <c r="BD766" t="s" s="0">
        <v>81</v>
      </c>
      <c r="BE766" t="s" s="0">
        <v>81</v>
      </c>
      <c r="BF766" t="s" s="0">
        <v>81</v>
      </c>
      <c r="BG766" t="s" s="0">
        <v>81</v>
      </c>
      <c r="BH766" t="s" s="0">
        <v>81</v>
      </c>
      <c r="BI766" t="s" s="0">
        <v>16775</v>
      </c>
      <c r="BJ766" t="s" s="0">
        <v>16776</v>
      </c>
      <c r="BK766" t="s" s="1522">
        <f>HYPERLINK("http://dx.doi.org/10.1016/j.ejrad.2024.111403","http://dx.doi.org/10.1016/j.ejrad.2024.111403")</f>
        <v>16777</v>
      </c>
      <c r="BL766" t="s" s="0">
        <v>81</v>
      </c>
      <c r="BM766" t="s" s="0">
        <v>4409</v>
      </c>
      <c r="BN766" t="s" s="0">
        <v>316</v>
      </c>
      <c r="BO766" t="s" s="0">
        <v>738</v>
      </c>
      <c r="BP766" t="s" s="0">
        <v>738</v>
      </c>
      <c r="BQ766" t="s" s="0">
        <v>16778</v>
      </c>
      <c r="BR766" t="s" s="0">
        <v>16779</v>
      </c>
      <c r="BS766" t="s" s="0">
        <v>16780</v>
      </c>
      <c r="BT766" t="s" s="1523">
        <f>HYPERLINK("https://www.webofscience.com/wos/woscc/full-record/WOS:001218243900001","View Record in Web of Science")</f>
        <v>114</v>
      </c>
      <c r="BU766" t="s" s="0">
        <v>233</v>
      </c>
      <c r="BV766" t="s" s="0">
        <v>81</v>
      </c>
      <c r="BW766" t="s" s="0">
        <v>81</v>
      </c>
      <c r="BX766" t="s" s="0">
        <v>116</v>
      </c>
    </row>
    <row r="767">
      <c r="A767" t="s" s="0">
        <v>77</v>
      </c>
      <c r="B767" t="s" s="0">
        <v>77</v>
      </c>
      <c r="C767" t="s" s="0">
        <v>77</v>
      </c>
      <c r="D767" t="s" s="0">
        <v>77</v>
      </c>
      <c r="E767" t="s" s="0">
        <v>16781</v>
      </c>
      <c r="F767" t="s" s="0">
        <v>16782</v>
      </c>
      <c r="G767" t="s" s="0">
        <v>16783</v>
      </c>
      <c r="H767" t="s" s="0">
        <v>81</v>
      </c>
      <c r="I767" t="s" s="0">
        <v>82</v>
      </c>
      <c r="J767" t="s" s="0">
        <v>16784</v>
      </c>
      <c r="K767" t="s" s="0">
        <v>16785</v>
      </c>
      <c r="L767" t="s" s="0">
        <v>16786</v>
      </c>
      <c r="M767" t="s" s="0">
        <v>16787</v>
      </c>
      <c r="N767" t="s" s="0">
        <v>16788</v>
      </c>
      <c r="O767" t="s" s="0">
        <v>16789</v>
      </c>
      <c r="P767" t="s" s="0">
        <v>16790</v>
      </c>
      <c r="Q767" t="s" s="0">
        <v>87</v>
      </c>
      <c r="R767" t="s" s="0">
        <v>81</v>
      </c>
      <c r="S767" t="s" s="0">
        <v>81</v>
      </c>
      <c r="T767" t="s" s="0">
        <v>81</v>
      </c>
      <c r="U767" t="s" s="0">
        <v>81</v>
      </c>
      <c r="V767" t="s" s="0">
        <v>16791</v>
      </c>
      <c r="W767" t="s" s="0">
        <v>9187</v>
      </c>
      <c r="X767" t="s" s="0">
        <v>81</v>
      </c>
      <c r="Y767" t="s" s="0">
        <v>81</v>
      </c>
      <c r="Z767" t="s" s="0">
        <v>90</v>
      </c>
      <c r="AA767" t="s" s="0">
        <v>91</v>
      </c>
      <c r="AB767" t="s" s="0">
        <v>81</v>
      </c>
      <c r="AC767" t="s" s="0">
        <v>81</v>
      </c>
      <c r="AD767" t="s" s="0">
        <v>81</v>
      </c>
      <c r="AE767" t="s" s="0">
        <v>81</v>
      </c>
      <c r="AF767" t="s" s="0">
        <v>81</v>
      </c>
      <c r="AG767" t="s" s="0">
        <v>16792</v>
      </c>
      <c r="AH767" t="s" s="0">
        <v>81</v>
      </c>
      <c r="AI767" t="s" s="0">
        <v>16793</v>
      </c>
      <c r="AJ767" t="s" s="0">
        <v>16794</v>
      </c>
      <c r="AK767" t="s" s="0">
        <v>81</v>
      </c>
      <c r="AL767" t="s" s="0">
        <v>890</v>
      </c>
      <c r="AM767" t="s" s="0">
        <v>156</v>
      </c>
      <c r="AN767" t="s" s="0">
        <v>156</v>
      </c>
      <c r="AO767" t="s" s="0">
        <v>97</v>
      </c>
      <c r="AP767" t="s" s="0">
        <v>291</v>
      </c>
      <c r="AQ767" t="s" s="0">
        <v>9192</v>
      </c>
      <c r="AR767" t="s" s="0">
        <v>9193</v>
      </c>
      <c r="AS767" t="s" s="0">
        <v>9194</v>
      </c>
      <c r="AT767" t="s" s="0">
        <v>9195</v>
      </c>
      <c r="AU767" t="s" s="0">
        <v>9196</v>
      </c>
      <c r="AV767" t="s" s="0">
        <v>81</v>
      </c>
      <c r="AW767" t="s" s="0">
        <v>9197</v>
      </c>
      <c r="AX767" t="s" s="0">
        <v>9198</v>
      </c>
      <c r="AY767" t="s" s="0">
        <v>185</v>
      </c>
      <c r="AZ767" t="s" s="0">
        <v>185</v>
      </c>
      <c r="BA767" t="s" s="0">
        <v>96</v>
      </c>
      <c r="BB767" t="s" s="0">
        <v>196</v>
      </c>
      <c r="BC767" t="s" s="0">
        <v>81</v>
      </c>
      <c r="BD767" t="s" s="0">
        <v>81</v>
      </c>
      <c r="BE767" t="s" s="0">
        <v>81</v>
      </c>
      <c r="BF767" t="s" s="0">
        <v>81</v>
      </c>
      <c r="BG767" t="s" s="0">
        <v>16795</v>
      </c>
      <c r="BH767" t="s" s="0">
        <v>16796</v>
      </c>
      <c r="BI767" t="s" s="0">
        <v>81</v>
      </c>
      <c r="BJ767" t="s" s="0">
        <v>16797</v>
      </c>
      <c r="BK767" t="s" s="1524">
        <f>HYPERLINK("http://dx.doi.org/10.32604/cmc.2024.049791","http://dx.doi.org/10.32604/cmc.2024.049791")</f>
        <v>16798</v>
      </c>
      <c r="BL767" t="s" s="0">
        <v>81</v>
      </c>
      <c r="BM767" t="s" s="0">
        <v>81</v>
      </c>
      <c r="BN767" t="s" s="0">
        <v>210</v>
      </c>
      <c r="BO767" t="s" s="0">
        <v>9203</v>
      </c>
      <c r="BP767" t="s" s="0">
        <v>9204</v>
      </c>
      <c r="BQ767" t="s" s="0">
        <v>16799</v>
      </c>
      <c r="BR767" t="s" s="0">
        <v>81</v>
      </c>
      <c r="BS767" t="s" s="0">
        <v>16800</v>
      </c>
      <c r="BT767" t="s" s="1525">
        <f>HYPERLINK("https://www.webofscience.com/wos/woscc/full-record/WOS:001268414500008","View Record in Web of Science")</f>
        <v>114</v>
      </c>
      <c r="BU767" t="s" s="0">
        <v>115</v>
      </c>
      <c r="BV767" t="s" s="0">
        <v>81</v>
      </c>
      <c r="BW767" t="s" s="0">
        <v>81</v>
      </c>
      <c r="BX767" t="s" s="0">
        <v>116</v>
      </c>
    </row>
    <row r="768">
      <c r="A768" t="s" s="0">
        <v>77</v>
      </c>
      <c r="B768" t="s" s="0">
        <v>77</v>
      </c>
      <c r="C768" t="s" s="0">
        <v>77</v>
      </c>
      <c r="D768" t="s" s="0">
        <v>77</v>
      </c>
      <c r="E768" t="s" s="0">
        <v>16801</v>
      </c>
      <c r="F768" t="s" s="0">
        <v>16802</v>
      </c>
      <c r="G768" t="s" s="0">
        <v>16803</v>
      </c>
      <c r="H768" t="s" s="0">
        <v>81</v>
      </c>
      <c r="I768" t="s" s="0">
        <v>82</v>
      </c>
      <c r="J768" t="s" s="0">
        <v>16804</v>
      </c>
      <c r="K768" t="s" s="0">
        <v>16805</v>
      </c>
      <c r="L768" t="s" s="0">
        <v>16806</v>
      </c>
      <c r="M768" t="s" s="0">
        <v>16807</v>
      </c>
      <c r="N768" t="s" s="0">
        <v>16808</v>
      </c>
      <c r="O768" t="s" s="0">
        <v>16809</v>
      </c>
      <c r="P768" t="s" s="0">
        <v>16810</v>
      </c>
      <c r="Q768" t="s" s="0">
        <v>87</v>
      </c>
      <c r="R768" t="s" s="0">
        <v>81</v>
      </c>
      <c r="S768" t="s" s="0">
        <v>81</v>
      </c>
      <c r="T768" t="s" s="0">
        <v>81</v>
      </c>
      <c r="U768" t="s" s="0">
        <v>81</v>
      </c>
      <c r="V768" t="s" s="0">
        <v>16811</v>
      </c>
      <c r="W768" t="s" s="0">
        <v>16812</v>
      </c>
      <c r="X768" t="s" s="0">
        <v>81</v>
      </c>
      <c r="Y768" t="s" s="0">
        <v>81</v>
      </c>
      <c r="Z768" t="s" s="0">
        <v>90</v>
      </c>
      <c r="AA768" t="s" s="0">
        <v>91</v>
      </c>
      <c r="AB768" t="s" s="0">
        <v>81</v>
      </c>
      <c r="AC768" t="s" s="0">
        <v>81</v>
      </c>
      <c r="AD768" t="s" s="0">
        <v>81</v>
      </c>
      <c r="AE768" t="s" s="0">
        <v>81</v>
      </c>
      <c r="AF768" t="s" s="0">
        <v>81</v>
      </c>
      <c r="AG768" t="s" s="0">
        <v>16813</v>
      </c>
      <c r="AH768" t="s" s="0">
        <v>16814</v>
      </c>
      <c r="AI768" t="s" s="0">
        <v>16815</v>
      </c>
      <c r="AJ768" t="s" s="0">
        <v>16816</v>
      </c>
      <c r="AK768" t="s" s="0">
        <v>81</v>
      </c>
      <c r="AL768" t="s" s="0">
        <v>890</v>
      </c>
      <c r="AM768" t="s" s="0">
        <v>97</v>
      </c>
      <c r="AN768" t="s" s="0">
        <v>156</v>
      </c>
      <c r="AO768" t="s" s="0">
        <v>97</v>
      </c>
      <c r="AP768" t="s" s="0">
        <v>196</v>
      </c>
      <c r="AQ768" t="s" s="0">
        <v>545</v>
      </c>
      <c r="AR768" t="s" s="0">
        <v>546</v>
      </c>
      <c r="AS768" t="s" s="0">
        <v>547</v>
      </c>
      <c r="AT768" t="s" s="0">
        <v>16817</v>
      </c>
      <c r="AU768" t="s" s="0">
        <v>16818</v>
      </c>
      <c r="AV768" t="s" s="0">
        <v>81</v>
      </c>
      <c r="AW768" t="s" s="0">
        <v>16819</v>
      </c>
      <c r="AX768" t="s" s="0">
        <v>16820</v>
      </c>
      <c r="AY768" t="s" s="0">
        <v>948</v>
      </c>
      <c r="AZ768" t="s" s="0">
        <v>103</v>
      </c>
      <c r="BA768" t="s" s="0">
        <v>367</v>
      </c>
      <c r="BB768" t="s" s="0">
        <v>175</v>
      </c>
      <c r="BC768" t="s" s="0">
        <v>81</v>
      </c>
      <c r="BD768" t="s" s="0">
        <v>81</v>
      </c>
      <c r="BE768" t="s" s="0">
        <v>81</v>
      </c>
      <c r="BF768" t="s" s="0">
        <v>81</v>
      </c>
      <c r="BG768" t="s" s="0">
        <v>16821</v>
      </c>
      <c r="BH768" t="s" s="0">
        <v>16822</v>
      </c>
      <c r="BI768" t="s" s="0">
        <v>81</v>
      </c>
      <c r="BJ768" t="s" s="0">
        <v>16823</v>
      </c>
      <c r="BK768" t="s" s="1526">
        <f>HYPERLINK("http://dx.doi.org/10.1136/jnis-2025-023416","http://dx.doi.org/10.1136/jnis-2025-023416")</f>
        <v>16824</v>
      </c>
      <c r="BL768" t="s" s="0">
        <v>81</v>
      </c>
      <c r="BM768" t="s" s="0">
        <v>552</v>
      </c>
      <c r="BN768" t="s" s="0">
        <v>261</v>
      </c>
      <c r="BO768" t="s" s="0">
        <v>16825</v>
      </c>
      <c r="BP768" t="s" s="0">
        <v>521</v>
      </c>
      <c r="BQ768" t="s" s="0">
        <v>16826</v>
      </c>
      <c r="BR768" t="s" s="0">
        <v>16827</v>
      </c>
      <c r="BS768" t="s" s="0">
        <v>16828</v>
      </c>
      <c r="BT768" t="s" s="1527">
        <f>HYPERLINK("https://www.webofscience.com/wos/woscc/full-record/WOS:001511427200001","View Record in Web of Science")</f>
        <v>114</v>
      </c>
      <c r="BU768" t="s" s="0">
        <v>81</v>
      </c>
      <c r="BV768" t="s" s="0">
        <v>81</v>
      </c>
      <c r="BW768" t="s" s="0">
        <v>81</v>
      </c>
      <c r="BX768" t="s" s="0">
        <v>116</v>
      </c>
    </row>
    <row r="769">
      <c r="A769" t="s" s="0">
        <v>77</v>
      </c>
      <c r="B769" t="s" s="0">
        <v>77</v>
      </c>
      <c r="C769" t="s" s="0">
        <v>97</v>
      </c>
      <c r="D769" t="s" s="0">
        <v>77</v>
      </c>
      <c r="E769" t="s" s="0">
        <v>16829</v>
      </c>
      <c r="F769" t="s" s="0">
        <v>16830</v>
      </c>
      <c r="G769" t="s" s="0">
        <v>16831</v>
      </c>
      <c r="H769" t="s" s="0">
        <v>81</v>
      </c>
      <c r="I769" t="s" s="0">
        <v>82</v>
      </c>
      <c r="J769" t="s" s="0">
        <v>16832</v>
      </c>
      <c r="K769" t="s" s="0">
        <v>16833</v>
      </c>
      <c r="L769" t="s" s="0">
        <v>16834</v>
      </c>
      <c r="M769" t="s" s="0">
        <v>16835</v>
      </c>
      <c r="N769" t="s" s="0">
        <v>16836</v>
      </c>
      <c r="O769" t="s" s="0">
        <v>16837</v>
      </c>
      <c r="P769" t="s" s="0">
        <v>16838</v>
      </c>
      <c r="Q769" t="s" s="0">
        <v>87</v>
      </c>
      <c r="R769" t="s" s="0">
        <v>81</v>
      </c>
      <c r="S769" t="s" s="0">
        <v>81</v>
      </c>
      <c r="T769" t="s" s="0">
        <v>81</v>
      </c>
      <c r="U769" t="s" s="0">
        <v>81</v>
      </c>
      <c r="V769" t="s" s="0">
        <v>16839</v>
      </c>
      <c r="W769" t="s" s="0">
        <v>16840</v>
      </c>
      <c r="X769" t="s" s="0">
        <v>81</v>
      </c>
      <c r="Y769" t="s" s="0">
        <v>81</v>
      </c>
      <c r="Z769" t="s" s="0">
        <v>90</v>
      </c>
      <c r="AA769" t="s" s="0">
        <v>91</v>
      </c>
      <c r="AB769" t="s" s="0">
        <v>81</v>
      </c>
      <c r="AC769" t="s" s="0">
        <v>81</v>
      </c>
      <c r="AD769" t="s" s="0">
        <v>81</v>
      </c>
      <c r="AE769" t="s" s="0">
        <v>81</v>
      </c>
      <c r="AF769" t="s" s="0">
        <v>81</v>
      </c>
      <c r="AG769" t="s" s="0">
        <v>16841</v>
      </c>
      <c r="AH769" t="s" s="0">
        <v>16842</v>
      </c>
      <c r="AI769" t="s" s="0">
        <v>16843</v>
      </c>
      <c r="AJ769" t="s" s="0">
        <v>81</v>
      </c>
      <c r="AK769" t="s" s="0">
        <v>81</v>
      </c>
      <c r="AL769" t="s" s="0">
        <v>542</v>
      </c>
      <c r="AM769" t="s" s="0">
        <v>97</v>
      </c>
      <c r="AN769" t="s" s="0">
        <v>97</v>
      </c>
      <c r="AO769" t="s" s="0">
        <v>97</v>
      </c>
      <c r="AP769" t="s" s="0">
        <v>97</v>
      </c>
      <c r="AQ769" t="s" s="0">
        <v>136</v>
      </c>
      <c r="AR769" t="s" s="0">
        <v>137</v>
      </c>
      <c r="AS769" t="s" s="0">
        <v>138</v>
      </c>
      <c r="AT769" t="s" s="0">
        <v>16844</v>
      </c>
      <c r="AU769" t="s" s="0">
        <v>16845</v>
      </c>
      <c r="AV769" t="s" s="0">
        <v>81</v>
      </c>
      <c r="AW769" t="s" s="0">
        <v>16846</v>
      </c>
      <c r="AX769" t="s" s="0">
        <v>16847</v>
      </c>
      <c r="AY769" t="s" s="0">
        <v>10792</v>
      </c>
      <c r="AZ769" t="s" s="0">
        <v>103</v>
      </c>
      <c r="BA769" t="s" s="0">
        <v>5676</v>
      </c>
      <c r="BB769" t="s" s="0">
        <v>81</v>
      </c>
      <c r="BC769" t="s" s="0">
        <v>81</v>
      </c>
      <c r="BD769" t="s" s="0">
        <v>81</v>
      </c>
      <c r="BE769" t="s" s="0">
        <v>81</v>
      </c>
      <c r="BF769" t="s" s="0">
        <v>81</v>
      </c>
      <c r="BG769" t="s" s="0">
        <v>81</v>
      </c>
      <c r="BH769" t="s" s="0">
        <v>81</v>
      </c>
      <c r="BI769" t="s" s="0">
        <v>16848</v>
      </c>
      <c r="BJ769" t="s" s="0">
        <v>16849</v>
      </c>
      <c r="BK769" t="s" s="1528">
        <f>HYPERLINK("http://dx.doi.org/10.1016/j.chemolab.2026.105648","http://dx.doi.org/10.1016/j.chemolab.2026.105648")</f>
        <v>16850</v>
      </c>
      <c r="BL769" t="s" s="0">
        <v>81</v>
      </c>
      <c r="BM769" t="s" s="0">
        <v>1940</v>
      </c>
      <c r="BN769" t="s" s="0">
        <v>261</v>
      </c>
      <c r="BO769" t="s" s="0">
        <v>16851</v>
      </c>
      <c r="BP769" t="s" s="0">
        <v>16852</v>
      </c>
      <c r="BQ769" t="s" s="0">
        <v>16853</v>
      </c>
      <c r="BR769" t="s" s="0">
        <v>81</v>
      </c>
      <c r="BS769" t="s" s="0">
        <v>16854</v>
      </c>
      <c r="BT769" t="s" s="1529">
        <f>HYPERLINK("https://www.webofscience.com/wos/woscc/full-record/WOS:001677565900001","View Record in Web of Science")</f>
        <v>114</v>
      </c>
      <c r="BU769" t="s" s="0">
        <v>81</v>
      </c>
      <c r="BV769" t="s" s="0">
        <v>81</v>
      </c>
      <c r="BW769" t="s" s="0">
        <v>81</v>
      </c>
      <c r="BX769" t="s" s="0">
        <v>116</v>
      </c>
    </row>
    <row r="770">
      <c r="A770" t="s" s="0">
        <v>77</v>
      </c>
      <c r="B770" t="s" s="0">
        <v>77</v>
      </c>
      <c r="C770" t="s" s="0">
        <v>156</v>
      </c>
      <c r="D770" t="s" s="0">
        <v>77</v>
      </c>
      <c r="E770" t="s" s="0">
        <v>16855</v>
      </c>
      <c r="F770" t="s" s="0">
        <v>16856</v>
      </c>
      <c r="G770" t="s" s="0">
        <v>16857</v>
      </c>
      <c r="H770" t="s" s="0">
        <v>81</v>
      </c>
      <c r="I770" t="s" s="0">
        <v>82</v>
      </c>
      <c r="J770" t="s" s="0">
        <v>16858</v>
      </c>
      <c r="K770" t="s" s="0">
        <v>4785</v>
      </c>
      <c r="L770" t="s" s="0">
        <v>16859</v>
      </c>
      <c r="M770" t="s" s="0">
        <v>16859</v>
      </c>
      <c r="N770" t="s" s="0">
        <v>16860</v>
      </c>
      <c r="O770" t="s" s="0">
        <v>16861</v>
      </c>
      <c r="P770" t="s" s="0">
        <v>16862</v>
      </c>
      <c r="Q770" t="s" s="0">
        <v>87</v>
      </c>
      <c r="R770" t="s" s="0">
        <v>81</v>
      </c>
      <c r="S770" t="s" s="0">
        <v>81</v>
      </c>
      <c r="T770" t="s" s="0">
        <v>81</v>
      </c>
      <c r="U770" t="s" s="0">
        <v>81</v>
      </c>
      <c r="V770" t="s" s="0">
        <v>16863</v>
      </c>
      <c r="W770" t="s" s="0">
        <v>10811</v>
      </c>
      <c r="X770" t="s" s="0">
        <v>81</v>
      </c>
      <c r="Y770" t="s" s="0">
        <v>81</v>
      </c>
      <c r="Z770" t="s" s="0">
        <v>90</v>
      </c>
      <c r="AA770" t="s" s="0">
        <v>91</v>
      </c>
      <c r="AB770" t="s" s="0">
        <v>81</v>
      </c>
      <c r="AC770" t="s" s="0">
        <v>81</v>
      </c>
      <c r="AD770" t="s" s="0">
        <v>81</v>
      </c>
      <c r="AE770" t="s" s="0">
        <v>81</v>
      </c>
      <c r="AF770" t="s" s="0">
        <v>81</v>
      </c>
      <c r="AG770" t="s" s="0">
        <v>16864</v>
      </c>
      <c r="AH770" t="s" s="0">
        <v>16865</v>
      </c>
      <c r="AI770" t="s" s="0">
        <v>16866</v>
      </c>
      <c r="AJ770" t="s" s="0">
        <v>16867</v>
      </c>
      <c r="AK770" t="s" s="0">
        <v>81</v>
      </c>
      <c r="AL770" t="s" s="0">
        <v>1912</v>
      </c>
      <c r="AM770" t="s" s="0">
        <v>316</v>
      </c>
      <c r="AN770" t="s" s="0">
        <v>316</v>
      </c>
      <c r="AO770" t="s" s="0">
        <v>97</v>
      </c>
      <c r="AP770" t="s" s="0">
        <v>175</v>
      </c>
      <c r="AQ770" t="s" s="0">
        <v>212</v>
      </c>
      <c r="AR770" t="s" s="0">
        <v>429</v>
      </c>
      <c r="AS770" t="s" s="0">
        <v>784</v>
      </c>
      <c r="AT770" t="s" s="0">
        <v>10815</v>
      </c>
      <c r="AU770" t="s" s="0">
        <v>10816</v>
      </c>
      <c r="AV770" t="s" s="0">
        <v>81</v>
      </c>
      <c r="AW770" t="s" s="0">
        <v>10817</v>
      </c>
      <c r="AX770" t="s" s="0">
        <v>10818</v>
      </c>
      <c r="AY770" t="s" s="0">
        <v>10606</v>
      </c>
      <c r="AZ770" t="s" s="0">
        <v>290</v>
      </c>
      <c r="BA770" t="s" s="0">
        <v>3518</v>
      </c>
      <c r="BB770" t="s" s="0">
        <v>97</v>
      </c>
      <c r="BC770" t="s" s="0">
        <v>81</v>
      </c>
      <c r="BD770" t="s" s="0">
        <v>81</v>
      </c>
      <c r="BE770" t="s" s="0">
        <v>81</v>
      </c>
      <c r="BF770" t="s" s="0">
        <v>81</v>
      </c>
      <c r="BG770" t="s" s="0">
        <v>81</v>
      </c>
      <c r="BH770" t="s" s="0">
        <v>81</v>
      </c>
      <c r="BI770" t="s" s="0">
        <v>11506</v>
      </c>
      <c r="BJ770" t="s" s="0">
        <v>16868</v>
      </c>
      <c r="BK770" t="s" s="1530">
        <f>HYPERLINK("http://dx.doi.org/10.1007/s00345-025-05551-2","http://dx.doi.org/10.1007/s00345-025-05551-2")</f>
        <v>16869</v>
      </c>
      <c r="BL770" t="s" s="0">
        <v>81</v>
      </c>
      <c r="BM770" t="s" s="0">
        <v>81</v>
      </c>
      <c r="BN770" t="s" s="0">
        <v>381</v>
      </c>
      <c r="BO770" t="s" s="0">
        <v>2334</v>
      </c>
      <c r="BP770" t="s" s="0">
        <v>2334</v>
      </c>
      <c r="BQ770" t="s" s="0">
        <v>16870</v>
      </c>
      <c r="BR770" t="s" s="0">
        <v>16871</v>
      </c>
      <c r="BS770" t="s" s="0">
        <v>16872</v>
      </c>
      <c r="BT770" t="s" s="1531">
        <f>HYPERLINK("https://www.webofscience.com/wos/woscc/full-record/WOS:001488610200004","View Record in Web of Science")</f>
        <v>114</v>
      </c>
      <c r="BU770" t="s" s="0">
        <v>155</v>
      </c>
      <c r="BV770" t="s" s="0">
        <v>81</v>
      </c>
      <c r="BW770" t="s" s="0">
        <v>81</v>
      </c>
      <c r="BX770" t="s" s="0">
        <v>116</v>
      </c>
    </row>
    <row r="771">
      <c r="A771" t="s" s="0">
        <v>77</v>
      </c>
      <c r="B771" t="s" s="0">
        <v>77</v>
      </c>
      <c r="C771" t="s" s="0">
        <v>196</v>
      </c>
      <c r="D771" t="s" s="0">
        <v>77</v>
      </c>
      <c r="E771" t="s" s="0">
        <v>16873</v>
      </c>
      <c r="F771" t="s" s="0">
        <v>16874</v>
      </c>
      <c r="G771" t="s" s="0">
        <v>16875</v>
      </c>
      <c r="H771" t="s" s="0">
        <v>81</v>
      </c>
      <c r="I771" t="s" s="0">
        <v>82</v>
      </c>
      <c r="J771" t="s" s="0">
        <v>16876</v>
      </c>
      <c r="K771" t="s" s="0">
        <v>16877</v>
      </c>
      <c r="L771" t="s" s="0">
        <v>16878</v>
      </c>
      <c r="M771" t="s" s="0">
        <v>16879</v>
      </c>
      <c r="N771" t="s" s="0">
        <v>16880</v>
      </c>
      <c r="O771" t="s" s="0">
        <v>16881</v>
      </c>
      <c r="P771" t="s" s="0">
        <v>16882</v>
      </c>
      <c r="Q771" t="s" s="0">
        <v>87</v>
      </c>
      <c r="R771" t="s" s="0">
        <v>81</v>
      </c>
      <c r="S771" t="s" s="0">
        <v>81</v>
      </c>
      <c r="T771" t="s" s="0">
        <v>81</v>
      </c>
      <c r="U771" t="s" s="0">
        <v>81</v>
      </c>
      <c r="V771" t="s" s="0">
        <v>16883</v>
      </c>
      <c r="W771" t="s" s="0">
        <v>16884</v>
      </c>
      <c r="X771" t="s" s="0">
        <v>81</v>
      </c>
      <c r="Y771" t="s" s="0">
        <v>81</v>
      </c>
      <c r="Z771" t="s" s="0">
        <v>90</v>
      </c>
      <c r="AA771" t="s" s="0">
        <v>91</v>
      </c>
      <c r="AB771" t="s" s="0">
        <v>81</v>
      </c>
      <c r="AC771" t="s" s="0">
        <v>81</v>
      </c>
      <c r="AD771" t="s" s="0">
        <v>81</v>
      </c>
      <c r="AE771" t="s" s="0">
        <v>81</v>
      </c>
      <c r="AF771" t="s" s="0">
        <v>81</v>
      </c>
      <c r="AG771" t="s" s="0">
        <v>16885</v>
      </c>
      <c r="AH771" t="s" s="0">
        <v>81</v>
      </c>
      <c r="AI771" t="s" s="0">
        <v>16886</v>
      </c>
      <c r="AJ771" t="s" s="0">
        <v>16887</v>
      </c>
      <c r="AK771" t="s" s="0">
        <v>81</v>
      </c>
      <c r="AL771" t="s" s="0">
        <v>1684</v>
      </c>
      <c r="AM771" t="s" s="0">
        <v>261</v>
      </c>
      <c r="AN771" t="s" s="0">
        <v>191</v>
      </c>
      <c r="AO771" t="s" s="0">
        <v>97</v>
      </c>
      <c r="AP771" t="s" s="0">
        <v>234</v>
      </c>
      <c r="AQ771" t="s" s="0">
        <v>665</v>
      </c>
      <c r="AR771" t="s" s="0">
        <v>546</v>
      </c>
      <c r="AS771" t="s" s="0">
        <v>666</v>
      </c>
      <c r="AT771" t="s" s="0">
        <v>81</v>
      </c>
      <c r="AU771" t="s" s="0">
        <v>16888</v>
      </c>
      <c r="AV771" t="s" s="0">
        <v>81</v>
      </c>
      <c r="AW771" t="s" s="0">
        <v>16889</v>
      </c>
      <c r="AX771" t="s" s="0">
        <v>16890</v>
      </c>
      <c r="AY771" t="s" s="0">
        <v>6360</v>
      </c>
      <c r="AZ771" t="s" s="0">
        <v>290</v>
      </c>
      <c r="BA771" t="s" s="0">
        <v>109</v>
      </c>
      <c r="BB771" t="s" s="0">
        <v>97</v>
      </c>
      <c r="BC771" t="s" s="0">
        <v>81</v>
      </c>
      <c r="BD771" t="s" s="0">
        <v>81</v>
      </c>
      <c r="BE771" t="s" s="0">
        <v>81</v>
      </c>
      <c r="BF771" t="s" s="0">
        <v>81</v>
      </c>
      <c r="BG771" t="s" s="0">
        <v>81</v>
      </c>
      <c r="BH771" t="s" s="0">
        <v>81</v>
      </c>
      <c r="BI771" t="s" s="0">
        <v>16891</v>
      </c>
      <c r="BJ771" t="s" s="0">
        <v>16892</v>
      </c>
      <c r="BK771" t="s" s="1532">
        <f>HYPERLINK("http://dx.doi.org/10.1186/s12879-025-10811-y","http://dx.doi.org/10.1186/s12879-025-10811-y")</f>
        <v>16893</v>
      </c>
      <c r="BL771" t="s" s="0">
        <v>81</v>
      </c>
      <c r="BM771" t="s" s="0">
        <v>81</v>
      </c>
      <c r="BN771" t="s" s="0">
        <v>485</v>
      </c>
      <c r="BO771" t="s" s="0">
        <v>16894</v>
      </c>
      <c r="BP771" t="s" s="0">
        <v>16894</v>
      </c>
      <c r="BQ771" t="s" s="0">
        <v>16895</v>
      </c>
      <c r="BR771" t="s" s="0">
        <v>16896</v>
      </c>
      <c r="BS771" t="s" s="0">
        <v>16897</v>
      </c>
      <c r="BT771" t="s" s="1533">
        <f>HYPERLINK("https://www.webofscience.com/wos/woscc/full-record/WOS:001451825500004","View Record in Web of Science")</f>
        <v>114</v>
      </c>
      <c r="BU771" t="s" s="0">
        <v>301</v>
      </c>
      <c r="BV771" t="s" s="0">
        <v>81</v>
      </c>
      <c r="BW771" t="s" s="0">
        <v>81</v>
      </c>
      <c r="BX771" t="s" s="0">
        <v>116</v>
      </c>
    </row>
    <row r="772">
      <c r="A772" t="s" s="0">
        <v>175</v>
      </c>
      <c r="B772" t="s" s="0">
        <v>77</v>
      </c>
      <c r="C772" t="s" s="0">
        <v>434</v>
      </c>
      <c r="D772" t="s" s="0">
        <v>77</v>
      </c>
      <c r="E772" t="s" s="0">
        <v>16898</v>
      </c>
      <c r="F772" t="s" s="0">
        <v>16899</v>
      </c>
      <c r="G772" t="s" s="0">
        <v>16900</v>
      </c>
      <c r="H772" t="s" s="0">
        <v>81</v>
      </c>
      <c r="I772" t="s" s="0">
        <v>82</v>
      </c>
      <c r="J772" t="s" s="0">
        <v>16901</v>
      </c>
      <c r="K772" t="s" s="0">
        <v>16902</v>
      </c>
      <c r="L772" t="s" s="0">
        <v>81</v>
      </c>
      <c r="M772" t="s" s="0">
        <v>81</v>
      </c>
      <c r="N772" t="s" s="0">
        <v>81</v>
      </c>
      <c r="O772" t="s" s="0">
        <v>16903</v>
      </c>
      <c r="P772" t="s" s="0">
        <v>16904</v>
      </c>
      <c r="Q772" t="s" s="0">
        <v>87</v>
      </c>
      <c r="R772" t="s" s="0">
        <v>81</v>
      </c>
      <c r="S772" t="s" s="0">
        <v>81</v>
      </c>
      <c r="T772" t="s" s="0">
        <v>81</v>
      </c>
      <c r="U772" t="s" s="0">
        <v>81</v>
      </c>
      <c r="V772" t="s" s="0">
        <v>16905</v>
      </c>
      <c r="W772" t="s" s="0">
        <v>3651</v>
      </c>
      <c r="X772" t="s" s="0">
        <v>81</v>
      </c>
      <c r="Y772" t="s" s="0">
        <v>81</v>
      </c>
      <c r="Z772" t="s" s="0">
        <v>90</v>
      </c>
      <c r="AA772" t="s" s="0">
        <v>91</v>
      </c>
      <c r="AB772" t="s" s="0">
        <v>81</v>
      </c>
      <c r="AC772" t="s" s="0">
        <v>81</v>
      </c>
      <c r="AD772" t="s" s="0">
        <v>81</v>
      </c>
      <c r="AE772" t="s" s="0">
        <v>81</v>
      </c>
      <c r="AF772" t="s" s="0">
        <v>81</v>
      </c>
      <c r="AG772" t="s" s="0">
        <v>16906</v>
      </c>
      <c r="AH772" t="s" s="0">
        <v>16907</v>
      </c>
      <c r="AI772" t="s" s="0">
        <v>16908</v>
      </c>
      <c r="AJ772" t="s" s="0">
        <v>16909</v>
      </c>
      <c r="AK772" t="s" s="0">
        <v>81</v>
      </c>
      <c r="AL772" t="s" s="0">
        <v>542</v>
      </c>
      <c r="AM772" t="s" s="0">
        <v>4006</v>
      </c>
      <c r="AN772" t="s" s="0">
        <v>7254</v>
      </c>
      <c r="AO772" t="s" s="0">
        <v>316</v>
      </c>
      <c r="AP772" t="s" s="0">
        <v>16910</v>
      </c>
      <c r="AQ772" t="s" s="0">
        <v>98</v>
      </c>
      <c r="AR772" t="s" s="0">
        <v>99</v>
      </c>
      <c r="AS772" t="s" s="0">
        <v>100</v>
      </c>
      <c r="AT772" t="s" s="0">
        <v>3655</v>
      </c>
      <c r="AU772" t="s" s="0">
        <v>3656</v>
      </c>
      <c r="AV772" t="s" s="0">
        <v>81</v>
      </c>
      <c r="AW772" t="s" s="0">
        <v>3657</v>
      </c>
      <c r="AX772" t="s" s="0">
        <v>3658</v>
      </c>
      <c r="AY772" t="s" s="0">
        <v>4409</v>
      </c>
      <c r="AZ772" t="s" s="0">
        <v>185</v>
      </c>
      <c r="BA772" t="s" s="0">
        <v>176</v>
      </c>
      <c r="BB772" t="s" s="0">
        <v>196</v>
      </c>
      <c r="BC772" t="s" s="0">
        <v>81</v>
      </c>
      <c r="BD772" t="s" s="0">
        <v>81</v>
      </c>
      <c r="BE772" t="s" s="0">
        <v>81</v>
      </c>
      <c r="BF772" t="s" s="0">
        <v>81</v>
      </c>
      <c r="BG772" t="s" s="0">
        <v>16911</v>
      </c>
      <c r="BH772" t="s" s="0">
        <v>16912</v>
      </c>
      <c r="BI772" t="s" s="0">
        <v>81</v>
      </c>
      <c r="BJ772" t="s" s="0">
        <v>16913</v>
      </c>
      <c r="BK772" t="s" s="1534">
        <f>HYPERLINK("http://dx.doi.org/10.1109/JBHI.2023.3266614","http://dx.doi.org/10.1109/JBHI.2023.3266614")</f>
        <v>16914</v>
      </c>
      <c r="BL772" t="s" s="0">
        <v>81</v>
      </c>
      <c r="BM772" t="s" s="0">
        <v>81</v>
      </c>
      <c r="BN772" t="s" s="0">
        <v>134</v>
      </c>
      <c r="BO772" t="s" s="0">
        <v>3663</v>
      </c>
      <c r="BP772" t="s" s="0">
        <v>3664</v>
      </c>
      <c r="BQ772" t="s" s="0">
        <v>16915</v>
      </c>
      <c r="BR772" t="s" s="0">
        <v>16916</v>
      </c>
      <c r="BS772" t="s" s="0">
        <v>16917</v>
      </c>
      <c r="BT772" t="s" s="1535">
        <f>HYPERLINK("https://www.webofscience.com/wos/woscc/full-record/WOS:001180907300002","View Record in Web of Science")</f>
        <v>114</v>
      </c>
      <c r="BU772" t="s" s="0">
        <v>81</v>
      </c>
      <c r="BV772" t="s" s="0">
        <v>2886</v>
      </c>
      <c r="BW772" t="s" s="0">
        <v>2887</v>
      </c>
      <c r="BX772" t="s" s="0">
        <v>116</v>
      </c>
    </row>
    <row r="773">
      <c r="A773" t="s" s="0">
        <v>77</v>
      </c>
      <c r="B773" t="s" s="0">
        <v>77</v>
      </c>
      <c r="C773" t="s" s="0">
        <v>77</v>
      </c>
      <c r="D773" t="s" s="0">
        <v>77</v>
      </c>
      <c r="E773" t="s" s="0">
        <v>16918</v>
      </c>
      <c r="F773" t="s" s="0">
        <v>16919</v>
      </c>
      <c r="G773" t="s" s="0">
        <v>16920</v>
      </c>
      <c r="H773" t="s" s="0">
        <v>81</v>
      </c>
      <c r="I773" t="s" s="0">
        <v>82</v>
      </c>
      <c r="J773" t="s" s="0">
        <v>16921</v>
      </c>
      <c r="K773" t="s" s="0">
        <v>16922</v>
      </c>
      <c r="L773" t="s" s="0">
        <v>81</v>
      </c>
      <c r="M773" t="s" s="0">
        <v>81</v>
      </c>
      <c r="N773" t="s" s="0">
        <v>81</v>
      </c>
      <c r="O773" t="s" s="0">
        <v>16923</v>
      </c>
      <c r="P773" t="s" s="0">
        <v>16924</v>
      </c>
      <c r="Q773" t="s" s="0">
        <v>87</v>
      </c>
      <c r="R773" t="s" s="0">
        <v>81</v>
      </c>
      <c r="S773" t="s" s="0">
        <v>81</v>
      </c>
      <c r="T773" t="s" s="0">
        <v>81</v>
      </c>
      <c r="U773" t="s" s="0">
        <v>81</v>
      </c>
      <c r="V773" t="s" s="0">
        <v>16925</v>
      </c>
      <c r="W773" t="s" s="0">
        <v>10412</v>
      </c>
      <c r="X773" t="s" s="0">
        <v>81</v>
      </c>
      <c r="Y773" t="s" s="0">
        <v>81</v>
      </c>
      <c r="Z773" t="s" s="0">
        <v>90</v>
      </c>
      <c r="AA773" t="s" s="0">
        <v>91</v>
      </c>
      <c r="AB773" t="s" s="0">
        <v>81</v>
      </c>
      <c r="AC773" t="s" s="0">
        <v>81</v>
      </c>
      <c r="AD773" t="s" s="0">
        <v>81</v>
      </c>
      <c r="AE773" t="s" s="0">
        <v>81</v>
      </c>
      <c r="AF773" t="s" s="0">
        <v>81</v>
      </c>
      <c r="AG773" t="s" s="0">
        <v>16926</v>
      </c>
      <c r="AH773" t="s" s="0">
        <v>81</v>
      </c>
      <c r="AI773" t="s" s="0">
        <v>16927</v>
      </c>
      <c r="AJ773" t="s" s="0">
        <v>81</v>
      </c>
      <c r="AK773" t="s" s="0">
        <v>81</v>
      </c>
      <c r="AL773" t="s" s="0">
        <v>671</v>
      </c>
      <c r="AM773" t="s" s="0">
        <v>77</v>
      </c>
      <c r="AN773" t="s" s="0">
        <v>77</v>
      </c>
      <c r="AO773" t="s" s="0">
        <v>77</v>
      </c>
      <c r="AP773" t="s" s="0">
        <v>77</v>
      </c>
      <c r="AQ773" t="s" s="0">
        <v>368</v>
      </c>
      <c r="AR773" t="s" s="0">
        <v>369</v>
      </c>
      <c r="AS773" t="s" s="0">
        <v>370</v>
      </c>
      <c r="AT773" t="s" s="0">
        <v>10416</v>
      </c>
      <c r="AU773" t="s" s="0">
        <v>81</v>
      </c>
      <c r="AV773" t="s" s="0">
        <v>81</v>
      </c>
      <c r="AW773" t="s" s="0">
        <v>10417</v>
      </c>
      <c r="AX773" t="s" s="0">
        <v>10418</v>
      </c>
      <c r="AY773" t="s" s="0">
        <v>11080</v>
      </c>
      <c r="AZ773" t="s" s="0">
        <v>103</v>
      </c>
      <c r="BA773" t="s" s="0">
        <v>925</v>
      </c>
      <c r="BB773" t="s" s="0">
        <v>81</v>
      </c>
      <c r="BC773" t="s" s="0">
        <v>81</v>
      </c>
      <c r="BD773" t="s" s="0">
        <v>81</v>
      </c>
      <c r="BE773" t="s" s="0">
        <v>81</v>
      </c>
      <c r="BF773" t="s" s="0">
        <v>81</v>
      </c>
      <c r="BG773" t="s" s="0">
        <v>81</v>
      </c>
      <c r="BH773" t="s" s="0">
        <v>81</v>
      </c>
      <c r="BI773" t="s" s="0">
        <v>16928</v>
      </c>
      <c r="BJ773" t="s" s="0">
        <v>16929</v>
      </c>
      <c r="BK773" t="s" s="1536">
        <f>HYPERLINK("http://dx.doi.org/10.3389/fonc.2026.1759001","http://dx.doi.org/10.3389/fonc.2026.1759001")</f>
        <v>16930</v>
      </c>
      <c r="BL773" t="s" s="0">
        <v>81</v>
      </c>
      <c r="BM773" t="s" s="0">
        <v>675</v>
      </c>
      <c r="BN773" t="s" s="0">
        <v>874</v>
      </c>
      <c r="BO773" t="s" s="0">
        <v>1380</v>
      </c>
      <c r="BP773" t="s" s="0">
        <v>1380</v>
      </c>
      <c r="BQ773" t="s" s="0">
        <v>16931</v>
      </c>
      <c r="BR773" t="s" s="0">
        <v>16932</v>
      </c>
      <c r="BS773" t="s" s="0">
        <v>16933</v>
      </c>
      <c r="BT773" t="s" s="1537">
        <f>HYPERLINK("https://www.webofscience.com/wos/woscc/full-record/WOS:001780341700001","View Record in Web of Science")</f>
        <v>114</v>
      </c>
      <c r="BU773" t="s" s="0">
        <v>301</v>
      </c>
      <c r="BV773" t="s" s="0">
        <v>81</v>
      </c>
      <c r="BW773" t="s" s="0">
        <v>81</v>
      </c>
      <c r="BX773" t="s" s="0">
        <v>116</v>
      </c>
    </row>
    <row r="774">
      <c r="A774" t="s" s="0">
        <v>77</v>
      </c>
      <c r="B774" t="s" s="0">
        <v>77</v>
      </c>
      <c r="C774" t="s" s="0">
        <v>77</v>
      </c>
      <c r="D774" t="s" s="0">
        <v>77</v>
      </c>
      <c r="E774" t="s" s="0">
        <v>16934</v>
      </c>
      <c r="F774" t="s" s="0">
        <v>16935</v>
      </c>
      <c r="G774" t="s" s="0">
        <v>16936</v>
      </c>
      <c r="H774" t="s" s="0">
        <v>81</v>
      </c>
      <c r="I774" t="s" s="0">
        <v>528</v>
      </c>
      <c r="J774" t="s" s="0">
        <v>16937</v>
      </c>
      <c r="K774" t="s" s="0">
        <v>16938</v>
      </c>
      <c r="L774" t="s" s="0">
        <v>16939</v>
      </c>
      <c r="M774" t="s" s="0">
        <v>16940</v>
      </c>
      <c r="N774" t="s" s="0">
        <v>16941</v>
      </c>
      <c r="O774" t="s" s="0">
        <v>16942</v>
      </c>
      <c r="P774" t="s" s="0">
        <v>16943</v>
      </c>
      <c r="Q774" t="s" s="0">
        <v>87</v>
      </c>
      <c r="R774" t="s" s="0">
        <v>81</v>
      </c>
      <c r="S774" t="s" s="0">
        <v>81</v>
      </c>
      <c r="T774" t="s" s="0">
        <v>81</v>
      </c>
      <c r="U774" t="s" s="0">
        <v>81</v>
      </c>
      <c r="V774" t="s" s="0">
        <v>16944</v>
      </c>
      <c r="W774" t="s" s="0">
        <v>9822</v>
      </c>
      <c r="X774" t="s" s="0">
        <v>81</v>
      </c>
      <c r="Y774" t="s" s="0">
        <v>81</v>
      </c>
      <c r="Z774" t="s" s="0">
        <v>90</v>
      </c>
      <c r="AA774" t="s" s="0">
        <v>91</v>
      </c>
      <c r="AB774" t="s" s="0">
        <v>81</v>
      </c>
      <c r="AC774" t="s" s="0">
        <v>81</v>
      </c>
      <c r="AD774" t="s" s="0">
        <v>81</v>
      </c>
      <c r="AE774" t="s" s="0">
        <v>81</v>
      </c>
      <c r="AF774" t="s" s="0">
        <v>81</v>
      </c>
      <c r="AG774" t="s" s="0">
        <v>16945</v>
      </c>
      <c r="AH774" t="s" s="0">
        <v>16946</v>
      </c>
      <c r="AI774" t="s" s="0">
        <v>16947</v>
      </c>
      <c r="AJ774" t="s" s="0">
        <v>16948</v>
      </c>
      <c r="AK774" t="s" s="0">
        <v>81</v>
      </c>
      <c r="AL774" t="s" s="0">
        <v>173</v>
      </c>
      <c r="AM774" t="s" s="0">
        <v>175</v>
      </c>
      <c r="AN774" t="s" s="0">
        <v>175</v>
      </c>
      <c r="AO774" t="s" s="0">
        <v>196</v>
      </c>
      <c r="AP774" t="s" s="0">
        <v>261</v>
      </c>
      <c r="AQ774" t="s" s="0">
        <v>9827</v>
      </c>
      <c r="AR774" t="s" s="0">
        <v>546</v>
      </c>
      <c r="AS774" t="s" s="0">
        <v>9828</v>
      </c>
      <c r="AT774" t="s" s="0">
        <v>9829</v>
      </c>
      <c r="AU774" t="s" s="0">
        <v>81</v>
      </c>
      <c r="AV774" t="s" s="0">
        <v>81</v>
      </c>
      <c r="AW774" t="s" s="0">
        <v>9830</v>
      </c>
      <c r="AX774" t="s" s="0">
        <v>9831</v>
      </c>
      <c r="AY774" t="s" s="0">
        <v>290</v>
      </c>
      <c r="AZ774" t="s" s="0">
        <v>290</v>
      </c>
      <c r="BA774" t="s" s="0">
        <v>191</v>
      </c>
      <c r="BB774" t="s" s="0">
        <v>81</v>
      </c>
      <c r="BC774" t="s" s="0">
        <v>81</v>
      </c>
      <c r="BD774" t="s" s="0">
        <v>81</v>
      </c>
      <c r="BE774" t="s" s="0">
        <v>81</v>
      </c>
      <c r="BF774" t="s" s="0">
        <v>81</v>
      </c>
      <c r="BG774" t="s" s="0">
        <v>81</v>
      </c>
      <c r="BH774" t="s" s="0">
        <v>81</v>
      </c>
      <c r="BI774" t="s" s="0">
        <v>16949</v>
      </c>
      <c r="BJ774" t="s" s="0">
        <v>16950</v>
      </c>
      <c r="BK774" t="s" s="1538">
        <f>HYPERLINK("http://dx.doi.org/10.1177/20552076251386706","http://dx.doi.org/10.1177/20552076251386706")</f>
        <v>16951</v>
      </c>
      <c r="BL774" t="s" s="0">
        <v>81</v>
      </c>
      <c r="BM774" t="s" s="0">
        <v>81</v>
      </c>
      <c r="BN774" t="s" s="0">
        <v>191</v>
      </c>
      <c r="BO774" t="s" s="0">
        <v>9835</v>
      </c>
      <c r="BP774" t="s" s="0">
        <v>9836</v>
      </c>
      <c r="BQ774" t="s" s="0">
        <v>16952</v>
      </c>
      <c r="BR774" t="s" s="0">
        <v>16953</v>
      </c>
      <c r="BS774" t="s" s="0">
        <v>16954</v>
      </c>
      <c r="BT774" t="s" s="1539">
        <f>HYPERLINK("https://www.webofscience.com/wos/woscc/full-record/WOS:001625692000001","View Record in Web of Science")</f>
        <v>114</v>
      </c>
      <c r="BU774" t="s" s="0">
        <v>301</v>
      </c>
      <c r="BV774" t="s" s="0">
        <v>81</v>
      </c>
      <c r="BW774" t="s" s="0">
        <v>81</v>
      </c>
      <c r="BX774" t="s" s="0">
        <v>116</v>
      </c>
    </row>
    <row r="775">
      <c r="A775" t="s" s="0">
        <v>77</v>
      </c>
      <c r="B775" t="s" s="0">
        <v>77</v>
      </c>
      <c r="C775" t="s" s="0">
        <v>77</v>
      </c>
      <c r="D775" t="s" s="0">
        <v>77</v>
      </c>
      <c r="E775" t="s" s="0">
        <v>16955</v>
      </c>
      <c r="F775" t="s" s="0">
        <v>16956</v>
      </c>
      <c r="G775" t="s" s="0">
        <v>16957</v>
      </c>
      <c r="H775" t="s" s="0">
        <v>81</v>
      </c>
      <c r="I775" t="s" s="0">
        <v>82</v>
      </c>
      <c r="J775" t="s" s="0">
        <v>16958</v>
      </c>
      <c r="K775" t="s" s="0">
        <v>16959</v>
      </c>
      <c r="L775" t="s" s="0">
        <v>16960</v>
      </c>
      <c r="M775" t="s" s="0">
        <v>16961</v>
      </c>
      <c r="N775" t="s" s="0">
        <v>16962</v>
      </c>
      <c r="O775" t="s" s="0">
        <v>16963</v>
      </c>
      <c r="P775" t="s" s="0">
        <v>16964</v>
      </c>
      <c r="Q775" t="s" s="0">
        <v>87</v>
      </c>
      <c r="R775" t="s" s="0">
        <v>81</v>
      </c>
      <c r="S775" t="s" s="0">
        <v>81</v>
      </c>
      <c r="T775" t="s" s="0">
        <v>81</v>
      </c>
      <c r="U775" t="s" s="0">
        <v>81</v>
      </c>
      <c r="V775" t="s" s="0">
        <v>16965</v>
      </c>
      <c r="W775" t="s" s="0">
        <v>1855</v>
      </c>
      <c r="X775" t="s" s="0">
        <v>81</v>
      </c>
      <c r="Y775" t="s" s="0">
        <v>81</v>
      </c>
      <c r="Z775" t="s" s="0">
        <v>90</v>
      </c>
      <c r="AA775" t="s" s="0">
        <v>91</v>
      </c>
      <c r="AB775" t="s" s="0">
        <v>81</v>
      </c>
      <c r="AC775" t="s" s="0">
        <v>81</v>
      </c>
      <c r="AD775" t="s" s="0">
        <v>81</v>
      </c>
      <c r="AE775" t="s" s="0">
        <v>81</v>
      </c>
      <c r="AF775" t="s" s="0">
        <v>81</v>
      </c>
      <c r="AG775" t="s" s="0">
        <v>16966</v>
      </c>
      <c r="AH775" t="s" s="0">
        <v>81</v>
      </c>
      <c r="AI775" t="s" s="0">
        <v>16967</v>
      </c>
      <c r="AJ775" t="s" s="0">
        <v>16968</v>
      </c>
      <c r="AK775" t="s" s="0">
        <v>81</v>
      </c>
      <c r="AL775" t="s" s="0">
        <v>543</v>
      </c>
      <c r="AM775" t="s" s="0">
        <v>77</v>
      </c>
      <c r="AN775" t="s" s="0">
        <v>77</v>
      </c>
      <c r="AO775" t="s" s="0">
        <v>77</v>
      </c>
      <c r="AP775" t="s" s="0">
        <v>77</v>
      </c>
      <c r="AQ775" t="s" s="0">
        <v>136</v>
      </c>
      <c r="AR775" t="s" s="0">
        <v>137</v>
      </c>
      <c r="AS775" t="s" s="0">
        <v>138</v>
      </c>
      <c r="AT775" t="s" s="0">
        <v>1860</v>
      </c>
      <c r="AU775" t="s" s="0">
        <v>1861</v>
      </c>
      <c r="AV775" t="s" s="0">
        <v>81</v>
      </c>
      <c r="AW775" t="s" s="0">
        <v>1862</v>
      </c>
      <c r="AX775" t="s" s="0">
        <v>1863</v>
      </c>
      <c r="AY775" t="s" s="0">
        <v>11688</v>
      </c>
      <c r="AZ775" t="s" s="0">
        <v>290</v>
      </c>
      <c r="BA775" t="s" s="0">
        <v>16969</v>
      </c>
      <c r="BB775" t="s" s="0">
        <v>81</v>
      </c>
      <c r="BC775" t="s" s="0">
        <v>81</v>
      </c>
      <c r="BD775" t="s" s="0">
        <v>16970</v>
      </c>
      <c r="BE775" t="s" s="0">
        <v>81</v>
      </c>
      <c r="BF775" t="s" s="0">
        <v>81</v>
      </c>
      <c r="BG775" t="s" s="0">
        <v>81</v>
      </c>
      <c r="BH775" t="s" s="0">
        <v>81</v>
      </c>
      <c r="BI775" t="s" s="0">
        <v>16971</v>
      </c>
      <c r="BJ775" t="s" s="0">
        <v>16972</v>
      </c>
      <c r="BK775" t="s" s="1540">
        <f>HYPERLINK("http://dx.doi.org/10.1016/j.knosys.2025.114711","http://dx.doi.org/10.1016/j.knosys.2025.114711")</f>
        <v>16973</v>
      </c>
      <c r="BL775" t="s" s="0">
        <v>81</v>
      </c>
      <c r="BM775" t="s" s="0">
        <v>1743</v>
      </c>
      <c r="BN775" t="s" s="0">
        <v>210</v>
      </c>
      <c r="BO775" t="s" s="0">
        <v>409</v>
      </c>
      <c r="BP775" t="s" s="0">
        <v>152</v>
      </c>
      <c r="BQ775" t="s" s="0">
        <v>16974</v>
      </c>
      <c r="BR775" t="s" s="0">
        <v>81</v>
      </c>
      <c r="BS775" t="s" s="0">
        <v>16975</v>
      </c>
      <c r="BT775" t="s" s="1541">
        <f>HYPERLINK("https://www.webofscience.com/wos/woscc/full-record/WOS:001614218600002","View Record in Web of Science")</f>
        <v>114</v>
      </c>
      <c r="BU775" t="s" s="0">
        <v>155</v>
      </c>
      <c r="BV775" t="s" s="0">
        <v>81</v>
      </c>
      <c r="BW775" t="s" s="0">
        <v>81</v>
      </c>
      <c r="BX775" t="s" s="0">
        <v>116</v>
      </c>
    </row>
    <row r="776">
      <c r="A776" t="s" s="0">
        <v>77</v>
      </c>
      <c r="B776" t="s" s="0">
        <v>77</v>
      </c>
      <c r="C776" t="s" s="0">
        <v>77</v>
      </c>
      <c r="D776" t="s" s="0">
        <v>77</v>
      </c>
      <c r="E776" t="s" s="0">
        <v>16976</v>
      </c>
      <c r="F776" t="s" s="0">
        <v>16977</v>
      </c>
      <c r="G776" t="s" s="0">
        <v>16978</v>
      </c>
      <c r="H776" t="s" s="0">
        <v>81</v>
      </c>
      <c r="I776" t="s" s="0">
        <v>82</v>
      </c>
      <c r="J776" t="s" s="0">
        <v>16979</v>
      </c>
      <c r="K776" t="s" s="0">
        <v>16980</v>
      </c>
      <c r="L776" t="s" s="0">
        <v>16981</v>
      </c>
      <c r="M776" t="s" s="0">
        <v>16982</v>
      </c>
      <c r="N776" t="s" s="0">
        <v>16983</v>
      </c>
      <c r="O776" t="s" s="0">
        <v>16984</v>
      </c>
      <c r="P776" t="s" s="0">
        <v>16985</v>
      </c>
      <c r="Q776" t="s" s="0">
        <v>87</v>
      </c>
      <c r="R776" t="s" s="0">
        <v>81</v>
      </c>
      <c r="S776" t="s" s="0">
        <v>81</v>
      </c>
      <c r="T776" t="s" s="0">
        <v>81</v>
      </c>
      <c r="U776" t="s" s="0">
        <v>81</v>
      </c>
      <c r="V776" t="s" s="0">
        <v>16986</v>
      </c>
      <c r="W776" t="s" s="0">
        <v>4424</v>
      </c>
      <c r="X776" t="s" s="0">
        <v>81</v>
      </c>
      <c r="Y776" t="s" s="0">
        <v>81</v>
      </c>
      <c r="Z776" t="s" s="0">
        <v>90</v>
      </c>
      <c r="AA776" t="s" s="0">
        <v>91</v>
      </c>
      <c r="AB776" t="s" s="0">
        <v>81</v>
      </c>
      <c r="AC776" t="s" s="0">
        <v>81</v>
      </c>
      <c r="AD776" t="s" s="0">
        <v>81</v>
      </c>
      <c r="AE776" t="s" s="0">
        <v>81</v>
      </c>
      <c r="AF776" t="s" s="0">
        <v>81</v>
      </c>
      <c r="AG776" t="s" s="0">
        <v>81</v>
      </c>
      <c r="AH776" t="s" s="0">
        <v>81</v>
      </c>
      <c r="AI776" t="s" s="0">
        <v>16987</v>
      </c>
      <c r="AJ776" t="s" s="0">
        <v>16988</v>
      </c>
      <c r="AK776" t="s" s="0">
        <v>81</v>
      </c>
      <c r="AL776" t="s" s="0">
        <v>174</v>
      </c>
      <c r="AM776" t="s" s="0">
        <v>77</v>
      </c>
      <c r="AN776" t="s" s="0">
        <v>77</v>
      </c>
      <c r="AO776" t="s" s="0">
        <v>97</v>
      </c>
      <c r="AP776" t="s" s="0">
        <v>97</v>
      </c>
      <c r="AQ776" t="s" s="0">
        <v>915</v>
      </c>
      <c r="AR776" t="s" s="0">
        <v>916</v>
      </c>
      <c r="AS776" t="s" s="0">
        <v>917</v>
      </c>
      <c r="AT776" t="s" s="0">
        <v>4426</v>
      </c>
      <c r="AU776" t="s" s="0">
        <v>81</v>
      </c>
      <c r="AV776" t="s" s="0">
        <v>81</v>
      </c>
      <c r="AW776" t="s" s="0">
        <v>4427</v>
      </c>
      <c r="AX776" t="s" s="0">
        <v>4428</v>
      </c>
      <c r="AY776" t="s" s="0">
        <v>1322</v>
      </c>
      <c r="AZ776" t="s" s="0">
        <v>103</v>
      </c>
      <c r="BA776" t="s" s="0">
        <v>261</v>
      </c>
      <c r="BB776" t="s" s="0">
        <v>97</v>
      </c>
      <c r="BC776" t="s" s="0">
        <v>81</v>
      </c>
      <c r="BD776" t="s" s="0">
        <v>81</v>
      </c>
      <c r="BE776" t="s" s="0">
        <v>81</v>
      </c>
      <c r="BF776" t="s" s="0">
        <v>81</v>
      </c>
      <c r="BG776" t="s" s="0">
        <v>81</v>
      </c>
      <c r="BH776" t="s" s="0">
        <v>81</v>
      </c>
      <c r="BI776" t="s" s="0">
        <v>11506</v>
      </c>
      <c r="BJ776" t="s" s="0">
        <v>16989</v>
      </c>
      <c r="BK776" t="s" s="1542">
        <f>HYPERLINK("http://dx.doi.org/10.1038/s41746-026-02483-y","http://dx.doi.org/10.1038/s41746-026-02483-y")</f>
        <v>16990</v>
      </c>
      <c r="BL776" t="s" s="0">
        <v>81</v>
      </c>
      <c r="BM776" t="s" s="0">
        <v>2108</v>
      </c>
      <c r="BN776" t="s" s="0">
        <v>211</v>
      </c>
      <c r="BO776" t="s" s="0">
        <v>792</v>
      </c>
      <c r="BP776" t="s" s="0">
        <v>792</v>
      </c>
      <c r="BQ776" t="s" s="0">
        <v>16991</v>
      </c>
      <c r="BR776" t="s" s="0">
        <v>16992</v>
      </c>
      <c r="BS776" t="s" s="0">
        <v>16993</v>
      </c>
      <c r="BT776" t="s" s="1543">
        <f>HYPERLINK("https://www.webofscience.com/wos/woscc/full-record/WOS:001737459200005","View Record in Web of Science")</f>
        <v>114</v>
      </c>
      <c r="BU776" t="s" s="0">
        <v>301</v>
      </c>
      <c r="BV776" t="s" s="0">
        <v>81</v>
      </c>
      <c r="BW776" t="s" s="0">
        <v>81</v>
      </c>
      <c r="BX776" t="s" s="0">
        <v>116</v>
      </c>
    </row>
    <row r="777">
      <c r="A777" t="s" s="0">
        <v>77</v>
      </c>
      <c r="B777" t="s" s="0">
        <v>77</v>
      </c>
      <c r="C777" t="s" s="0">
        <v>97</v>
      </c>
      <c r="D777" t="s" s="0">
        <v>77</v>
      </c>
      <c r="E777" t="s" s="0">
        <v>16994</v>
      </c>
      <c r="F777" t="s" s="0">
        <v>16995</v>
      </c>
      <c r="G777" t="s" s="0">
        <v>16996</v>
      </c>
      <c r="H777" t="s" s="0">
        <v>81</v>
      </c>
      <c r="I777" t="s" s="0">
        <v>82</v>
      </c>
      <c r="J777" t="s" s="0">
        <v>16997</v>
      </c>
      <c r="K777" t="s" s="0">
        <v>16998</v>
      </c>
      <c r="L777" t="s" s="0">
        <v>16999</v>
      </c>
      <c r="M777" t="s" s="0">
        <v>1221</v>
      </c>
      <c r="N777" t="s" s="0">
        <v>17000</v>
      </c>
      <c r="O777" t="s" s="0">
        <v>17001</v>
      </c>
      <c r="P777" t="s" s="0">
        <v>17002</v>
      </c>
      <c r="Q777" t="s" s="0">
        <v>87</v>
      </c>
      <c r="R777" t="s" s="0">
        <v>81</v>
      </c>
      <c r="S777" t="s" s="0">
        <v>81</v>
      </c>
      <c r="T777" t="s" s="0">
        <v>81</v>
      </c>
      <c r="U777" t="s" s="0">
        <v>81</v>
      </c>
      <c r="V777" t="s" s="0">
        <v>17003</v>
      </c>
      <c r="W777" t="s" s="0">
        <v>17004</v>
      </c>
      <c r="X777" t="s" s="0">
        <v>81</v>
      </c>
      <c r="Y777" t="s" s="0">
        <v>81</v>
      </c>
      <c r="Z777" t="s" s="0">
        <v>90</v>
      </c>
      <c r="AA777" t="s" s="0">
        <v>91</v>
      </c>
      <c r="AB777" t="s" s="0">
        <v>81</v>
      </c>
      <c r="AC777" t="s" s="0">
        <v>81</v>
      </c>
      <c r="AD777" t="s" s="0">
        <v>81</v>
      </c>
      <c r="AE777" t="s" s="0">
        <v>81</v>
      </c>
      <c r="AF777" t="s" s="0">
        <v>81</v>
      </c>
      <c r="AG777" t="s" s="0">
        <v>17005</v>
      </c>
      <c r="AH777" t="s" s="0">
        <v>17006</v>
      </c>
      <c r="AI777" t="s" s="0">
        <v>17007</v>
      </c>
      <c r="AJ777" t="s" s="0">
        <v>81</v>
      </c>
      <c r="AK777" t="s" s="0">
        <v>81</v>
      </c>
      <c r="AL777" t="s" s="0">
        <v>251</v>
      </c>
      <c r="AM777" t="s" s="0">
        <v>175</v>
      </c>
      <c r="AN777" t="s" s="0">
        <v>316</v>
      </c>
      <c r="AO777" t="s" s="0">
        <v>97</v>
      </c>
      <c r="AP777" t="s" s="0">
        <v>133</v>
      </c>
      <c r="AQ777" t="s" s="0">
        <v>368</v>
      </c>
      <c r="AR777" t="s" s="0">
        <v>369</v>
      </c>
      <c r="AS777" t="s" s="0">
        <v>370</v>
      </c>
      <c r="AT777" t="s" s="0">
        <v>81</v>
      </c>
      <c r="AU777" t="s" s="0">
        <v>17008</v>
      </c>
      <c r="AV777" t="s" s="0">
        <v>81</v>
      </c>
      <c r="AW777" t="s" s="0">
        <v>17009</v>
      </c>
      <c r="AX777" t="s" s="0">
        <v>17010</v>
      </c>
      <c r="AY777" t="s" s="0">
        <v>17011</v>
      </c>
      <c r="AZ777" t="s" s="0">
        <v>290</v>
      </c>
      <c r="BA777" t="s" s="0">
        <v>925</v>
      </c>
      <c r="BB777" t="s" s="0">
        <v>81</v>
      </c>
      <c r="BC777" t="s" s="0">
        <v>81</v>
      </c>
      <c r="BD777" t="s" s="0">
        <v>81</v>
      </c>
      <c r="BE777" t="s" s="0">
        <v>81</v>
      </c>
      <c r="BF777" t="s" s="0">
        <v>81</v>
      </c>
      <c r="BG777" t="s" s="0">
        <v>81</v>
      </c>
      <c r="BH777" t="s" s="0">
        <v>81</v>
      </c>
      <c r="BI777" t="s" s="0">
        <v>17012</v>
      </c>
      <c r="BJ777" t="s" s="0">
        <v>17013</v>
      </c>
      <c r="BK777" t="s" s="1544">
        <f>HYPERLINK("http://dx.doi.org/10.3389/fphys.2025.1542240","http://dx.doi.org/10.3389/fphys.2025.1542240")</f>
        <v>17014</v>
      </c>
      <c r="BL777" t="s" s="0">
        <v>81</v>
      </c>
      <c r="BM777" t="s" s="0">
        <v>81</v>
      </c>
      <c r="BN777" t="s" s="0">
        <v>925</v>
      </c>
      <c r="BO777" t="s" s="0">
        <v>17015</v>
      </c>
      <c r="BP777" t="s" s="0">
        <v>17015</v>
      </c>
      <c r="BQ777" t="s" s="0">
        <v>17016</v>
      </c>
      <c r="BR777" t="s" s="0">
        <v>17017</v>
      </c>
      <c r="BS777" t="s" s="0">
        <v>17018</v>
      </c>
      <c r="BT777" t="s" s="1545">
        <f>HYPERLINK("https://www.webofscience.com/wos/woscc/full-record/WOS:001436832100001","View Record in Web of Science")</f>
        <v>114</v>
      </c>
      <c r="BU777" t="s" s="0">
        <v>301</v>
      </c>
      <c r="BV777" t="s" s="0">
        <v>81</v>
      </c>
      <c r="BW777" t="s" s="0">
        <v>81</v>
      </c>
      <c r="BX777" t="s" s="0">
        <v>116</v>
      </c>
    </row>
    <row r="778">
      <c r="A778" t="s" s="0">
        <v>77</v>
      </c>
      <c r="B778" t="s" s="0">
        <v>77</v>
      </c>
      <c r="C778" t="s" s="0">
        <v>77</v>
      </c>
      <c r="D778" t="s" s="0">
        <v>77</v>
      </c>
      <c r="E778" t="s" s="0">
        <v>17019</v>
      </c>
      <c r="F778" t="s" s="0">
        <v>17020</v>
      </c>
      <c r="G778" t="s" s="0">
        <v>17021</v>
      </c>
      <c r="H778" t="s" s="0">
        <v>81</v>
      </c>
      <c r="I778" t="s" s="0">
        <v>238</v>
      </c>
      <c r="J778" t="s" s="0">
        <v>17022</v>
      </c>
      <c r="K778" t="s" s="0">
        <v>17023</v>
      </c>
      <c r="L778" t="s" s="0">
        <v>81</v>
      </c>
      <c r="M778" t="s" s="0">
        <v>81</v>
      </c>
      <c r="N778" t="s" s="0">
        <v>81</v>
      </c>
      <c r="O778" t="s" s="0">
        <v>17024</v>
      </c>
      <c r="P778" t="s" s="0">
        <v>17025</v>
      </c>
      <c r="Q778" t="s" s="0">
        <v>87</v>
      </c>
      <c r="R778" t="s" s="0">
        <v>81</v>
      </c>
      <c r="S778" t="s" s="0">
        <v>81</v>
      </c>
      <c r="T778" t="s" s="0">
        <v>81</v>
      </c>
      <c r="U778" t="s" s="0">
        <v>81</v>
      </c>
      <c r="V778" t="s" s="0">
        <v>17026</v>
      </c>
      <c r="W778" t="s" s="0">
        <v>17027</v>
      </c>
      <c r="X778" t="s" s="0">
        <v>81</v>
      </c>
      <c r="Y778" t="s" s="0">
        <v>81</v>
      </c>
      <c r="Z778" t="s" s="0">
        <v>90</v>
      </c>
      <c r="AA778" t="s" s="0">
        <v>91</v>
      </c>
      <c r="AB778" t="s" s="0">
        <v>81</v>
      </c>
      <c r="AC778" t="s" s="0">
        <v>81</v>
      </c>
      <c r="AD778" t="s" s="0">
        <v>81</v>
      </c>
      <c r="AE778" t="s" s="0">
        <v>81</v>
      </c>
      <c r="AF778" t="s" s="0">
        <v>81</v>
      </c>
      <c r="AG778" t="s" s="0">
        <v>17028</v>
      </c>
      <c r="AH778" t="s" s="0">
        <v>17029</v>
      </c>
      <c r="AI778" t="s" s="0">
        <v>17030</v>
      </c>
      <c r="AJ778" t="s" s="0">
        <v>17031</v>
      </c>
      <c r="AK778" t="s" s="0">
        <v>81</v>
      </c>
      <c r="AL778" t="s" s="0">
        <v>3786</v>
      </c>
      <c r="AM778" t="s" s="0">
        <v>156</v>
      </c>
      <c r="AN778" t="s" s="0">
        <v>196</v>
      </c>
      <c r="AO778" t="s" s="0">
        <v>175</v>
      </c>
      <c r="AP778" t="s" s="0">
        <v>175</v>
      </c>
      <c r="AQ778" t="s" s="0">
        <v>136</v>
      </c>
      <c r="AR778" t="s" s="0">
        <v>137</v>
      </c>
      <c r="AS778" t="s" s="0">
        <v>138</v>
      </c>
      <c r="AT778" t="s" s="0">
        <v>81</v>
      </c>
      <c r="AU778" t="s" s="0">
        <v>17032</v>
      </c>
      <c r="AV778" t="s" s="0">
        <v>81</v>
      </c>
      <c r="AW778" t="s" s="0">
        <v>17033</v>
      </c>
      <c r="AX778" t="s" s="0">
        <v>17034</v>
      </c>
      <c r="AY778" t="s" s="0">
        <v>2301</v>
      </c>
      <c r="AZ778" t="s" s="0">
        <v>103</v>
      </c>
      <c r="BA778" t="s" s="0">
        <v>211</v>
      </c>
      <c r="BB778" t="s" s="0">
        <v>196</v>
      </c>
      <c r="BC778" t="s" s="0">
        <v>81</v>
      </c>
      <c r="BD778" t="s" s="0">
        <v>81</v>
      </c>
      <c r="BE778" t="s" s="0">
        <v>81</v>
      </c>
      <c r="BF778" t="s" s="0">
        <v>81</v>
      </c>
      <c r="BG778" t="s" s="0">
        <v>81</v>
      </c>
      <c r="BH778" t="s" s="0">
        <v>81</v>
      </c>
      <c r="BI778" t="s" s="0">
        <v>17035</v>
      </c>
      <c r="BJ778" t="s" s="0">
        <v>17036</v>
      </c>
      <c r="BK778" t="s" s="1546">
        <f>HYPERLINK("http://dx.doi.org/10.1016/j.dim.2026.100122","http://dx.doi.org/10.1016/j.dim.2026.100122")</f>
        <v>17037</v>
      </c>
      <c r="BL778" t="s" s="0">
        <v>81</v>
      </c>
      <c r="BM778" t="s" s="0">
        <v>81</v>
      </c>
      <c r="BN778" t="s" s="0">
        <v>104</v>
      </c>
      <c r="BO778" t="s" s="0">
        <v>8153</v>
      </c>
      <c r="BP778" t="s" s="0">
        <v>8153</v>
      </c>
      <c r="BQ778" t="s" s="0">
        <v>17038</v>
      </c>
      <c r="BR778" t="s" s="0">
        <v>81</v>
      </c>
      <c r="BS778" t="s" s="0">
        <v>17039</v>
      </c>
      <c r="BT778" t="s" s="1547">
        <f>HYPERLINK("https://www.webofscience.com/wos/woscc/full-record/WOS:001710568800001","View Record in Web of Science")</f>
        <v>114</v>
      </c>
      <c r="BU778" t="s" s="0">
        <v>115</v>
      </c>
      <c r="BV778" t="s" s="0">
        <v>81</v>
      </c>
      <c r="BW778" t="s" s="0">
        <v>81</v>
      </c>
      <c r="BX778" t="s" s="0">
        <v>116</v>
      </c>
    </row>
    <row r="779">
      <c r="A779" t="s" s="0">
        <v>77</v>
      </c>
      <c r="B779" t="s" s="0">
        <v>77</v>
      </c>
      <c r="C779" t="s" s="0">
        <v>77</v>
      </c>
      <c r="D779" t="s" s="0">
        <v>77</v>
      </c>
      <c r="E779" t="s" s="0">
        <v>17040</v>
      </c>
      <c r="F779" t="s" s="0">
        <v>17041</v>
      </c>
      <c r="G779" t="s" s="0">
        <v>17042</v>
      </c>
      <c r="H779" t="s" s="0">
        <v>81</v>
      </c>
      <c r="I779" t="s" s="0">
        <v>238</v>
      </c>
      <c r="J779" t="s" s="0">
        <v>17043</v>
      </c>
      <c r="K779" t="s" s="0">
        <v>17044</v>
      </c>
      <c r="L779" t="s" s="0">
        <v>81</v>
      </c>
      <c r="M779" t="s" s="0">
        <v>81</v>
      </c>
      <c r="N779" t="s" s="0">
        <v>81</v>
      </c>
      <c r="O779" t="s" s="0">
        <v>17045</v>
      </c>
      <c r="P779" t="s" s="0">
        <v>17046</v>
      </c>
      <c r="Q779" t="s" s="0">
        <v>87</v>
      </c>
      <c r="R779" t="s" s="0">
        <v>81</v>
      </c>
      <c r="S779" t="s" s="0">
        <v>81</v>
      </c>
      <c r="T779" t="s" s="0">
        <v>81</v>
      </c>
      <c r="U779" t="s" s="0">
        <v>81</v>
      </c>
      <c r="V779" t="s" s="0">
        <v>17047</v>
      </c>
      <c r="W779" t="s" s="0">
        <v>17048</v>
      </c>
      <c r="X779" t="s" s="0">
        <v>81</v>
      </c>
      <c r="Y779" t="s" s="0">
        <v>81</v>
      </c>
      <c r="Z779" t="s" s="0">
        <v>90</v>
      </c>
      <c r="AA779" t="s" s="0">
        <v>91</v>
      </c>
      <c r="AB779" t="s" s="0">
        <v>81</v>
      </c>
      <c r="AC779" t="s" s="0">
        <v>81</v>
      </c>
      <c r="AD779" t="s" s="0">
        <v>81</v>
      </c>
      <c r="AE779" t="s" s="0">
        <v>81</v>
      </c>
      <c r="AF779" t="s" s="0">
        <v>81</v>
      </c>
      <c r="AG779" t="s" s="0">
        <v>17049</v>
      </c>
      <c r="AH779" t="s" s="0">
        <v>17050</v>
      </c>
      <c r="AI779" t="s" s="0">
        <v>81</v>
      </c>
      <c r="AJ779" t="s" s="0">
        <v>81</v>
      </c>
      <c r="AK779" t="s" s="0">
        <v>81</v>
      </c>
      <c r="AL779" t="s" s="0">
        <v>756</v>
      </c>
      <c r="AM779" t="s" s="0">
        <v>77</v>
      </c>
      <c r="AN779" t="s" s="0">
        <v>77</v>
      </c>
      <c r="AO779" t="s" s="0">
        <v>77</v>
      </c>
      <c r="AP779" t="s" s="0">
        <v>77</v>
      </c>
      <c r="AQ779" t="s" s="0">
        <v>284</v>
      </c>
      <c r="AR779" t="s" s="0">
        <v>285</v>
      </c>
      <c r="AS779" t="s" s="0">
        <v>286</v>
      </c>
      <c r="AT779" t="s" s="0">
        <v>81</v>
      </c>
      <c r="AU779" t="s" s="0">
        <v>17051</v>
      </c>
      <c r="AV779" t="s" s="0">
        <v>81</v>
      </c>
      <c r="AW779" t="s" s="0">
        <v>17052</v>
      </c>
      <c r="AX779" t="s" s="0">
        <v>17053</v>
      </c>
      <c r="AY779" t="s" s="0">
        <v>13763</v>
      </c>
      <c r="AZ779" t="s" s="0">
        <v>103</v>
      </c>
      <c r="BA779" t="s" s="0">
        <v>191</v>
      </c>
      <c r="BB779" t="s" s="0">
        <v>156</v>
      </c>
      <c r="BC779" t="s" s="0">
        <v>81</v>
      </c>
      <c r="BD779" t="s" s="0">
        <v>81</v>
      </c>
      <c r="BE779" t="s" s="0">
        <v>81</v>
      </c>
      <c r="BF779" t="s" s="0">
        <v>81</v>
      </c>
      <c r="BG779" t="s" s="0">
        <v>81</v>
      </c>
      <c r="BH779" t="s" s="0">
        <v>81</v>
      </c>
      <c r="BI779" t="s" s="0">
        <v>135</v>
      </c>
      <c r="BJ779" t="s" s="0">
        <v>17054</v>
      </c>
      <c r="BK779" t="s" s="1548">
        <f>HYPERLINK("http://dx.doi.org/10.3390/geriatrics11020023","http://dx.doi.org/10.3390/geriatrics11020023")</f>
        <v>17055</v>
      </c>
      <c r="BL779" t="s" s="0">
        <v>81</v>
      </c>
      <c r="BM779" t="s" s="0">
        <v>2108</v>
      </c>
      <c r="BN779" t="s" s="0">
        <v>485</v>
      </c>
      <c r="BO779" t="s" s="0">
        <v>5942</v>
      </c>
      <c r="BP779" t="s" s="0">
        <v>5942</v>
      </c>
      <c r="BQ779" t="s" s="0">
        <v>17056</v>
      </c>
      <c r="BR779" t="s" s="0">
        <v>17057</v>
      </c>
      <c r="BS779" t="s" s="0">
        <v>17058</v>
      </c>
      <c r="BT779" t="s" s="1549">
        <f>HYPERLINK("https://www.webofscience.com/wos/woscc/full-record/WOS:001749657700001","View Record in Web of Science")</f>
        <v>114</v>
      </c>
      <c r="BU779" t="s" s="0">
        <v>301</v>
      </c>
      <c r="BV779" t="s" s="0">
        <v>81</v>
      </c>
      <c r="BW779" t="s" s="0">
        <v>81</v>
      </c>
      <c r="BX779" t="s" s="0">
        <v>116</v>
      </c>
    </row>
    <row r="780">
      <c r="A780" t="s" s="0">
        <v>77</v>
      </c>
      <c r="B780" t="s" s="0">
        <v>77</v>
      </c>
      <c r="C780" t="s" s="0">
        <v>77</v>
      </c>
      <c r="D780" t="s" s="0">
        <v>77</v>
      </c>
      <c r="E780" t="s" s="0">
        <v>17059</v>
      </c>
      <c r="F780" t="s" s="0">
        <v>17060</v>
      </c>
      <c r="G780" t="s" s="0">
        <v>17061</v>
      </c>
      <c r="H780" t="s" s="0">
        <v>81</v>
      </c>
      <c r="I780" t="s" s="0">
        <v>82</v>
      </c>
      <c r="J780" t="s" s="0">
        <v>17062</v>
      </c>
      <c r="K780" t="s" s="0">
        <v>17063</v>
      </c>
      <c r="L780" t="s" s="0">
        <v>81</v>
      </c>
      <c r="M780" t="s" s="0">
        <v>81</v>
      </c>
      <c r="N780" t="s" s="0">
        <v>81</v>
      </c>
      <c r="O780" t="s" s="0">
        <v>17064</v>
      </c>
      <c r="P780" t="s" s="0">
        <v>17065</v>
      </c>
      <c r="Q780" t="s" s="0">
        <v>87</v>
      </c>
      <c r="R780" t="s" s="0">
        <v>81</v>
      </c>
      <c r="S780" t="s" s="0">
        <v>81</v>
      </c>
      <c r="T780" t="s" s="0">
        <v>81</v>
      </c>
      <c r="U780" t="s" s="0">
        <v>81</v>
      </c>
      <c r="V780" t="s" s="0">
        <v>17066</v>
      </c>
      <c r="W780" t="s" s="0">
        <v>89</v>
      </c>
      <c r="X780" t="s" s="0">
        <v>81</v>
      </c>
      <c r="Y780" t="s" s="0">
        <v>81</v>
      </c>
      <c r="Z780" t="s" s="0">
        <v>90</v>
      </c>
      <c r="AA780" t="s" s="0">
        <v>91</v>
      </c>
      <c r="AB780" t="s" s="0">
        <v>81</v>
      </c>
      <c r="AC780" t="s" s="0">
        <v>81</v>
      </c>
      <c r="AD780" t="s" s="0">
        <v>81</v>
      </c>
      <c r="AE780" t="s" s="0">
        <v>81</v>
      </c>
      <c r="AF780" t="s" s="0">
        <v>81</v>
      </c>
      <c r="AG780" t="s" s="0">
        <v>17067</v>
      </c>
      <c r="AH780" t="s" s="0">
        <v>81</v>
      </c>
      <c r="AI780" t="s" s="0">
        <v>81</v>
      </c>
      <c r="AJ780" t="s" s="0">
        <v>17068</v>
      </c>
      <c r="AK780" t="s" s="0">
        <v>81</v>
      </c>
      <c r="AL780" t="s" s="0">
        <v>398</v>
      </c>
      <c r="AM780" t="s" s="0">
        <v>196</v>
      </c>
      <c r="AN780" t="s" s="0">
        <v>196</v>
      </c>
      <c r="AO780" t="s" s="0">
        <v>97</v>
      </c>
      <c r="AP780" t="s" s="0">
        <v>156</v>
      </c>
      <c r="AQ780" t="s" s="0">
        <v>98</v>
      </c>
      <c r="AR780" t="s" s="0">
        <v>99</v>
      </c>
      <c r="AS780" t="s" s="0">
        <v>100</v>
      </c>
      <c r="AT780" t="s" s="0">
        <v>101</v>
      </c>
      <c r="AU780" t="s" s="0">
        <v>81</v>
      </c>
      <c r="AV780" t="s" s="0">
        <v>81</v>
      </c>
      <c r="AW780" t="s" s="0">
        <v>89</v>
      </c>
      <c r="AX780" t="s" s="0">
        <v>102</v>
      </c>
      <c r="AY780" t="s" s="0">
        <v>290</v>
      </c>
      <c r="AZ780" t="s" s="0">
        <v>290</v>
      </c>
      <c r="BA780" t="s" s="0">
        <v>486</v>
      </c>
      <c r="BB780" t="s" s="0">
        <v>81</v>
      </c>
      <c r="BC780" t="s" s="0">
        <v>81</v>
      </c>
      <c r="BD780" t="s" s="0">
        <v>81</v>
      </c>
      <c r="BE780" t="s" s="0">
        <v>81</v>
      </c>
      <c r="BF780" t="s" s="0">
        <v>81</v>
      </c>
      <c r="BG780" t="s" s="0">
        <v>17069</v>
      </c>
      <c r="BH780" t="s" s="0">
        <v>17070</v>
      </c>
      <c r="BI780" t="s" s="0">
        <v>81</v>
      </c>
      <c r="BJ780" t="s" s="0">
        <v>17071</v>
      </c>
      <c r="BK780" t="s" s="1550">
        <f>HYPERLINK("http://dx.doi.org/10.1109/ACCESS.2025.3568918","http://dx.doi.org/10.1109/ACCESS.2025.3568918")</f>
        <v>17072</v>
      </c>
      <c r="BL780" t="s" s="0">
        <v>81</v>
      </c>
      <c r="BM780" t="s" s="0">
        <v>81</v>
      </c>
      <c r="BN780" t="s" s="0">
        <v>486</v>
      </c>
      <c r="BO780" t="s" s="0">
        <v>110</v>
      </c>
      <c r="BP780" t="s" s="0">
        <v>111</v>
      </c>
      <c r="BQ780" t="s" s="0">
        <v>17073</v>
      </c>
      <c r="BR780" t="s" s="0">
        <v>81</v>
      </c>
      <c r="BS780" t="s" s="0">
        <v>17074</v>
      </c>
      <c r="BT780" t="s" s="1551">
        <f>HYPERLINK("https://www.webofscience.com/wos/woscc/full-record/WOS:001502499300028","View Record in Web of Science")</f>
        <v>114</v>
      </c>
      <c r="BU780" t="s" s="0">
        <v>301</v>
      </c>
      <c r="BV780" t="s" s="0">
        <v>81</v>
      </c>
      <c r="BW780" t="s" s="0">
        <v>81</v>
      </c>
      <c r="BX780" t="s" s="0">
        <v>116</v>
      </c>
    </row>
    <row r="781">
      <c r="A781" t="s" s="0">
        <v>77</v>
      </c>
      <c r="B781" t="s" s="0">
        <v>77</v>
      </c>
      <c r="C781" t="s" s="0">
        <v>77</v>
      </c>
      <c r="D781" t="s" s="0">
        <v>77</v>
      </c>
      <c r="E781" t="s" s="0">
        <v>17075</v>
      </c>
      <c r="F781" t="s" s="0">
        <v>17076</v>
      </c>
      <c r="G781" t="s" s="0">
        <v>17077</v>
      </c>
      <c r="H781" t="s" s="0">
        <v>81</v>
      </c>
      <c r="I781" t="s" s="0">
        <v>238</v>
      </c>
      <c r="J781" t="s" s="0">
        <v>17078</v>
      </c>
      <c r="K781" t="s" s="0">
        <v>17079</v>
      </c>
      <c r="L781" t="s" s="0">
        <v>81</v>
      </c>
      <c r="M781" t="s" s="0">
        <v>81</v>
      </c>
      <c r="N781" t="s" s="0">
        <v>3193</v>
      </c>
      <c r="O781" t="s" s="0">
        <v>17080</v>
      </c>
      <c r="P781" t="s" s="0">
        <v>17081</v>
      </c>
      <c r="Q781" t="s" s="0">
        <v>87</v>
      </c>
      <c r="R781" t="s" s="0">
        <v>81</v>
      </c>
      <c r="S781" t="s" s="0">
        <v>81</v>
      </c>
      <c r="T781" t="s" s="0">
        <v>81</v>
      </c>
      <c r="U781" t="s" s="0">
        <v>81</v>
      </c>
      <c r="V781" t="s" s="0">
        <v>17082</v>
      </c>
      <c r="W781" t="s" s="0">
        <v>15913</v>
      </c>
      <c r="X781" t="s" s="0">
        <v>81</v>
      </c>
      <c r="Y781" t="s" s="0">
        <v>81</v>
      </c>
      <c r="Z781" t="s" s="0">
        <v>90</v>
      </c>
      <c r="AA781" t="s" s="0">
        <v>91</v>
      </c>
      <c r="AB781" t="s" s="0">
        <v>81</v>
      </c>
      <c r="AC781" t="s" s="0">
        <v>81</v>
      </c>
      <c r="AD781" t="s" s="0">
        <v>81</v>
      </c>
      <c r="AE781" t="s" s="0">
        <v>81</v>
      </c>
      <c r="AF781" t="s" s="0">
        <v>81</v>
      </c>
      <c r="AG781" t="s" s="0">
        <v>17083</v>
      </c>
      <c r="AH781" t="s" s="0">
        <v>17084</v>
      </c>
      <c r="AI781" t="s" s="0">
        <v>17085</v>
      </c>
      <c r="AJ781" t="s" s="0">
        <v>81</v>
      </c>
      <c r="AK781" t="s" s="0">
        <v>81</v>
      </c>
      <c r="AL781" t="s" s="0">
        <v>1785</v>
      </c>
      <c r="AM781" t="s" s="0">
        <v>77</v>
      </c>
      <c r="AN781" t="s" s="0">
        <v>77</v>
      </c>
      <c r="AO781" t="s" s="0">
        <v>77</v>
      </c>
      <c r="AP781" t="s" s="0">
        <v>77</v>
      </c>
      <c r="AQ781" t="s" s="0">
        <v>284</v>
      </c>
      <c r="AR781" t="s" s="0">
        <v>285</v>
      </c>
      <c r="AS781" t="s" s="0">
        <v>286</v>
      </c>
      <c r="AT781" t="s" s="0">
        <v>81</v>
      </c>
      <c r="AU781" t="s" s="0">
        <v>15918</v>
      </c>
      <c r="AV781" t="s" s="0">
        <v>81</v>
      </c>
      <c r="AW781" t="s" s="0">
        <v>15913</v>
      </c>
      <c r="AX781" t="s" s="0">
        <v>15919</v>
      </c>
      <c r="AY781" t="s" s="0">
        <v>6947</v>
      </c>
      <c r="AZ781" t="s" s="0">
        <v>103</v>
      </c>
      <c r="BA781" t="s" s="0">
        <v>191</v>
      </c>
      <c r="BB781" t="s" s="0">
        <v>196</v>
      </c>
      <c r="BC781" t="s" s="0">
        <v>81</v>
      </c>
      <c r="BD781" t="s" s="0">
        <v>81</v>
      </c>
      <c r="BE781" t="s" s="0">
        <v>81</v>
      </c>
      <c r="BF781" t="s" s="0">
        <v>81</v>
      </c>
      <c r="BG781" t="s" s="0">
        <v>81</v>
      </c>
      <c r="BH781" t="s" s="0">
        <v>81</v>
      </c>
      <c r="BI781" t="s" s="0">
        <v>11524</v>
      </c>
      <c r="BJ781" t="s" s="0">
        <v>17086</v>
      </c>
      <c r="BK781" t="s" s="1552">
        <f>HYPERLINK("http://dx.doi.org/10.3390/philosophies11030093","http://dx.doi.org/10.3390/philosophies11030093")</f>
        <v>17087</v>
      </c>
      <c r="BL781" t="s" s="0">
        <v>81</v>
      </c>
      <c r="BM781" t="s" s="0">
        <v>849</v>
      </c>
      <c r="BN781" t="s" s="0">
        <v>222</v>
      </c>
      <c r="BO781" t="s" s="0">
        <v>15922</v>
      </c>
      <c r="BP781" t="s" s="0">
        <v>15923</v>
      </c>
      <c r="BQ781" t="s" s="0">
        <v>17088</v>
      </c>
      <c r="BR781" t="s" s="0">
        <v>81</v>
      </c>
      <c r="BS781" t="s" s="0">
        <v>17089</v>
      </c>
      <c r="BT781" t="s" s="1553">
        <f>HYPERLINK("https://www.webofscience.com/wos/woscc/full-record/WOS:001802233300001","View Record in Web of Science")</f>
        <v>114</v>
      </c>
      <c r="BU781" t="s" s="0">
        <v>115</v>
      </c>
      <c r="BV781" t="s" s="0">
        <v>81</v>
      </c>
      <c r="BW781" t="s" s="0">
        <v>81</v>
      </c>
      <c r="BX781" t="s" s="0">
        <v>116</v>
      </c>
    </row>
    <row r="782">
      <c r="A782" t="s" s="0">
        <v>77</v>
      </c>
      <c r="B782" t="s" s="0">
        <v>77</v>
      </c>
      <c r="C782" t="s" s="0">
        <v>77</v>
      </c>
      <c r="D782" t="s" s="0">
        <v>77</v>
      </c>
      <c r="E782" t="s" s="0">
        <v>17090</v>
      </c>
      <c r="F782" t="s" s="0">
        <v>17091</v>
      </c>
      <c r="G782" t="s" s="0">
        <v>17092</v>
      </c>
      <c r="H782" t="s" s="0">
        <v>81</v>
      </c>
      <c r="I782" t="s" s="0">
        <v>589</v>
      </c>
      <c r="J782" t="s" s="0">
        <v>17093</v>
      </c>
      <c r="K782" t="s" s="0">
        <v>17094</v>
      </c>
      <c r="L782" t="s" s="0">
        <v>17095</v>
      </c>
      <c r="M782" t="s" s="0">
        <v>17096</v>
      </c>
      <c r="N782" t="s" s="0">
        <v>17097</v>
      </c>
      <c r="O782" t="s" s="0">
        <v>17098</v>
      </c>
      <c r="P782" t="s" s="0">
        <v>17099</v>
      </c>
      <c r="Q782" t="s" s="0">
        <v>87</v>
      </c>
      <c r="R782" t="s" s="0">
        <v>81</v>
      </c>
      <c r="S782" t="s" s="0">
        <v>81</v>
      </c>
      <c r="T782" t="s" s="0">
        <v>81</v>
      </c>
      <c r="U782" t="s" s="0">
        <v>81</v>
      </c>
      <c r="V782" t="s" s="0">
        <v>17100</v>
      </c>
      <c r="W782" t="s" s="0">
        <v>17101</v>
      </c>
      <c r="X782" t="s" s="0">
        <v>81</v>
      </c>
      <c r="Y782" t="s" s="0">
        <v>81</v>
      </c>
      <c r="Z782" t="s" s="0">
        <v>90</v>
      </c>
      <c r="AA782" t="s" s="0">
        <v>91</v>
      </c>
      <c r="AB782" t="s" s="0">
        <v>81</v>
      </c>
      <c r="AC782" t="s" s="0">
        <v>81</v>
      </c>
      <c r="AD782" t="s" s="0">
        <v>81</v>
      </c>
      <c r="AE782" t="s" s="0">
        <v>81</v>
      </c>
      <c r="AF782" t="s" s="0">
        <v>81</v>
      </c>
      <c r="AG782" t="s" s="0">
        <v>81</v>
      </c>
      <c r="AH782" t="s" s="0">
        <v>17102</v>
      </c>
      <c r="AI782" t="s" s="0">
        <v>81</v>
      </c>
      <c r="AJ782" t="s" s="0">
        <v>81</v>
      </c>
      <c r="AK782" t="s" s="0">
        <v>81</v>
      </c>
      <c r="AL782" t="s" s="0">
        <v>914</v>
      </c>
      <c r="AM782" t="s" s="0">
        <v>77</v>
      </c>
      <c r="AN782" t="s" s="0">
        <v>77</v>
      </c>
      <c r="AO782" t="s" s="0">
        <v>97</v>
      </c>
      <c r="AP782" t="s" s="0">
        <v>97</v>
      </c>
      <c r="AQ782" t="s" s="0">
        <v>1654</v>
      </c>
      <c r="AR782" t="s" s="0">
        <v>1345</v>
      </c>
      <c r="AS782" t="s" s="0">
        <v>1655</v>
      </c>
      <c r="AT782" t="s" s="0">
        <v>17103</v>
      </c>
      <c r="AU782" t="s" s="0">
        <v>17104</v>
      </c>
      <c r="AV782" t="s" s="0">
        <v>81</v>
      </c>
      <c r="AW782" t="s" s="0">
        <v>17105</v>
      </c>
      <c r="AX782" t="s" s="0">
        <v>17106</v>
      </c>
      <c r="AY782" t="s" s="0">
        <v>849</v>
      </c>
      <c r="AZ782" t="s" s="0">
        <v>103</v>
      </c>
      <c r="BA782" t="s" s="0">
        <v>1883</v>
      </c>
      <c r="BB782" t="s" s="0">
        <v>175</v>
      </c>
      <c r="BC782" t="s" s="0">
        <v>81</v>
      </c>
      <c r="BD782" t="s" s="0">
        <v>81</v>
      </c>
      <c r="BE782" t="s" s="0">
        <v>81</v>
      </c>
      <c r="BF782" t="s" s="0">
        <v>81</v>
      </c>
      <c r="BG782" t="s" s="0">
        <v>81</v>
      </c>
      <c r="BH782" t="s" s="0">
        <v>81</v>
      </c>
      <c r="BI782" t="s" s="0">
        <v>17107</v>
      </c>
      <c r="BJ782" t="s" s="0">
        <v>17108</v>
      </c>
      <c r="BK782" t="s" s="1554">
        <f>HYPERLINK("http://dx.doi.org/10.1093/her/cyag019","http://dx.doi.org/10.1093/her/cyag019")</f>
        <v>17109</v>
      </c>
      <c r="BL782" t="s" s="0">
        <v>81</v>
      </c>
      <c r="BM782" t="s" s="0">
        <v>81</v>
      </c>
      <c r="BN782" t="s" s="0">
        <v>925</v>
      </c>
      <c r="BO782" t="s" s="0">
        <v>17110</v>
      </c>
      <c r="BP782" t="s" s="0">
        <v>17110</v>
      </c>
      <c r="BQ782" t="s" s="0">
        <v>17111</v>
      </c>
      <c r="BR782" t="s" s="0">
        <v>17112</v>
      </c>
      <c r="BS782" t="s" s="0">
        <v>17113</v>
      </c>
      <c r="BT782" t="s" s="1555">
        <f>HYPERLINK("https://www.webofscience.com/wos/woscc/full-record/WOS:001791942500001","View Record in Web of Science")</f>
        <v>114</v>
      </c>
      <c r="BU782" t="s" s="0">
        <v>81</v>
      </c>
      <c r="BV782" t="s" s="0">
        <v>81</v>
      </c>
      <c r="BW782" t="s" s="0">
        <v>81</v>
      </c>
      <c r="BX782" t="s" s="0">
        <v>116</v>
      </c>
    </row>
    <row r="783">
      <c r="A783" t="s" s="0">
        <v>77</v>
      </c>
      <c r="B783" t="s" s="0">
        <v>77</v>
      </c>
      <c r="C783" t="s" s="0">
        <v>77</v>
      </c>
      <c r="D783" t="s" s="0">
        <v>77</v>
      </c>
      <c r="E783" t="s" s="0">
        <v>17114</v>
      </c>
      <c r="F783" t="s" s="0">
        <v>17115</v>
      </c>
      <c r="G783" t="s" s="0">
        <v>17116</v>
      </c>
      <c r="H783" t="s" s="0">
        <v>81</v>
      </c>
      <c r="I783" t="s" s="0">
        <v>82</v>
      </c>
      <c r="J783" t="s" s="0">
        <v>17117</v>
      </c>
      <c r="K783" t="s" s="0">
        <v>17118</v>
      </c>
      <c r="L783" t="s" s="0">
        <v>17119</v>
      </c>
      <c r="M783" t="s" s="0">
        <v>17120</v>
      </c>
      <c r="N783" t="s" s="0">
        <v>17121</v>
      </c>
      <c r="O783" t="s" s="0">
        <v>17122</v>
      </c>
      <c r="P783" t="s" s="0">
        <v>17123</v>
      </c>
      <c r="Q783" t="s" s="0">
        <v>87</v>
      </c>
      <c r="R783" t="s" s="0">
        <v>81</v>
      </c>
      <c r="S783" t="s" s="0">
        <v>81</v>
      </c>
      <c r="T783" t="s" s="0">
        <v>81</v>
      </c>
      <c r="U783" t="s" s="0">
        <v>81</v>
      </c>
      <c r="V783" t="s" s="0">
        <v>17124</v>
      </c>
      <c r="W783" t="s" s="0">
        <v>10905</v>
      </c>
      <c r="X783" t="s" s="0">
        <v>81</v>
      </c>
      <c r="Y783" t="s" s="0">
        <v>81</v>
      </c>
      <c r="Z783" t="s" s="0">
        <v>90</v>
      </c>
      <c r="AA783" t="s" s="0">
        <v>91</v>
      </c>
      <c r="AB783" t="s" s="0">
        <v>81</v>
      </c>
      <c r="AC783" t="s" s="0">
        <v>81</v>
      </c>
      <c r="AD783" t="s" s="0">
        <v>81</v>
      </c>
      <c r="AE783" t="s" s="0">
        <v>81</v>
      </c>
      <c r="AF783" t="s" s="0">
        <v>81</v>
      </c>
      <c r="AG783" t="s" s="0">
        <v>17125</v>
      </c>
      <c r="AH783" t="s" s="0">
        <v>81</v>
      </c>
      <c r="AI783" t="s" s="0">
        <v>17126</v>
      </c>
      <c r="AJ783" t="s" s="0">
        <v>17127</v>
      </c>
      <c r="AK783" t="s" s="0">
        <v>81</v>
      </c>
      <c r="AL783" t="s" s="0">
        <v>890</v>
      </c>
      <c r="AM783" t="s" s="0">
        <v>77</v>
      </c>
      <c r="AN783" t="s" s="0">
        <v>77</v>
      </c>
      <c r="AO783" t="s" s="0">
        <v>77</v>
      </c>
      <c r="AP783" t="s" s="0">
        <v>134</v>
      </c>
      <c r="AQ783" t="s" s="0">
        <v>726</v>
      </c>
      <c r="AR783" t="s" s="0">
        <v>727</v>
      </c>
      <c r="AS783" t="s" s="0">
        <v>728</v>
      </c>
      <c r="AT783" t="s" s="0">
        <v>10910</v>
      </c>
      <c r="AU783" t="s" s="0">
        <v>10911</v>
      </c>
      <c r="AV783" t="s" s="0">
        <v>81</v>
      </c>
      <c r="AW783" t="s" s="0">
        <v>10912</v>
      </c>
      <c r="AX783" t="s" s="0">
        <v>10913</v>
      </c>
      <c r="AY783" t="s" s="0">
        <v>290</v>
      </c>
      <c r="AZ783" t="s" s="0">
        <v>290</v>
      </c>
      <c r="BA783" t="s" s="0">
        <v>290</v>
      </c>
      <c r="BB783" t="s" s="0">
        <v>97</v>
      </c>
      <c r="BC783" t="s" s="0">
        <v>81</v>
      </c>
      <c r="BD783" t="s" s="0">
        <v>81</v>
      </c>
      <c r="BE783" t="s" s="0">
        <v>81</v>
      </c>
      <c r="BF783" t="s" s="0">
        <v>81</v>
      </c>
      <c r="BG783" t="s" s="0">
        <v>81</v>
      </c>
      <c r="BH783" t="s" s="0">
        <v>81</v>
      </c>
      <c r="BI783" t="s" s="0">
        <v>17128</v>
      </c>
      <c r="BJ783" t="s" s="0">
        <v>17129</v>
      </c>
      <c r="BK783" t="s" s="1556">
        <f>HYPERLINK("http://dx.doi.org/10.1155/int/2240862","http://dx.doi.org/10.1155/int/2240862")</f>
        <v>17130</v>
      </c>
      <c r="BL783" t="s" s="0">
        <v>81</v>
      </c>
      <c r="BM783" t="s" s="0">
        <v>81</v>
      </c>
      <c r="BN783" t="s" s="0">
        <v>486</v>
      </c>
      <c r="BO783" t="s" s="0">
        <v>409</v>
      </c>
      <c r="BP783" t="s" s="0">
        <v>152</v>
      </c>
      <c r="BQ783" t="s" s="0">
        <v>17131</v>
      </c>
      <c r="BR783" t="s" s="0">
        <v>81</v>
      </c>
      <c r="BS783" t="s" s="0">
        <v>17132</v>
      </c>
      <c r="BT783" t="s" s="1557">
        <f>HYPERLINK("https://www.webofscience.com/wos/woscc/full-record/WOS:001428824100001","View Record in Web of Science")</f>
        <v>114</v>
      </c>
      <c r="BU783" t="s" s="0">
        <v>1055</v>
      </c>
      <c r="BV783" t="s" s="0">
        <v>81</v>
      </c>
      <c r="BW783" t="s" s="0">
        <v>81</v>
      </c>
      <c r="BX783" t="s" s="0">
        <v>116</v>
      </c>
    </row>
    <row r="784">
      <c r="A784" t="s" s="0">
        <v>77</v>
      </c>
      <c r="B784" t="s" s="0">
        <v>77</v>
      </c>
      <c r="C784" t="s" s="0">
        <v>77</v>
      </c>
      <c r="D784" t="s" s="0">
        <v>77</v>
      </c>
      <c r="E784" t="s" s="0">
        <v>17133</v>
      </c>
      <c r="F784" t="s" s="0">
        <v>17134</v>
      </c>
      <c r="G784" t="s" s="0">
        <v>17135</v>
      </c>
      <c r="H784" t="s" s="0">
        <v>81</v>
      </c>
      <c r="I784" t="s" s="0">
        <v>528</v>
      </c>
      <c r="J784" t="s" s="0">
        <v>17136</v>
      </c>
      <c r="K784" t="s" s="0">
        <v>17137</v>
      </c>
      <c r="L784" t="s" s="0">
        <v>17138</v>
      </c>
      <c r="M784" t="s" s="0">
        <v>17138</v>
      </c>
      <c r="N784" t="s" s="0">
        <v>17139</v>
      </c>
      <c r="O784" t="s" s="0">
        <v>17140</v>
      </c>
      <c r="P784" t="s" s="0">
        <v>17141</v>
      </c>
      <c r="Q784" t="s" s="0">
        <v>87</v>
      </c>
      <c r="R784" t="s" s="0">
        <v>81</v>
      </c>
      <c r="S784" t="s" s="0">
        <v>17142</v>
      </c>
      <c r="T784" t="s" s="0">
        <v>81</v>
      </c>
      <c r="U784" t="s" s="0">
        <v>81</v>
      </c>
      <c r="V784" t="s" s="0">
        <v>17143</v>
      </c>
      <c r="W784" t="s" s="0">
        <v>660</v>
      </c>
      <c r="X784" t="s" s="0">
        <v>81</v>
      </c>
      <c r="Y784" t="s" s="0">
        <v>81</v>
      </c>
      <c r="Z784" t="s" s="0">
        <v>90</v>
      </c>
      <c r="AA784" t="s" s="0">
        <v>91</v>
      </c>
      <c r="AB784" t="s" s="0">
        <v>81</v>
      </c>
      <c r="AC784" t="s" s="0">
        <v>81</v>
      </c>
      <c r="AD784" t="s" s="0">
        <v>81</v>
      </c>
      <c r="AE784" t="s" s="0">
        <v>81</v>
      </c>
      <c r="AF784" t="s" s="0">
        <v>81</v>
      </c>
      <c r="AG784" t="s" s="0">
        <v>17144</v>
      </c>
      <c r="AH784" t="s" s="0">
        <v>17145</v>
      </c>
      <c r="AI784" t="s" s="0">
        <v>17146</v>
      </c>
      <c r="AJ784" t="s" s="0">
        <v>17147</v>
      </c>
      <c r="AK784" t="s" s="0">
        <v>81</v>
      </c>
      <c r="AL784" t="s" s="0">
        <v>1254</v>
      </c>
      <c r="AM784" t="s" s="0">
        <v>97</v>
      </c>
      <c r="AN784" t="s" s="0">
        <v>97</v>
      </c>
      <c r="AO784" t="s" s="0">
        <v>316</v>
      </c>
      <c r="AP784" t="s" s="0">
        <v>134</v>
      </c>
      <c r="AQ784" t="s" s="0">
        <v>665</v>
      </c>
      <c r="AR784" t="s" s="0">
        <v>546</v>
      </c>
      <c r="AS784" t="s" s="0">
        <v>666</v>
      </c>
      <c r="AT784" t="s" s="0">
        <v>667</v>
      </c>
      <c r="AU784" t="s" s="0">
        <v>81</v>
      </c>
      <c r="AV784" t="s" s="0">
        <v>81</v>
      </c>
      <c r="AW784" t="s" s="0">
        <v>668</v>
      </c>
      <c r="AX784" t="s" s="0">
        <v>669</v>
      </c>
      <c r="AY784" t="s" s="0">
        <v>17148</v>
      </c>
      <c r="AZ784" t="s" s="0">
        <v>290</v>
      </c>
      <c r="BA784" t="s" s="0">
        <v>228</v>
      </c>
      <c r="BB784" t="s" s="0">
        <v>97</v>
      </c>
      <c r="BC784" t="s" s="0">
        <v>81</v>
      </c>
      <c r="BD784" t="s" s="0">
        <v>81</v>
      </c>
      <c r="BE784" t="s" s="0">
        <v>81</v>
      </c>
      <c r="BF784" t="s" s="0">
        <v>81</v>
      </c>
      <c r="BG784" t="s" s="0">
        <v>81</v>
      </c>
      <c r="BH784" t="s" s="0">
        <v>81</v>
      </c>
      <c r="BI784" t="s" s="0">
        <v>186</v>
      </c>
      <c r="BJ784" t="s" s="0">
        <v>17149</v>
      </c>
      <c r="BK784" t="s" s="1558">
        <f>HYPERLINK("http://dx.doi.org/10.1186/s12910-025-01317-y","http://dx.doi.org/10.1186/s12910-025-01317-y")</f>
        <v>17150</v>
      </c>
      <c r="BL784" t="s" s="0">
        <v>81</v>
      </c>
      <c r="BM784" t="s" s="0">
        <v>81</v>
      </c>
      <c r="BN784" t="s" s="0">
        <v>291</v>
      </c>
      <c r="BO784" t="s" s="0">
        <v>676</v>
      </c>
      <c r="BP784" t="s" s="0">
        <v>677</v>
      </c>
      <c r="BQ784" t="s" s="0">
        <v>17151</v>
      </c>
      <c r="BR784" t="s" s="0">
        <v>17152</v>
      </c>
      <c r="BS784" t="s" s="0">
        <v>17153</v>
      </c>
      <c r="BT784" t="s" s="1559">
        <f>HYPERLINK("https://www.webofscience.com/wos/woscc/full-record/WOS:001603584200001","View Record in Web of Science")</f>
        <v>114</v>
      </c>
      <c r="BU784" t="s" s="0">
        <v>301</v>
      </c>
      <c r="BV784" t="s" s="0">
        <v>81</v>
      </c>
      <c r="BW784" t="s" s="0">
        <v>81</v>
      </c>
      <c r="BX784" t="s" s="0">
        <v>116</v>
      </c>
    </row>
    <row r="785">
      <c r="A785" t="s" s="0">
        <v>77</v>
      </c>
      <c r="B785" t="s" s="0">
        <v>77</v>
      </c>
      <c r="C785" t="s" s="0">
        <v>77</v>
      </c>
      <c r="D785" t="s" s="0">
        <v>77</v>
      </c>
      <c r="E785" t="s" s="0">
        <v>17154</v>
      </c>
      <c r="F785" t="s" s="0">
        <v>17155</v>
      </c>
      <c r="G785" t="s" s="0">
        <v>17156</v>
      </c>
      <c r="H785" t="s" s="0">
        <v>81</v>
      </c>
      <c r="I785" t="s" s="0">
        <v>82</v>
      </c>
      <c r="J785" t="s" s="0">
        <v>17157</v>
      </c>
      <c r="K785" t="s" s="0">
        <v>17158</v>
      </c>
      <c r="L785" t="s" s="0">
        <v>17159</v>
      </c>
      <c r="M785" t="s" s="0">
        <v>17160</v>
      </c>
      <c r="N785" t="s" s="0">
        <v>17161</v>
      </c>
      <c r="O785" t="s" s="0">
        <v>17162</v>
      </c>
      <c r="P785" t="s" s="0">
        <v>81</v>
      </c>
      <c r="Q785" t="s" s="0">
        <v>87</v>
      </c>
      <c r="R785" t="s" s="0">
        <v>81</v>
      </c>
      <c r="S785" t="s" s="0">
        <v>81</v>
      </c>
      <c r="T785" t="s" s="0">
        <v>81</v>
      </c>
      <c r="U785" t="s" s="0">
        <v>81</v>
      </c>
      <c r="V785" t="s" s="0">
        <v>17163</v>
      </c>
      <c r="W785" t="s" s="0">
        <v>1954</v>
      </c>
      <c r="X785" t="s" s="0">
        <v>81</v>
      </c>
      <c r="Y785" t="s" s="0">
        <v>81</v>
      </c>
      <c r="Z785" t="s" s="0">
        <v>90</v>
      </c>
      <c r="AA785" t="s" s="0">
        <v>91</v>
      </c>
      <c r="AB785" t="s" s="0">
        <v>81</v>
      </c>
      <c r="AC785" t="s" s="0">
        <v>81</v>
      </c>
      <c r="AD785" t="s" s="0">
        <v>81</v>
      </c>
      <c r="AE785" t="s" s="0">
        <v>81</v>
      </c>
      <c r="AF785" t="s" s="0">
        <v>81</v>
      </c>
      <c r="AG785" t="s" s="0">
        <v>17164</v>
      </c>
      <c r="AH785" t="s" s="0">
        <v>17165</v>
      </c>
      <c r="AI785" t="s" s="0">
        <v>81</v>
      </c>
      <c r="AJ785" t="s" s="0">
        <v>81</v>
      </c>
      <c r="AK785" t="s" s="0">
        <v>81</v>
      </c>
      <c r="AL785" t="s" s="0">
        <v>150</v>
      </c>
      <c r="AM785" t="s" s="0">
        <v>77</v>
      </c>
      <c r="AN785" t="s" s="0">
        <v>77</v>
      </c>
      <c r="AO785" t="s" s="0">
        <v>316</v>
      </c>
      <c r="AP785" t="s" s="0">
        <v>316</v>
      </c>
      <c r="AQ785" t="s" s="0">
        <v>665</v>
      </c>
      <c r="AR785" t="s" s="0">
        <v>546</v>
      </c>
      <c r="AS785" t="s" s="0">
        <v>666</v>
      </c>
      <c r="AT785" t="s" s="0">
        <v>81</v>
      </c>
      <c r="AU785" t="s" s="0">
        <v>1957</v>
      </c>
      <c r="AV785" t="s" s="0">
        <v>81</v>
      </c>
      <c r="AW785" t="s" s="0">
        <v>1958</v>
      </c>
      <c r="AX785" t="s" s="0">
        <v>1959</v>
      </c>
      <c r="AY785" t="s" s="0">
        <v>10110</v>
      </c>
      <c r="AZ785" t="s" s="0">
        <v>103</v>
      </c>
      <c r="BA785" t="s" s="0">
        <v>228</v>
      </c>
      <c r="BB785" t="s" s="0">
        <v>97</v>
      </c>
      <c r="BC785" t="s" s="0">
        <v>81</v>
      </c>
      <c r="BD785" t="s" s="0">
        <v>81</v>
      </c>
      <c r="BE785" t="s" s="0">
        <v>81</v>
      </c>
      <c r="BF785" t="s" s="0">
        <v>81</v>
      </c>
      <c r="BG785" t="s" s="0">
        <v>81</v>
      </c>
      <c r="BH785" t="s" s="0">
        <v>81</v>
      </c>
      <c r="BI785" t="s" s="0">
        <v>456</v>
      </c>
      <c r="BJ785" t="s" s="0">
        <v>17166</v>
      </c>
      <c r="BK785" t="s" s="1560">
        <f>HYPERLINK("http://dx.doi.org/10.1186/s12911-026-03389-1","http://dx.doi.org/10.1186/s12911-026-03389-1")</f>
        <v>17167</v>
      </c>
      <c r="BL785" t="s" s="0">
        <v>81</v>
      </c>
      <c r="BM785" t="s" s="0">
        <v>81</v>
      </c>
      <c r="BN785" t="s" s="0">
        <v>925</v>
      </c>
      <c r="BO785" t="s" s="0">
        <v>1963</v>
      </c>
      <c r="BP785" t="s" s="0">
        <v>1963</v>
      </c>
      <c r="BQ785" t="s" s="0">
        <v>17168</v>
      </c>
      <c r="BR785" t="s" s="0">
        <v>17169</v>
      </c>
      <c r="BS785" t="s" s="0">
        <v>17170</v>
      </c>
      <c r="BT785" t="s" s="1561">
        <f>HYPERLINK("https://www.webofscience.com/wos/woscc/full-record/WOS:001731021900001","View Record in Web of Science")</f>
        <v>114</v>
      </c>
      <c r="BU785" t="s" s="0">
        <v>301</v>
      </c>
      <c r="BV785" t="s" s="0">
        <v>81</v>
      </c>
      <c r="BW785" t="s" s="0">
        <v>81</v>
      </c>
      <c r="BX785" t="s" s="0">
        <v>116</v>
      </c>
    </row>
    <row r="786">
      <c r="A786" t="s" s="0">
        <v>77</v>
      </c>
      <c r="B786" t="s" s="0">
        <v>77</v>
      </c>
      <c r="C786" t="s" s="0">
        <v>97</v>
      </c>
      <c r="D786" t="s" s="0">
        <v>77</v>
      </c>
      <c r="E786" t="s" s="0">
        <v>17171</v>
      </c>
      <c r="F786" t="s" s="0">
        <v>17172</v>
      </c>
      <c r="G786" t="s" s="0">
        <v>17173</v>
      </c>
      <c r="H786" t="s" s="0">
        <v>81</v>
      </c>
      <c r="I786" t="s" s="0">
        <v>82</v>
      </c>
      <c r="J786" t="s" s="0">
        <v>17174</v>
      </c>
      <c r="K786" t="s" s="0">
        <v>17175</v>
      </c>
      <c r="L786" t="s" s="0">
        <v>81</v>
      </c>
      <c r="M786" t="s" s="0">
        <v>81</v>
      </c>
      <c r="N786" t="s" s="0">
        <v>81</v>
      </c>
      <c r="O786" t="s" s="0">
        <v>17176</v>
      </c>
      <c r="P786" t="s" s="0">
        <v>17177</v>
      </c>
      <c r="Q786" t="s" s="0">
        <v>87</v>
      </c>
      <c r="R786" t="s" s="0">
        <v>81</v>
      </c>
      <c r="S786" t="s" s="0">
        <v>81</v>
      </c>
      <c r="T786" t="s" s="0">
        <v>81</v>
      </c>
      <c r="U786" t="s" s="0">
        <v>81</v>
      </c>
      <c r="V786" t="s" s="0">
        <v>17178</v>
      </c>
      <c r="W786" t="s" s="0">
        <v>15414</v>
      </c>
      <c r="X786" t="s" s="0">
        <v>81</v>
      </c>
      <c r="Y786" t="s" s="0">
        <v>81</v>
      </c>
      <c r="Z786" t="s" s="0">
        <v>90</v>
      </c>
      <c r="AA786" t="s" s="0">
        <v>91</v>
      </c>
      <c r="AB786" t="s" s="0">
        <v>81</v>
      </c>
      <c r="AC786" t="s" s="0">
        <v>81</v>
      </c>
      <c r="AD786" t="s" s="0">
        <v>81</v>
      </c>
      <c r="AE786" t="s" s="0">
        <v>81</v>
      </c>
      <c r="AF786" t="s" s="0">
        <v>81</v>
      </c>
      <c r="AG786" t="s" s="0">
        <v>17179</v>
      </c>
      <c r="AH786" t="s" s="0">
        <v>17180</v>
      </c>
      <c r="AI786" t="s" s="0">
        <v>17181</v>
      </c>
      <c r="AJ786" t="s" s="0">
        <v>17182</v>
      </c>
      <c r="AK786" t="s" s="0">
        <v>81</v>
      </c>
      <c r="AL786" t="s" s="0">
        <v>1684</v>
      </c>
      <c r="AM786" t="s" s="0">
        <v>234</v>
      </c>
      <c r="AN786" t="s" s="0">
        <v>234</v>
      </c>
      <c r="AO786" t="s" s="0">
        <v>133</v>
      </c>
      <c r="AP786" t="s" s="0">
        <v>291</v>
      </c>
      <c r="AQ786" t="s" s="0">
        <v>3061</v>
      </c>
      <c r="AR786" t="s" s="0">
        <v>3062</v>
      </c>
      <c r="AS786" t="s" s="0">
        <v>3063</v>
      </c>
      <c r="AT786" t="s" s="0">
        <v>15417</v>
      </c>
      <c r="AU786" t="s" s="0">
        <v>81</v>
      </c>
      <c r="AV786" t="s" s="0">
        <v>81</v>
      </c>
      <c r="AW786" t="s" s="0">
        <v>15418</v>
      </c>
      <c r="AX786" t="s" s="0">
        <v>15419</v>
      </c>
      <c r="AY786" t="s" s="0">
        <v>290</v>
      </c>
      <c r="AZ786" t="s" s="0">
        <v>290</v>
      </c>
      <c r="BA786" t="s" s="0">
        <v>134</v>
      </c>
      <c r="BB786" t="s" s="0">
        <v>81</v>
      </c>
      <c r="BC786" t="s" s="0">
        <v>81</v>
      </c>
      <c r="BD786" t="s" s="0">
        <v>81</v>
      </c>
      <c r="BE786" t="s" s="0">
        <v>81</v>
      </c>
      <c r="BF786" t="s" s="0">
        <v>81</v>
      </c>
      <c r="BG786" t="s" s="0">
        <v>81</v>
      </c>
      <c r="BH786" t="s" s="0">
        <v>81</v>
      </c>
      <c r="BI786" t="s" s="0">
        <v>17183</v>
      </c>
      <c r="BJ786" t="s" s="0">
        <v>17184</v>
      </c>
      <c r="BK786" t="s" s="1562">
        <f>HYPERLINK("http://dx.doi.org/10.2196/72038","http://dx.doi.org/10.2196/72038")</f>
        <v>17185</v>
      </c>
      <c r="BL786" t="s" s="0">
        <v>81</v>
      </c>
      <c r="BM786" t="s" s="0">
        <v>81</v>
      </c>
      <c r="BN786" t="s" s="0">
        <v>367</v>
      </c>
      <c r="BO786" t="s" s="0">
        <v>6809</v>
      </c>
      <c r="BP786" t="s" s="0">
        <v>6809</v>
      </c>
      <c r="BQ786" t="s" s="0">
        <v>17186</v>
      </c>
      <c r="BR786" t="s" s="0">
        <v>17187</v>
      </c>
      <c r="BS786" t="s" s="0">
        <v>17188</v>
      </c>
      <c r="BT786" t="s" s="1563">
        <f>HYPERLINK("https://www.webofscience.com/wos/woscc/full-record/WOS:001569619000002","View Record in Web of Science")</f>
        <v>114</v>
      </c>
      <c r="BU786" t="s" s="0">
        <v>301</v>
      </c>
      <c r="BV786" t="s" s="0">
        <v>81</v>
      </c>
      <c r="BW786" t="s" s="0">
        <v>81</v>
      </c>
      <c r="BX786" t="s" s="0">
        <v>116</v>
      </c>
    </row>
    <row r="787">
      <c r="A787" t="s" s="0">
        <v>77</v>
      </c>
      <c r="B787" t="s" s="0">
        <v>77</v>
      </c>
      <c r="C787" t="s" s="0">
        <v>77</v>
      </c>
      <c r="D787" t="s" s="0">
        <v>77</v>
      </c>
      <c r="E787" t="s" s="0">
        <v>17189</v>
      </c>
      <c r="F787" t="s" s="0">
        <v>17190</v>
      </c>
      <c r="G787" t="s" s="0">
        <v>17191</v>
      </c>
      <c r="H787" t="s" s="0">
        <v>81</v>
      </c>
      <c r="I787" t="s" s="0">
        <v>238</v>
      </c>
      <c r="J787" t="s" s="0">
        <v>17192</v>
      </c>
      <c r="K787" t="s" s="0">
        <v>17193</v>
      </c>
      <c r="L787" t="s" s="0">
        <v>81</v>
      </c>
      <c r="M787" t="s" s="0">
        <v>81</v>
      </c>
      <c r="N787" t="s" s="0">
        <v>81</v>
      </c>
      <c r="O787" t="s" s="0">
        <v>17194</v>
      </c>
      <c r="P787" t="s" s="0">
        <v>17195</v>
      </c>
      <c r="Q787" t="s" s="0">
        <v>87</v>
      </c>
      <c r="R787" t="s" s="0">
        <v>81</v>
      </c>
      <c r="S787" t="s" s="0">
        <v>81</v>
      </c>
      <c r="T787" t="s" s="0">
        <v>81</v>
      </c>
      <c r="U787" t="s" s="0">
        <v>81</v>
      </c>
      <c r="V787" t="s" s="0">
        <v>17196</v>
      </c>
      <c r="W787" t="s" s="0">
        <v>9950</v>
      </c>
      <c r="X787" t="s" s="0">
        <v>81</v>
      </c>
      <c r="Y787" t="s" s="0">
        <v>81</v>
      </c>
      <c r="Z787" t="s" s="0">
        <v>90</v>
      </c>
      <c r="AA787" t="s" s="0">
        <v>91</v>
      </c>
      <c r="AB787" t="s" s="0">
        <v>81</v>
      </c>
      <c r="AC787" t="s" s="0">
        <v>81</v>
      </c>
      <c r="AD787" t="s" s="0">
        <v>81</v>
      </c>
      <c r="AE787" t="s" s="0">
        <v>81</v>
      </c>
      <c r="AF787" t="s" s="0">
        <v>81</v>
      </c>
      <c r="AG787" t="s" s="0">
        <v>17197</v>
      </c>
      <c r="AH787" t="s" s="0">
        <v>17198</v>
      </c>
      <c r="AI787" t="s" s="0">
        <v>17199</v>
      </c>
      <c r="AJ787" t="s" s="0">
        <v>17200</v>
      </c>
      <c r="AK787" t="s" s="0">
        <v>81</v>
      </c>
      <c r="AL787" t="s" s="0">
        <v>134</v>
      </c>
      <c r="AM787" t="s" s="0">
        <v>77</v>
      </c>
      <c r="AN787" t="s" s="0">
        <v>77</v>
      </c>
      <c r="AO787" t="s" s="0">
        <v>77</v>
      </c>
      <c r="AP787" t="s" s="0">
        <v>77</v>
      </c>
      <c r="AQ787" t="s" s="0">
        <v>3016</v>
      </c>
      <c r="AR787" t="s" s="0">
        <v>546</v>
      </c>
      <c r="AS787" t="s" s="0">
        <v>3017</v>
      </c>
      <c r="AT787" t="s" s="0">
        <v>9955</v>
      </c>
      <c r="AU787" t="s" s="0">
        <v>9956</v>
      </c>
      <c r="AV787" t="s" s="0">
        <v>81</v>
      </c>
      <c r="AW787" t="s" s="0">
        <v>9957</v>
      </c>
      <c r="AX787" t="s" s="0">
        <v>9958</v>
      </c>
      <c r="AY787" t="s" s="0">
        <v>17201</v>
      </c>
      <c r="AZ787" t="s" s="0">
        <v>103</v>
      </c>
      <c r="BA787" t="s" s="0">
        <v>261</v>
      </c>
      <c r="BB787" t="s" s="0">
        <v>156</v>
      </c>
      <c r="BC787" t="s" s="0">
        <v>81</v>
      </c>
      <c r="BD787" t="s" s="0">
        <v>81</v>
      </c>
      <c r="BE787" t="s" s="0">
        <v>81</v>
      </c>
      <c r="BF787" t="s" s="0">
        <v>81</v>
      </c>
      <c r="BG787" t="s" s="0">
        <v>81</v>
      </c>
      <c r="BH787" t="s" s="0">
        <v>81</v>
      </c>
      <c r="BI787" t="s" s="0">
        <v>150</v>
      </c>
      <c r="BJ787" t="s" s="0">
        <v>17202</v>
      </c>
      <c r="BK787" t="s" s="1564">
        <f>HYPERLINK("http://dx.doi.org/10.1007/s42001-026-00462-7","http://dx.doi.org/10.1007/s42001-026-00462-7")</f>
        <v>17203</v>
      </c>
      <c r="BL787" t="s" s="0">
        <v>81</v>
      </c>
      <c r="BM787" t="s" s="0">
        <v>81</v>
      </c>
      <c r="BN787" t="s" s="0">
        <v>134</v>
      </c>
      <c r="BO787" t="s" s="0">
        <v>9962</v>
      </c>
      <c r="BP787" t="s" s="0">
        <v>9963</v>
      </c>
      <c r="BQ787" t="s" s="0">
        <v>17204</v>
      </c>
      <c r="BR787" t="s" s="0">
        <v>81</v>
      </c>
      <c r="BS787" t="s" s="0">
        <v>17205</v>
      </c>
      <c r="BT787" t="s" s="1565">
        <f>HYPERLINK("https://www.webofscience.com/wos/woscc/full-record/WOS:001711679800001","View Record in Web of Science")</f>
        <v>114</v>
      </c>
      <c r="BU787" t="s" s="0">
        <v>81</v>
      </c>
      <c r="BV787" t="s" s="0">
        <v>81</v>
      </c>
      <c r="BW787" t="s" s="0">
        <v>81</v>
      </c>
      <c r="BX787" t="s" s="0">
        <v>116</v>
      </c>
    </row>
    <row r="788">
      <c r="A788" t="s" s="0">
        <v>77</v>
      </c>
      <c r="B788" t="s" s="0">
        <v>77</v>
      </c>
      <c r="C788" t="s" s="0">
        <v>77</v>
      </c>
      <c r="D788" t="s" s="0">
        <v>77</v>
      </c>
      <c r="E788" t="s" s="0">
        <v>17206</v>
      </c>
      <c r="F788" t="s" s="0">
        <v>17207</v>
      </c>
      <c r="G788" t="s" s="0">
        <v>17208</v>
      </c>
      <c r="H788" t="s" s="0">
        <v>81</v>
      </c>
      <c r="I788" t="s" s="0">
        <v>528</v>
      </c>
      <c r="J788" t="s" s="0">
        <v>17209</v>
      </c>
      <c r="K788" t="s" s="0">
        <v>17210</v>
      </c>
      <c r="L788" t="s" s="0">
        <v>17211</v>
      </c>
      <c r="M788" t="s" s="0">
        <v>17212</v>
      </c>
      <c r="N788" t="s" s="0">
        <v>17213</v>
      </c>
      <c r="O788" t="s" s="0">
        <v>17214</v>
      </c>
      <c r="P788" t="s" s="0">
        <v>17215</v>
      </c>
      <c r="Q788" t="s" s="0">
        <v>87</v>
      </c>
      <c r="R788" t="s" s="0">
        <v>81</v>
      </c>
      <c r="S788" t="s" s="0">
        <v>81</v>
      </c>
      <c r="T788" t="s" s="0">
        <v>81</v>
      </c>
      <c r="U788" t="s" s="0">
        <v>81</v>
      </c>
      <c r="V788" t="s" s="0">
        <v>17216</v>
      </c>
      <c r="W788" t="s" s="0">
        <v>8380</v>
      </c>
      <c r="X788" t="s" s="0">
        <v>81</v>
      </c>
      <c r="Y788" t="s" s="0">
        <v>81</v>
      </c>
      <c r="Z788" t="s" s="0">
        <v>90</v>
      </c>
      <c r="AA788" t="s" s="0">
        <v>91</v>
      </c>
      <c r="AB788" t="s" s="0">
        <v>81</v>
      </c>
      <c r="AC788" t="s" s="0">
        <v>81</v>
      </c>
      <c r="AD788" t="s" s="0">
        <v>81</v>
      </c>
      <c r="AE788" t="s" s="0">
        <v>81</v>
      </c>
      <c r="AF788" t="s" s="0">
        <v>81</v>
      </c>
      <c r="AG788" t="s" s="0">
        <v>17217</v>
      </c>
      <c r="AH788" t="s" s="0">
        <v>81</v>
      </c>
      <c r="AI788" t="s" s="0">
        <v>17218</v>
      </c>
      <c r="AJ788" t="s" s="0">
        <v>17219</v>
      </c>
      <c r="AK788" t="s" s="0">
        <v>81</v>
      </c>
      <c r="AL788" t="s" s="0">
        <v>150</v>
      </c>
      <c r="AM788" t="s" s="0">
        <v>486</v>
      </c>
      <c r="AN788" t="s" s="0">
        <v>486</v>
      </c>
      <c r="AO788" t="s" s="0">
        <v>77</v>
      </c>
      <c r="AP788" t="s" s="0">
        <v>104</v>
      </c>
      <c r="AQ788" t="s" s="0">
        <v>1654</v>
      </c>
      <c r="AR788" t="s" s="0">
        <v>1345</v>
      </c>
      <c r="AS788" t="s" s="0">
        <v>1655</v>
      </c>
      <c r="AT788" t="s" s="0">
        <v>8385</v>
      </c>
      <c r="AU788" t="s" s="0">
        <v>8386</v>
      </c>
      <c r="AV788" t="s" s="0">
        <v>81</v>
      </c>
      <c r="AW788" t="s" s="0">
        <v>8387</v>
      </c>
      <c r="AX788" t="s" s="0">
        <v>8388</v>
      </c>
      <c r="AY788" t="s" s="0">
        <v>17220</v>
      </c>
      <c r="AZ788" t="s" s="0">
        <v>220</v>
      </c>
      <c r="BA788" t="s" s="0">
        <v>890</v>
      </c>
      <c r="BB788" t="s" s="0">
        <v>191</v>
      </c>
      <c r="BC788" t="s" s="0">
        <v>81</v>
      </c>
      <c r="BD788" t="s" s="0">
        <v>81</v>
      </c>
      <c r="BE788" t="s" s="0">
        <v>81</v>
      </c>
      <c r="BF788" t="s" s="0">
        <v>81</v>
      </c>
      <c r="BG788" t="s" s="0">
        <v>17221</v>
      </c>
      <c r="BH788" t="s" s="0">
        <v>17222</v>
      </c>
      <c r="BI788" t="s" s="0">
        <v>81</v>
      </c>
      <c r="BJ788" t="s" s="0">
        <v>17223</v>
      </c>
      <c r="BK788" t="s" s="1566">
        <f>HYPERLINK("http://dx.doi.org/10.1093/jamia/ocac131","http://dx.doi.org/10.1093/jamia/ocac131")</f>
        <v>17224</v>
      </c>
      <c r="BL788" t="s" s="0">
        <v>81</v>
      </c>
      <c r="BM788" t="s" s="0">
        <v>4523</v>
      </c>
      <c r="BN788" t="s" s="0">
        <v>261</v>
      </c>
      <c r="BO788" t="s" s="0">
        <v>8391</v>
      </c>
      <c r="BP788" t="s" s="0">
        <v>8392</v>
      </c>
      <c r="BQ788" t="s" s="0">
        <v>17225</v>
      </c>
      <c r="BR788" t="s" s="0">
        <v>17226</v>
      </c>
      <c r="BS788" t="s" s="0">
        <v>17227</v>
      </c>
      <c r="BT788" t="s" s="1567">
        <f>HYPERLINK("https://www.webofscience.com/wos/woscc/full-record/WOS:000836140200001","View Record in Web of Science")</f>
        <v>114</v>
      </c>
      <c r="BU788" t="s" s="0">
        <v>233</v>
      </c>
      <c r="BV788" t="s" s="0">
        <v>81</v>
      </c>
      <c r="BW788" t="s" s="0">
        <v>81</v>
      </c>
      <c r="BX788" t="s" s="0">
        <v>116</v>
      </c>
    </row>
    <row r="789">
      <c r="A789" t="s" s="0">
        <v>77</v>
      </c>
      <c r="B789" t="s" s="0">
        <v>77</v>
      </c>
      <c r="C789" t="s" s="0">
        <v>77</v>
      </c>
      <c r="D789" t="s" s="0">
        <v>77</v>
      </c>
      <c r="E789" t="s" s="0">
        <v>17228</v>
      </c>
      <c r="F789" t="s" s="0">
        <v>17229</v>
      </c>
      <c r="G789" t="s" s="0">
        <v>17230</v>
      </c>
      <c r="H789" t="s" s="0">
        <v>81</v>
      </c>
      <c r="I789" t="s" s="0">
        <v>238</v>
      </c>
      <c r="J789" t="s" s="0">
        <v>17231</v>
      </c>
      <c r="K789" t="s" s="0">
        <v>17232</v>
      </c>
      <c r="L789" t="s" s="0">
        <v>17233</v>
      </c>
      <c r="M789" t="s" s="0">
        <v>17234</v>
      </c>
      <c r="N789" t="s" s="0">
        <v>17235</v>
      </c>
      <c r="O789" t="s" s="0">
        <v>17236</v>
      </c>
      <c r="P789" t="s" s="0">
        <v>17237</v>
      </c>
      <c r="Q789" t="s" s="0">
        <v>87</v>
      </c>
      <c r="R789" t="s" s="0">
        <v>81</v>
      </c>
      <c r="S789" t="s" s="0">
        <v>81</v>
      </c>
      <c r="T789" t="s" s="0">
        <v>81</v>
      </c>
      <c r="U789" t="s" s="0">
        <v>81</v>
      </c>
      <c r="V789" t="s" s="0">
        <v>17238</v>
      </c>
      <c r="W789" t="s" s="0">
        <v>17239</v>
      </c>
      <c r="X789" t="s" s="0">
        <v>81</v>
      </c>
      <c r="Y789" t="s" s="0">
        <v>81</v>
      </c>
      <c r="Z789" t="s" s="0">
        <v>90</v>
      </c>
      <c r="AA789" t="s" s="0">
        <v>91</v>
      </c>
      <c r="AB789" t="s" s="0">
        <v>81</v>
      </c>
      <c r="AC789" t="s" s="0">
        <v>81</v>
      </c>
      <c r="AD789" t="s" s="0">
        <v>81</v>
      </c>
      <c r="AE789" t="s" s="0">
        <v>81</v>
      </c>
      <c r="AF789" t="s" s="0">
        <v>81</v>
      </c>
      <c r="AG789" t="s" s="0">
        <v>17240</v>
      </c>
      <c r="AH789" t="s" s="0">
        <v>81</v>
      </c>
      <c r="AI789" t="s" s="0">
        <v>17241</v>
      </c>
      <c r="AJ789" t="s" s="0">
        <v>81</v>
      </c>
      <c r="AK789" t="s" s="0">
        <v>81</v>
      </c>
      <c r="AL789" t="s" s="0">
        <v>890</v>
      </c>
      <c r="AM789" t="s" s="0">
        <v>77</v>
      </c>
      <c r="AN789" t="s" s="0">
        <v>77</v>
      </c>
      <c r="AO789" t="s" s="0">
        <v>77</v>
      </c>
      <c r="AP789" t="s" s="0">
        <v>77</v>
      </c>
      <c r="AQ789" t="s" s="0">
        <v>368</v>
      </c>
      <c r="AR789" t="s" s="0">
        <v>369</v>
      </c>
      <c r="AS789" t="s" s="0">
        <v>370</v>
      </c>
      <c r="AT789" t="s" s="0">
        <v>81</v>
      </c>
      <c r="AU789" t="s" s="0">
        <v>17242</v>
      </c>
      <c r="AV789" t="s" s="0">
        <v>81</v>
      </c>
      <c r="AW789" t="s" s="0">
        <v>17243</v>
      </c>
      <c r="AX789" t="s" s="0">
        <v>17244</v>
      </c>
      <c r="AY789" t="s" s="0">
        <v>5296</v>
      </c>
      <c r="AZ789" t="s" s="0">
        <v>103</v>
      </c>
      <c r="BA789" t="s" s="0">
        <v>316</v>
      </c>
      <c r="BB789" t="s" s="0">
        <v>81</v>
      </c>
      <c r="BC789" t="s" s="0">
        <v>81</v>
      </c>
      <c r="BD789" t="s" s="0">
        <v>81</v>
      </c>
      <c r="BE789" t="s" s="0">
        <v>81</v>
      </c>
      <c r="BF789" t="s" s="0">
        <v>81</v>
      </c>
      <c r="BG789" t="s" s="0">
        <v>81</v>
      </c>
      <c r="BH789" t="s" s="0">
        <v>81</v>
      </c>
      <c r="BI789" t="s" s="0">
        <v>17245</v>
      </c>
      <c r="BJ789" t="s" s="0">
        <v>17246</v>
      </c>
      <c r="BK789" t="s" s="1568">
        <f>HYPERLINK("http://dx.doi.org/10.3389/fradi.2026.1875867","http://dx.doi.org/10.3389/fradi.2026.1875867")</f>
        <v>17247</v>
      </c>
      <c r="BL789" t="s" s="0">
        <v>81</v>
      </c>
      <c r="BM789" t="s" s="0">
        <v>3366</v>
      </c>
      <c r="BN789" t="s" s="0">
        <v>291</v>
      </c>
      <c r="BO789" t="s" s="0">
        <v>738</v>
      </c>
      <c r="BP789" t="s" s="0">
        <v>738</v>
      </c>
      <c r="BQ789" t="s" s="0">
        <v>17248</v>
      </c>
      <c r="BR789" t="s" s="0">
        <v>17249</v>
      </c>
      <c r="BS789" t="s" s="0">
        <v>17250</v>
      </c>
      <c r="BT789" t="s" s="1569">
        <f>HYPERLINK("https://www.webofscience.com/wos/woscc/full-record/WOS:001822191800001","View Record in Web of Science")</f>
        <v>114</v>
      </c>
      <c r="BU789" t="s" s="0">
        <v>301</v>
      </c>
      <c r="BV789" t="s" s="0">
        <v>81</v>
      </c>
      <c r="BW789" t="s" s="0">
        <v>81</v>
      </c>
      <c r="BX789" t="s" s="0">
        <v>116</v>
      </c>
    </row>
    <row r="790">
      <c r="A790" t="s" s="0">
        <v>97</v>
      </c>
      <c r="B790" t="s" s="0">
        <v>77</v>
      </c>
      <c r="C790" t="s" s="0">
        <v>175</v>
      </c>
      <c r="D790" t="s" s="0">
        <v>77</v>
      </c>
      <c r="E790" t="s" s="0">
        <v>17251</v>
      </c>
      <c r="F790" t="s" s="0">
        <v>17252</v>
      </c>
      <c r="G790" t="s" s="0">
        <v>17253</v>
      </c>
      <c r="H790" t="s" s="0">
        <v>81</v>
      </c>
      <c r="I790" t="s" s="0">
        <v>238</v>
      </c>
      <c r="J790" t="s" s="0">
        <v>17254</v>
      </c>
      <c r="K790" t="s" s="0">
        <v>14278</v>
      </c>
      <c r="L790" t="s" s="0">
        <v>17255</v>
      </c>
      <c r="M790" t="s" s="0">
        <v>17256</v>
      </c>
      <c r="N790" t="s" s="0">
        <v>17257</v>
      </c>
      <c r="O790" t="s" s="0">
        <v>17258</v>
      </c>
      <c r="P790" t="s" s="0">
        <v>17259</v>
      </c>
      <c r="Q790" t="s" s="0">
        <v>87</v>
      </c>
      <c r="R790" t="s" s="0">
        <v>81</v>
      </c>
      <c r="S790" t="s" s="0">
        <v>81</v>
      </c>
      <c r="T790" t="s" s="0">
        <v>81</v>
      </c>
      <c r="U790" t="s" s="0">
        <v>81</v>
      </c>
      <c r="V790" t="s" s="0">
        <v>17260</v>
      </c>
      <c r="W790" t="s" s="0">
        <v>10144</v>
      </c>
      <c r="X790" t="s" s="0">
        <v>81</v>
      </c>
      <c r="Y790" t="s" s="0">
        <v>81</v>
      </c>
      <c r="Z790" t="s" s="0">
        <v>90</v>
      </c>
      <c r="AA790" t="s" s="0">
        <v>91</v>
      </c>
      <c r="AB790" t="s" s="0">
        <v>81</v>
      </c>
      <c r="AC790" t="s" s="0">
        <v>81</v>
      </c>
      <c r="AD790" t="s" s="0">
        <v>81</v>
      </c>
      <c r="AE790" t="s" s="0">
        <v>81</v>
      </c>
      <c r="AF790" t="s" s="0">
        <v>81</v>
      </c>
      <c r="AG790" t="s" s="0">
        <v>17261</v>
      </c>
      <c r="AH790" t="s" s="0">
        <v>17262</v>
      </c>
      <c r="AI790" t="s" s="0">
        <v>17263</v>
      </c>
      <c r="AJ790" t="s" s="0">
        <v>17264</v>
      </c>
      <c r="AK790" t="s" s="0">
        <v>81</v>
      </c>
      <c r="AL790" t="s" s="0">
        <v>819</v>
      </c>
      <c r="AM790" t="s" s="0">
        <v>485</v>
      </c>
      <c r="AN790" t="s" s="0">
        <v>210</v>
      </c>
      <c r="AO790" t="s" s="0">
        <v>156</v>
      </c>
      <c r="AP790" t="s" s="0">
        <v>211</v>
      </c>
      <c r="AQ790" t="s" s="0">
        <v>3061</v>
      </c>
      <c r="AR790" t="s" s="0">
        <v>3062</v>
      </c>
      <c r="AS790" t="s" s="0">
        <v>3063</v>
      </c>
      <c r="AT790" t="s" s="0">
        <v>81</v>
      </c>
      <c r="AU790" t="s" s="0">
        <v>10146</v>
      </c>
      <c r="AV790" t="s" s="0">
        <v>81</v>
      </c>
      <c r="AW790" t="s" s="0">
        <v>10147</v>
      </c>
      <c r="AX790" t="s" s="0">
        <v>10148</v>
      </c>
      <c r="AY790" t="s" s="0">
        <v>260</v>
      </c>
      <c r="AZ790" t="s" s="0">
        <v>260</v>
      </c>
      <c r="BA790" t="s" s="0">
        <v>234</v>
      </c>
      <c r="BB790" t="s" s="0">
        <v>81</v>
      </c>
      <c r="BC790" t="s" s="0">
        <v>81</v>
      </c>
      <c r="BD790" t="s" s="0">
        <v>81</v>
      </c>
      <c r="BE790" t="s" s="0">
        <v>81</v>
      </c>
      <c r="BF790" t="s" s="0">
        <v>81</v>
      </c>
      <c r="BG790" t="s" s="0">
        <v>81</v>
      </c>
      <c r="BH790" t="s" s="0">
        <v>81</v>
      </c>
      <c r="BI790" t="s" s="0">
        <v>81</v>
      </c>
      <c r="BJ790" t="s" s="0">
        <v>17265</v>
      </c>
      <c r="BK790" t="s" s="1570">
        <f>HYPERLINK("http://dx.doi.org/10.2196/39862","http://dx.doi.org/10.2196/39862")</f>
        <v>17266</v>
      </c>
      <c r="BL790" t="s" s="0">
        <v>81</v>
      </c>
      <c r="BM790" t="s" s="0">
        <v>81</v>
      </c>
      <c r="BN790" t="s" s="0">
        <v>874</v>
      </c>
      <c r="BO790" t="s" s="0">
        <v>792</v>
      </c>
      <c r="BP790" t="s" s="0">
        <v>792</v>
      </c>
      <c r="BQ790" t="s" s="0">
        <v>17267</v>
      </c>
      <c r="BR790" t="s" s="0">
        <v>17268</v>
      </c>
      <c r="BS790" t="s" s="0">
        <v>17269</v>
      </c>
      <c r="BT790" t="s" s="1571">
        <f>HYPERLINK("https://www.webofscience.com/wos/woscc/full-record/WOS:000998490100049","View Record in Web of Science")</f>
        <v>114</v>
      </c>
      <c r="BU790" t="s" s="0">
        <v>301</v>
      </c>
      <c r="BV790" t="s" s="0">
        <v>81</v>
      </c>
      <c r="BW790" t="s" s="0">
        <v>81</v>
      </c>
      <c r="BX790" t="s" s="0">
        <v>116</v>
      </c>
    </row>
    <row r="791">
      <c r="A791" t="s" s="0">
        <v>77</v>
      </c>
      <c r="B791" t="s" s="0">
        <v>77</v>
      </c>
      <c r="C791" t="s" s="0">
        <v>77</v>
      </c>
      <c r="D791" t="s" s="0">
        <v>77</v>
      </c>
      <c r="E791" t="s" s="0">
        <v>17270</v>
      </c>
      <c r="F791" t="s" s="0">
        <v>17271</v>
      </c>
      <c r="G791" t="s" s="0">
        <v>17272</v>
      </c>
      <c r="H791" t="s" s="0">
        <v>81</v>
      </c>
      <c r="I791" t="s" s="0">
        <v>238</v>
      </c>
      <c r="J791" t="s" s="0">
        <v>17273</v>
      </c>
      <c r="K791" t="s" s="0">
        <v>17274</v>
      </c>
      <c r="L791" t="s" s="0">
        <v>81</v>
      </c>
      <c r="M791" t="s" s="0">
        <v>81</v>
      </c>
      <c r="N791" t="s" s="0">
        <v>81</v>
      </c>
      <c r="O791" t="s" s="0">
        <v>17275</v>
      </c>
      <c r="P791" t="s" s="0">
        <v>17276</v>
      </c>
      <c r="Q791" t="s" s="0">
        <v>87</v>
      </c>
      <c r="R791" t="s" s="0">
        <v>81</v>
      </c>
      <c r="S791" t="s" s="0">
        <v>81</v>
      </c>
      <c r="T791" t="s" s="0">
        <v>81</v>
      </c>
      <c r="U791" t="s" s="0">
        <v>81</v>
      </c>
      <c r="V791" t="s" s="0">
        <v>17277</v>
      </c>
      <c r="W791" t="s" s="0">
        <v>17278</v>
      </c>
      <c r="X791" t="s" s="0">
        <v>81</v>
      </c>
      <c r="Y791" t="s" s="0">
        <v>81</v>
      </c>
      <c r="Z791" t="s" s="0">
        <v>90</v>
      </c>
      <c r="AA791" t="s" s="0">
        <v>91</v>
      </c>
      <c r="AB791" t="s" s="0">
        <v>81</v>
      </c>
      <c r="AC791" t="s" s="0">
        <v>81</v>
      </c>
      <c r="AD791" t="s" s="0">
        <v>81</v>
      </c>
      <c r="AE791" t="s" s="0">
        <v>81</v>
      </c>
      <c r="AF791" t="s" s="0">
        <v>81</v>
      </c>
      <c r="AG791" t="s" s="0">
        <v>17279</v>
      </c>
      <c r="AH791" t="s" s="0">
        <v>17280</v>
      </c>
      <c r="AI791" t="s" s="0">
        <v>17281</v>
      </c>
      <c r="AJ791" t="s" s="0">
        <v>81</v>
      </c>
      <c r="AK791" t="s" s="0">
        <v>81</v>
      </c>
      <c r="AL791" t="s" s="0">
        <v>252</v>
      </c>
      <c r="AM791" t="s" s="0">
        <v>77</v>
      </c>
      <c r="AN791" t="s" s="0">
        <v>77</v>
      </c>
      <c r="AO791" t="s" s="0">
        <v>97</v>
      </c>
      <c r="AP791" t="s" s="0">
        <v>97</v>
      </c>
      <c r="AQ791" t="s" s="0">
        <v>3061</v>
      </c>
      <c r="AR791" t="s" s="0">
        <v>3062</v>
      </c>
      <c r="AS791" t="s" s="0">
        <v>3063</v>
      </c>
      <c r="AT791" t="s" s="0">
        <v>17282</v>
      </c>
      <c r="AU791" t="s" s="0">
        <v>81</v>
      </c>
      <c r="AV791" t="s" s="0">
        <v>81</v>
      </c>
      <c r="AW791" t="s" s="0">
        <v>17283</v>
      </c>
      <c r="AX791" t="s" s="0">
        <v>17284</v>
      </c>
      <c r="AY791" t="s" s="0">
        <v>103</v>
      </c>
      <c r="AZ791" t="s" s="0">
        <v>103</v>
      </c>
      <c r="BA791" t="s" s="0">
        <v>291</v>
      </c>
      <c r="BB791" t="s" s="0">
        <v>81</v>
      </c>
      <c r="BC791" t="s" s="0">
        <v>81</v>
      </c>
      <c r="BD791" t="s" s="0">
        <v>81</v>
      </c>
      <c r="BE791" t="s" s="0">
        <v>81</v>
      </c>
      <c r="BF791" t="s" s="0">
        <v>81</v>
      </c>
      <c r="BG791" t="s" s="0">
        <v>81</v>
      </c>
      <c r="BH791" t="s" s="0">
        <v>81</v>
      </c>
      <c r="BI791" t="s" s="0">
        <v>17285</v>
      </c>
      <c r="BJ791" t="s" s="0">
        <v>17286</v>
      </c>
      <c r="BK791" t="s" s="1572">
        <f>HYPERLINK("http://dx.doi.org/10.2196/90456","http://dx.doi.org/10.2196/90456")</f>
        <v>17287</v>
      </c>
      <c r="BL791" t="s" s="0">
        <v>81</v>
      </c>
      <c r="BM791" t="s" s="0">
        <v>81</v>
      </c>
      <c r="BN791" t="s" s="0">
        <v>134</v>
      </c>
      <c r="BO791" t="s" s="0">
        <v>17288</v>
      </c>
      <c r="BP791" t="s" s="0">
        <v>17288</v>
      </c>
      <c r="BQ791" t="s" s="0">
        <v>17289</v>
      </c>
      <c r="BR791" t="s" s="0">
        <v>17290</v>
      </c>
      <c r="BS791" t="s" s="0">
        <v>17291</v>
      </c>
      <c r="BT791" t="s" s="1573">
        <f>HYPERLINK("https://www.webofscience.com/wos/woscc/full-record/WOS:001783091600005","View Record in Web of Science")</f>
        <v>114</v>
      </c>
      <c r="BU791" t="s" s="0">
        <v>301</v>
      </c>
      <c r="BV791" t="s" s="0">
        <v>81</v>
      </c>
      <c r="BW791" t="s" s="0">
        <v>81</v>
      </c>
      <c r="BX791" t="s" s="0">
        <v>116</v>
      </c>
    </row>
    <row r="792">
      <c r="A792" t="s" s="0">
        <v>77</v>
      </c>
      <c r="B792" t="s" s="0">
        <v>77</v>
      </c>
      <c r="C792" t="s" s="0">
        <v>97</v>
      </c>
      <c r="D792" t="s" s="0">
        <v>77</v>
      </c>
      <c r="E792" t="s" s="0">
        <v>17292</v>
      </c>
      <c r="F792" t="s" s="0">
        <v>17293</v>
      </c>
      <c r="G792" t="s" s="0">
        <v>17294</v>
      </c>
      <c r="H792" t="s" s="0">
        <v>81</v>
      </c>
      <c r="I792" t="s" s="0">
        <v>82</v>
      </c>
      <c r="J792" t="s" s="0">
        <v>17295</v>
      </c>
      <c r="K792" t="s" s="0">
        <v>17296</v>
      </c>
      <c r="L792" t="s" s="0">
        <v>4467</v>
      </c>
      <c r="M792" t="s" s="0">
        <v>1850</v>
      </c>
      <c r="N792" t="s" s="0">
        <v>17297</v>
      </c>
      <c r="O792" t="s" s="0">
        <v>17298</v>
      </c>
      <c r="P792" t="s" s="0">
        <v>17299</v>
      </c>
      <c r="Q792" t="s" s="0">
        <v>87</v>
      </c>
      <c r="R792" t="s" s="0">
        <v>81</v>
      </c>
      <c r="S792" t="s" s="0">
        <v>81</v>
      </c>
      <c r="T792" t="s" s="0">
        <v>81</v>
      </c>
      <c r="U792" t="s" s="0">
        <v>81</v>
      </c>
      <c r="V792" t="s" s="0">
        <v>17300</v>
      </c>
      <c r="W792" t="s" s="0">
        <v>17301</v>
      </c>
      <c r="X792" t="s" s="0">
        <v>81</v>
      </c>
      <c r="Y792" t="s" s="0">
        <v>81</v>
      </c>
      <c r="Z792" t="s" s="0">
        <v>90</v>
      </c>
      <c r="AA792" t="s" s="0">
        <v>91</v>
      </c>
      <c r="AB792" t="s" s="0">
        <v>81</v>
      </c>
      <c r="AC792" t="s" s="0">
        <v>81</v>
      </c>
      <c r="AD792" t="s" s="0">
        <v>81</v>
      </c>
      <c r="AE792" t="s" s="0">
        <v>81</v>
      </c>
      <c r="AF792" t="s" s="0">
        <v>81</v>
      </c>
      <c r="AG792" t="s" s="0">
        <v>17302</v>
      </c>
      <c r="AH792" t="s" s="0">
        <v>17303</v>
      </c>
      <c r="AI792" t="s" s="0">
        <v>17304</v>
      </c>
      <c r="AJ792" t="s" s="0">
        <v>17305</v>
      </c>
      <c r="AK792" t="s" s="0">
        <v>81</v>
      </c>
      <c r="AL792" t="s" s="0">
        <v>543</v>
      </c>
      <c r="AM792" t="s" s="0">
        <v>134</v>
      </c>
      <c r="AN792" t="s" s="0">
        <v>134</v>
      </c>
      <c r="AO792" t="s" s="0">
        <v>97</v>
      </c>
      <c r="AP792" t="s" s="0">
        <v>486</v>
      </c>
      <c r="AQ792" t="s" s="0">
        <v>136</v>
      </c>
      <c r="AR792" t="s" s="0">
        <v>137</v>
      </c>
      <c r="AS792" t="s" s="0">
        <v>138</v>
      </c>
      <c r="AT792" t="s" s="0">
        <v>17306</v>
      </c>
      <c r="AU792" t="s" s="0">
        <v>17307</v>
      </c>
      <c r="AV792" t="s" s="0">
        <v>81</v>
      </c>
      <c r="AW792" t="s" s="0">
        <v>17301</v>
      </c>
      <c r="AX792" t="s" s="0">
        <v>17308</v>
      </c>
      <c r="AY792" t="s" s="0">
        <v>17309</v>
      </c>
      <c r="AZ792" t="s" s="0">
        <v>260</v>
      </c>
      <c r="BA792" t="s" s="0">
        <v>4930</v>
      </c>
      <c r="BB792" t="s" s="0">
        <v>81</v>
      </c>
      <c r="BC792" t="s" s="0">
        <v>81</v>
      </c>
      <c r="BD792" t="s" s="0">
        <v>81</v>
      </c>
      <c r="BE792" t="s" s="0">
        <v>81</v>
      </c>
      <c r="BF792" t="s" s="0">
        <v>81</v>
      </c>
      <c r="BG792" t="s" s="0">
        <v>81</v>
      </c>
      <c r="BH792" t="s" s="0">
        <v>81</v>
      </c>
      <c r="BI792" t="s" s="0">
        <v>17310</v>
      </c>
      <c r="BJ792" t="s" s="0">
        <v>17311</v>
      </c>
      <c r="BK792" t="s" s="1574">
        <f>HYPERLINK("http://dx.doi.org/10.1016/j.ultras.2023.107017","http://dx.doi.org/10.1016/j.ultras.2023.107017")</f>
        <v>17312</v>
      </c>
      <c r="BL792" t="s" s="0">
        <v>81</v>
      </c>
      <c r="BM792" t="s" s="0">
        <v>2081</v>
      </c>
      <c r="BN792" t="s" s="0">
        <v>134</v>
      </c>
      <c r="BO792" t="s" s="0">
        <v>17313</v>
      </c>
      <c r="BP792" t="s" s="0">
        <v>17313</v>
      </c>
      <c r="BQ792" t="s" s="0">
        <v>17314</v>
      </c>
      <c r="BR792" t="s" s="0">
        <v>17315</v>
      </c>
      <c r="BS792" t="s" s="0">
        <v>17316</v>
      </c>
      <c r="BT792" t="s" s="1575">
        <f>HYPERLINK("https://www.webofscience.com/wos/woscc/full-record/WOS:001004389700001","View Record in Web of Science")</f>
        <v>114</v>
      </c>
      <c r="BU792" t="s" s="0">
        <v>81</v>
      </c>
      <c r="BV792" t="s" s="0">
        <v>81</v>
      </c>
      <c r="BW792" t="s" s="0">
        <v>81</v>
      </c>
      <c r="BX792" t="s" s="0">
        <v>116</v>
      </c>
    </row>
    <row r="793">
      <c r="A793" t="s" s="0">
        <v>77</v>
      </c>
      <c r="B793" t="s" s="0">
        <v>77</v>
      </c>
      <c r="C793" t="s" s="0">
        <v>97</v>
      </c>
      <c r="D793" t="s" s="0">
        <v>97</v>
      </c>
      <c r="E793" t="s" s="0">
        <v>17317</v>
      </c>
      <c r="F793" t="s" s="0">
        <v>17318</v>
      </c>
      <c r="G793" t="s" s="0">
        <v>17319</v>
      </c>
      <c r="H793" t="s" s="0">
        <v>81</v>
      </c>
      <c r="I793" t="s" s="0">
        <v>528</v>
      </c>
      <c r="J793" t="s" s="0">
        <v>17320</v>
      </c>
      <c r="K793" t="s" s="0">
        <v>17321</v>
      </c>
      <c r="L793" t="s" s="0">
        <v>17322</v>
      </c>
      <c r="M793" t="s" s="0">
        <v>17322</v>
      </c>
      <c r="N793" t="s" s="0">
        <v>17323</v>
      </c>
      <c r="O793" t="s" s="0">
        <v>17324</v>
      </c>
      <c r="P793" t="s" s="0">
        <v>81</v>
      </c>
      <c r="Q793" t="s" s="0">
        <v>87</v>
      </c>
      <c r="R793" t="s" s="0">
        <v>81</v>
      </c>
      <c r="S793" t="s" s="0">
        <v>81</v>
      </c>
      <c r="T793" t="s" s="0">
        <v>81</v>
      </c>
      <c r="U793" t="s" s="0">
        <v>81</v>
      </c>
      <c r="V793" t="s" s="0">
        <v>17325</v>
      </c>
      <c r="W793" t="s" s="0">
        <v>9822</v>
      </c>
      <c r="X793" t="s" s="0">
        <v>81</v>
      </c>
      <c r="Y793" t="s" s="0">
        <v>81</v>
      </c>
      <c r="Z793" t="s" s="0">
        <v>90</v>
      </c>
      <c r="AA793" t="s" s="0">
        <v>91</v>
      </c>
      <c r="AB793" t="s" s="0">
        <v>81</v>
      </c>
      <c r="AC793" t="s" s="0">
        <v>81</v>
      </c>
      <c r="AD793" t="s" s="0">
        <v>81</v>
      </c>
      <c r="AE793" t="s" s="0">
        <v>81</v>
      </c>
      <c r="AF793" t="s" s="0">
        <v>81</v>
      </c>
      <c r="AG793" t="s" s="0">
        <v>17326</v>
      </c>
      <c r="AH793" t="s" s="0">
        <v>17327</v>
      </c>
      <c r="AI793" t="s" s="0">
        <v>17328</v>
      </c>
      <c r="AJ793" t="s" s="0">
        <v>17329</v>
      </c>
      <c r="AK793" t="s" s="0">
        <v>81</v>
      </c>
      <c r="AL793" t="s" s="0">
        <v>697</v>
      </c>
      <c r="AM793" t="s" s="0">
        <v>133</v>
      </c>
      <c r="AN793" t="s" s="0">
        <v>234</v>
      </c>
      <c r="AO793" t="s" s="0">
        <v>134</v>
      </c>
      <c r="AP793" t="s" s="0">
        <v>324</v>
      </c>
      <c r="AQ793" t="s" s="0">
        <v>9827</v>
      </c>
      <c r="AR793" t="s" s="0">
        <v>546</v>
      </c>
      <c r="AS793" t="s" s="0">
        <v>9828</v>
      </c>
      <c r="AT793" t="s" s="0">
        <v>9829</v>
      </c>
      <c r="AU793" t="s" s="0">
        <v>81</v>
      </c>
      <c r="AV793" t="s" s="0">
        <v>81</v>
      </c>
      <c r="AW793" t="s" s="0">
        <v>9830</v>
      </c>
      <c r="AX793" t="s" s="0">
        <v>9831</v>
      </c>
      <c r="AY793" t="s" s="0">
        <v>290</v>
      </c>
      <c r="AZ793" t="s" s="0">
        <v>290</v>
      </c>
      <c r="BA793" t="s" s="0">
        <v>191</v>
      </c>
      <c r="BB793" t="s" s="0">
        <v>81</v>
      </c>
      <c r="BC793" t="s" s="0">
        <v>81</v>
      </c>
      <c r="BD793" t="s" s="0">
        <v>81</v>
      </c>
      <c r="BE793" t="s" s="0">
        <v>81</v>
      </c>
      <c r="BF793" t="s" s="0">
        <v>81</v>
      </c>
      <c r="BG793" t="s" s="0">
        <v>81</v>
      </c>
      <c r="BH793" t="s" s="0">
        <v>81</v>
      </c>
      <c r="BI793" t="s" s="0">
        <v>17330</v>
      </c>
      <c r="BJ793" t="s" s="0">
        <v>17331</v>
      </c>
      <c r="BK793" t="s" s="1576">
        <f>HYPERLINK("http://dx.doi.org/10.1177/20552076251344385","http://dx.doi.org/10.1177/20552076251344385")</f>
        <v>17332</v>
      </c>
      <c r="BL793" t="s" s="0">
        <v>81</v>
      </c>
      <c r="BM793" t="s" s="0">
        <v>81</v>
      </c>
      <c r="BN793" t="s" s="0">
        <v>291</v>
      </c>
      <c r="BO793" t="s" s="0">
        <v>9835</v>
      </c>
      <c r="BP793" t="s" s="0">
        <v>9836</v>
      </c>
      <c r="BQ793" t="s" s="0">
        <v>17333</v>
      </c>
      <c r="BR793" t="s" s="0">
        <v>17334</v>
      </c>
      <c r="BS793" t="s" s="0">
        <v>17335</v>
      </c>
      <c r="BT793" t="s" s="1577">
        <f>HYPERLINK("https://www.webofscience.com/wos/woscc/full-record/WOS:001491540200001","View Record in Web of Science")</f>
        <v>114</v>
      </c>
      <c r="BU793" t="s" s="0">
        <v>301</v>
      </c>
      <c r="BV793" t="s" s="0">
        <v>81</v>
      </c>
      <c r="BW793" t="s" s="0">
        <v>81</v>
      </c>
      <c r="BX793" t="s" s="0">
        <v>116</v>
      </c>
    </row>
    <row r="794">
      <c r="A794" t="s" s="0">
        <v>77</v>
      </c>
      <c r="B794" t="s" s="0">
        <v>77</v>
      </c>
      <c r="C794" t="s" s="0">
        <v>77</v>
      </c>
      <c r="D794" t="s" s="0">
        <v>77</v>
      </c>
      <c r="E794" t="s" s="0">
        <v>17336</v>
      </c>
      <c r="F794" t="s" s="0">
        <v>17337</v>
      </c>
      <c r="G794" t="s" s="0">
        <v>17338</v>
      </c>
      <c r="H794" t="s" s="0">
        <v>81</v>
      </c>
      <c r="I794" t="s" s="0">
        <v>82</v>
      </c>
      <c r="J794" t="s" s="0">
        <v>17339</v>
      </c>
      <c r="K794" t="s" s="0">
        <v>17340</v>
      </c>
      <c r="L794" t="s" s="0">
        <v>17341</v>
      </c>
      <c r="M794" t="s" s="0">
        <v>17341</v>
      </c>
      <c r="N794" t="s" s="0">
        <v>17342</v>
      </c>
      <c r="O794" t="s" s="0">
        <v>17343</v>
      </c>
      <c r="P794" t="s" s="0">
        <v>17344</v>
      </c>
      <c r="Q794" t="s" s="0">
        <v>87</v>
      </c>
      <c r="R794" t="s" s="0">
        <v>81</v>
      </c>
      <c r="S794" t="s" s="0">
        <v>81</v>
      </c>
      <c r="T794" t="s" s="0">
        <v>81</v>
      </c>
      <c r="U794" t="s" s="0">
        <v>81</v>
      </c>
      <c r="V794" t="s" s="0">
        <v>17345</v>
      </c>
      <c r="W794" t="s" s="0">
        <v>89</v>
      </c>
      <c r="X794" t="s" s="0">
        <v>81</v>
      </c>
      <c r="Y794" t="s" s="0">
        <v>81</v>
      </c>
      <c r="Z794" t="s" s="0">
        <v>90</v>
      </c>
      <c r="AA794" t="s" s="0">
        <v>91</v>
      </c>
      <c r="AB794" t="s" s="0">
        <v>81</v>
      </c>
      <c r="AC794" t="s" s="0">
        <v>81</v>
      </c>
      <c r="AD794" t="s" s="0">
        <v>81</v>
      </c>
      <c r="AE794" t="s" s="0">
        <v>81</v>
      </c>
      <c r="AF794" t="s" s="0">
        <v>81</v>
      </c>
      <c r="AG794" t="s" s="0">
        <v>17346</v>
      </c>
      <c r="AH794" t="s" s="0">
        <v>81</v>
      </c>
      <c r="AI794" t="s" s="0">
        <v>17347</v>
      </c>
      <c r="AJ794" t="s" s="0">
        <v>17348</v>
      </c>
      <c r="AK794" t="s" s="0">
        <v>81</v>
      </c>
      <c r="AL794" t="s" s="0">
        <v>542</v>
      </c>
      <c r="AM794" t="s" s="0">
        <v>97</v>
      </c>
      <c r="AN794" t="s" s="0">
        <v>97</v>
      </c>
      <c r="AO794" t="s" s="0">
        <v>134</v>
      </c>
      <c r="AP794" t="s" s="0">
        <v>486</v>
      </c>
      <c r="AQ794" t="s" s="0">
        <v>98</v>
      </c>
      <c r="AR794" t="s" s="0">
        <v>99</v>
      </c>
      <c r="AS794" t="s" s="0">
        <v>100</v>
      </c>
      <c r="AT794" t="s" s="0">
        <v>101</v>
      </c>
      <c r="AU794" t="s" s="0">
        <v>81</v>
      </c>
      <c r="AV794" t="s" s="0">
        <v>81</v>
      </c>
      <c r="AW794" t="s" s="0">
        <v>89</v>
      </c>
      <c r="AX794" t="s" s="0">
        <v>102</v>
      </c>
      <c r="AY794" t="s" s="0">
        <v>103</v>
      </c>
      <c r="AZ794" t="s" s="0">
        <v>103</v>
      </c>
      <c r="BA794" t="s" s="0">
        <v>104</v>
      </c>
      <c r="BB794" t="s" s="0">
        <v>81</v>
      </c>
      <c r="BC794" t="s" s="0">
        <v>81</v>
      </c>
      <c r="BD794" t="s" s="0">
        <v>81</v>
      </c>
      <c r="BE794" t="s" s="0">
        <v>81</v>
      </c>
      <c r="BF794" t="s" s="0">
        <v>81</v>
      </c>
      <c r="BG794" t="s" s="0">
        <v>17349</v>
      </c>
      <c r="BH794" t="s" s="0">
        <v>17350</v>
      </c>
      <c r="BI794" t="s" s="0">
        <v>81</v>
      </c>
      <c r="BJ794" t="s" s="0">
        <v>17351</v>
      </c>
      <c r="BK794" t="s" s="1578">
        <f>HYPERLINK("http://dx.doi.org/10.1109/ACCESS.2026.3653763","http://dx.doi.org/10.1109/ACCESS.2026.3653763")</f>
        <v>17352</v>
      </c>
      <c r="BL794" t="s" s="0">
        <v>81</v>
      </c>
      <c r="BM794" t="s" s="0">
        <v>81</v>
      </c>
      <c r="BN794" t="s" s="0">
        <v>222</v>
      </c>
      <c r="BO794" t="s" s="0">
        <v>110</v>
      </c>
      <c r="BP794" t="s" s="0">
        <v>111</v>
      </c>
      <c r="BQ794" t="s" s="0">
        <v>17353</v>
      </c>
      <c r="BR794" t="s" s="0">
        <v>81</v>
      </c>
      <c r="BS794" t="s" s="0">
        <v>17354</v>
      </c>
      <c r="BT794" t="s" s="1579">
        <f>HYPERLINK("https://www.webofscience.com/wos/woscc/full-record/WOS:001666956500002","View Record in Web of Science")</f>
        <v>114</v>
      </c>
      <c r="BU794" t="s" s="0">
        <v>115</v>
      </c>
      <c r="BV794" t="s" s="0">
        <v>81</v>
      </c>
      <c r="BW794" t="s" s="0">
        <v>81</v>
      </c>
      <c r="BX794" t="s" s="0">
        <v>116</v>
      </c>
    </row>
    <row r="795">
      <c r="A795" t="s" s="0">
        <v>77</v>
      </c>
      <c r="B795" t="s" s="0">
        <v>77</v>
      </c>
      <c r="C795" t="s" s="0">
        <v>486</v>
      </c>
      <c r="D795" t="s" s="0">
        <v>77</v>
      </c>
      <c r="E795" t="s" s="0">
        <v>17355</v>
      </c>
      <c r="F795" t="s" s="0">
        <v>17356</v>
      </c>
      <c r="G795" t="s" s="0">
        <v>17357</v>
      </c>
      <c r="H795" t="s" s="0">
        <v>81</v>
      </c>
      <c r="I795" t="s" s="0">
        <v>82</v>
      </c>
      <c r="J795" t="s" s="0">
        <v>17358</v>
      </c>
      <c r="K795" t="s" s="0">
        <v>17359</v>
      </c>
      <c r="L795" t="s" s="0">
        <v>17360</v>
      </c>
      <c r="M795" t="s" s="0">
        <v>17361</v>
      </c>
      <c r="N795" t="s" s="0">
        <v>17362</v>
      </c>
      <c r="O795" t="s" s="0">
        <v>17363</v>
      </c>
      <c r="P795" t="s" s="0">
        <v>17364</v>
      </c>
      <c r="Q795" t="s" s="0">
        <v>87</v>
      </c>
      <c r="R795" t="s" s="0">
        <v>81</v>
      </c>
      <c r="S795" t="s" s="0">
        <v>81</v>
      </c>
      <c r="T795" t="s" s="0">
        <v>81</v>
      </c>
      <c r="U795" t="s" s="0">
        <v>81</v>
      </c>
      <c r="V795" t="s" s="0">
        <v>17365</v>
      </c>
      <c r="W795" t="s" s="0">
        <v>17366</v>
      </c>
      <c r="X795" t="s" s="0">
        <v>81</v>
      </c>
      <c r="Y795" t="s" s="0">
        <v>81</v>
      </c>
      <c r="Z795" t="s" s="0">
        <v>90</v>
      </c>
      <c r="AA795" t="s" s="0">
        <v>91</v>
      </c>
      <c r="AB795" t="s" s="0">
        <v>81</v>
      </c>
      <c r="AC795" t="s" s="0">
        <v>81</v>
      </c>
      <c r="AD795" t="s" s="0">
        <v>81</v>
      </c>
      <c r="AE795" t="s" s="0">
        <v>81</v>
      </c>
      <c r="AF795" t="s" s="0">
        <v>81</v>
      </c>
      <c r="AG795" t="s" s="0">
        <v>17367</v>
      </c>
      <c r="AH795" t="s" s="0">
        <v>17368</v>
      </c>
      <c r="AI795" t="s" s="0">
        <v>17369</v>
      </c>
      <c r="AJ795" t="s" s="0">
        <v>17370</v>
      </c>
      <c r="AK795" t="s" s="0">
        <v>81</v>
      </c>
      <c r="AL795" t="s" s="0">
        <v>3425</v>
      </c>
      <c r="AM795" t="s" s="0">
        <v>3518</v>
      </c>
      <c r="AN795" t="s" s="0">
        <v>508</v>
      </c>
      <c r="AO795" t="s" s="0">
        <v>97</v>
      </c>
      <c r="AP795" t="s" s="0">
        <v>367</v>
      </c>
      <c r="AQ795" t="s" s="0">
        <v>136</v>
      </c>
      <c r="AR795" t="s" s="0">
        <v>137</v>
      </c>
      <c r="AS795" t="s" s="0">
        <v>138</v>
      </c>
      <c r="AT795" t="s" s="0">
        <v>17371</v>
      </c>
      <c r="AU795" t="s" s="0">
        <v>17372</v>
      </c>
      <c r="AV795" t="s" s="0">
        <v>81</v>
      </c>
      <c r="AW795" t="s" s="0">
        <v>17373</v>
      </c>
      <c r="AX795" t="s" s="0">
        <v>17374</v>
      </c>
      <c r="AY795" t="s" s="0">
        <v>17375</v>
      </c>
      <c r="AZ795" t="s" s="0">
        <v>220</v>
      </c>
      <c r="BA795" t="s" s="0">
        <v>211</v>
      </c>
      <c r="BB795" t="s" s="0">
        <v>133</v>
      </c>
      <c r="BC795" t="s" s="0">
        <v>81</v>
      </c>
      <c r="BD795" t="s" s="0">
        <v>81</v>
      </c>
      <c r="BE795" t="s" s="0">
        <v>81</v>
      </c>
      <c r="BF795" t="s" s="0">
        <v>81</v>
      </c>
      <c r="BG795" t="s" s="0">
        <v>17376</v>
      </c>
      <c r="BH795" t="s" s="0">
        <v>17377</v>
      </c>
      <c r="BI795" t="s" s="0">
        <v>81</v>
      </c>
      <c r="BJ795" t="s" s="0">
        <v>17378</v>
      </c>
      <c r="BK795" t="s" s="1580">
        <f>HYPERLINK("http://dx.doi.org/10.1016/j.jaip.2022.01.047","http://dx.doi.org/10.1016/j.jaip.2022.01.047")</f>
        <v>17379</v>
      </c>
      <c r="BL795" t="s" s="0">
        <v>81</v>
      </c>
      <c r="BM795" t="s" s="0">
        <v>17375</v>
      </c>
      <c r="BN795" t="s" s="0">
        <v>191</v>
      </c>
      <c r="BO795" t="s" s="0">
        <v>16458</v>
      </c>
      <c r="BP795" t="s" s="0">
        <v>16458</v>
      </c>
      <c r="BQ795" t="s" s="0">
        <v>17380</v>
      </c>
      <c r="BR795" t="s" s="0">
        <v>17381</v>
      </c>
      <c r="BS795" t="s" s="0">
        <v>17382</v>
      </c>
      <c r="BT795" t="s" s="1581">
        <f>HYPERLINK("https://www.webofscience.com/wos/woscc/full-record/WOS:000832873900006","View Record in Web of Science")</f>
        <v>114</v>
      </c>
      <c r="BU795" t="s" s="0">
        <v>4914</v>
      </c>
      <c r="BV795" t="s" s="0">
        <v>81</v>
      </c>
      <c r="BW795" t="s" s="0">
        <v>81</v>
      </c>
      <c r="BX795" t="s" s="0">
        <v>116</v>
      </c>
    </row>
    <row r="796">
      <c r="A796" t="s" s="0">
        <v>77</v>
      </c>
      <c r="B796" t="s" s="0">
        <v>77</v>
      </c>
      <c r="C796" t="s" s="0">
        <v>77</v>
      </c>
      <c r="D796" t="s" s="0">
        <v>77</v>
      </c>
      <c r="E796" t="s" s="0">
        <v>17383</v>
      </c>
      <c r="F796" t="s" s="0">
        <v>17384</v>
      </c>
      <c r="G796" t="s" s="0">
        <v>17385</v>
      </c>
      <c r="H796" t="s" s="0">
        <v>81</v>
      </c>
      <c r="I796" t="s" s="0">
        <v>238</v>
      </c>
      <c r="J796" t="s" s="0">
        <v>17386</v>
      </c>
      <c r="K796" t="s" s="0">
        <v>17387</v>
      </c>
      <c r="L796" t="s" s="0">
        <v>17388</v>
      </c>
      <c r="M796" t="s" s="0">
        <v>17388</v>
      </c>
      <c r="N796" t="s" s="0">
        <v>17389</v>
      </c>
      <c r="O796" t="s" s="0">
        <v>17390</v>
      </c>
      <c r="P796" t="s" s="0">
        <v>17391</v>
      </c>
      <c r="Q796" t="s" s="0">
        <v>87</v>
      </c>
      <c r="R796" t="s" s="0">
        <v>81</v>
      </c>
      <c r="S796" t="s" s="0">
        <v>81</v>
      </c>
      <c r="T796" t="s" s="0">
        <v>81</v>
      </c>
      <c r="U796" t="s" s="0">
        <v>81</v>
      </c>
      <c r="V796" t="s" s="0">
        <v>17392</v>
      </c>
      <c r="W796" t="s" s="0">
        <v>17393</v>
      </c>
      <c r="X796" t="s" s="0">
        <v>81</v>
      </c>
      <c r="Y796" t="s" s="0">
        <v>81</v>
      </c>
      <c r="Z796" t="s" s="0">
        <v>90</v>
      </c>
      <c r="AA796" t="s" s="0">
        <v>91</v>
      </c>
      <c r="AB796" t="s" s="0">
        <v>81</v>
      </c>
      <c r="AC796" t="s" s="0">
        <v>81</v>
      </c>
      <c r="AD796" t="s" s="0">
        <v>81</v>
      </c>
      <c r="AE796" t="s" s="0">
        <v>81</v>
      </c>
      <c r="AF796" t="s" s="0">
        <v>81</v>
      </c>
      <c r="AG796" t="s" s="0">
        <v>17394</v>
      </c>
      <c r="AH796" t="s" s="0">
        <v>4697</v>
      </c>
      <c r="AI796" t="s" s="0">
        <v>81</v>
      </c>
      <c r="AJ796" t="s" s="0">
        <v>17395</v>
      </c>
      <c r="AK796" t="s" s="0">
        <v>81</v>
      </c>
      <c r="AL796" t="s" s="0">
        <v>150</v>
      </c>
      <c r="AM796" t="s" s="0">
        <v>156</v>
      </c>
      <c r="AN796" t="s" s="0">
        <v>156</v>
      </c>
      <c r="AO796" t="s" s="0">
        <v>77</v>
      </c>
      <c r="AP796" t="s" s="0">
        <v>261</v>
      </c>
      <c r="AQ796" t="s" s="0">
        <v>1809</v>
      </c>
      <c r="AR796" t="s" s="0">
        <v>1810</v>
      </c>
      <c r="AS796" t="s" s="0">
        <v>1811</v>
      </c>
      <c r="AT796" t="s" s="0">
        <v>17396</v>
      </c>
      <c r="AU796" t="s" s="0">
        <v>17397</v>
      </c>
      <c r="AV796" t="s" s="0">
        <v>81</v>
      </c>
      <c r="AW796" t="s" s="0">
        <v>17398</v>
      </c>
      <c r="AX796" t="s" s="0">
        <v>17399</v>
      </c>
      <c r="AY796" t="s" s="0">
        <v>1940</v>
      </c>
      <c r="AZ796" t="s" s="0">
        <v>103</v>
      </c>
      <c r="BA796" t="s" s="0">
        <v>210</v>
      </c>
      <c r="BB796" t="s" s="0">
        <v>97</v>
      </c>
      <c r="BC796" t="s" s="0">
        <v>81</v>
      </c>
      <c r="BD796" t="s" s="0">
        <v>81</v>
      </c>
      <c r="BE796" t="s" s="0">
        <v>81</v>
      </c>
      <c r="BF796" t="s" s="0">
        <v>81</v>
      </c>
      <c r="BG796" t="s" s="0">
        <v>81</v>
      </c>
      <c r="BH796" t="s" s="0">
        <v>81</v>
      </c>
      <c r="BI796" t="s" s="0">
        <v>81</v>
      </c>
      <c r="BJ796" t="s" s="0">
        <v>17400</v>
      </c>
      <c r="BK796" t="s" s="1582">
        <f>HYPERLINK("http://dx.doi.org/10.1177/17470161241309347","http://dx.doi.org/10.1177/17470161241309347")</f>
        <v>17401</v>
      </c>
      <c r="BL796" t="s" s="0">
        <v>81</v>
      </c>
      <c r="BM796" t="s" s="0">
        <v>1029</v>
      </c>
      <c r="BN796" t="s" s="0">
        <v>222</v>
      </c>
      <c r="BO796" t="s" s="0">
        <v>17402</v>
      </c>
      <c r="BP796" t="s" s="0">
        <v>17403</v>
      </c>
      <c r="BQ796" t="s" s="0">
        <v>17404</v>
      </c>
      <c r="BR796" t="s" s="0">
        <v>81</v>
      </c>
      <c r="BS796" t="s" s="0">
        <v>17405</v>
      </c>
      <c r="BT796" t="s" s="1583">
        <f>HYPERLINK("https://www.webofscience.com/wos/woscc/full-record/WOS:001388833200001","View Record in Web of Science")</f>
        <v>114</v>
      </c>
      <c r="BU796" t="s" s="0">
        <v>301</v>
      </c>
      <c r="BV796" t="s" s="0">
        <v>81</v>
      </c>
      <c r="BW796" t="s" s="0">
        <v>81</v>
      </c>
      <c r="BX796" t="s" s="0">
        <v>116</v>
      </c>
    </row>
    <row r="797">
      <c r="A797" t="s" s="0">
        <v>77</v>
      </c>
      <c r="B797" t="s" s="0">
        <v>77</v>
      </c>
      <c r="C797" t="s" s="0">
        <v>211</v>
      </c>
      <c r="D797" t="s" s="0">
        <v>77</v>
      </c>
      <c r="E797" t="s" s="0">
        <v>17406</v>
      </c>
      <c r="F797" t="s" s="0">
        <v>17407</v>
      </c>
      <c r="G797" t="s" s="0">
        <v>17408</v>
      </c>
      <c r="H797" t="s" s="0">
        <v>81</v>
      </c>
      <c r="I797" t="s" s="0">
        <v>82</v>
      </c>
      <c r="J797" t="s" s="0">
        <v>17409</v>
      </c>
      <c r="K797" t="s" s="0">
        <v>17410</v>
      </c>
      <c r="L797" t="s" s="0">
        <v>81</v>
      </c>
      <c r="M797" t="s" s="0">
        <v>81</v>
      </c>
      <c r="N797" t="s" s="0">
        <v>81</v>
      </c>
      <c r="O797" t="s" s="0">
        <v>17411</v>
      </c>
      <c r="P797" t="s" s="0">
        <v>17412</v>
      </c>
      <c r="Q797" t="s" s="0">
        <v>87</v>
      </c>
      <c r="R797" t="s" s="0">
        <v>81</v>
      </c>
      <c r="S797" t="s" s="0">
        <v>81</v>
      </c>
      <c r="T797" t="s" s="0">
        <v>81</v>
      </c>
      <c r="U797" t="s" s="0">
        <v>81</v>
      </c>
      <c r="V797" t="s" s="0">
        <v>17413</v>
      </c>
      <c r="W797" t="s" s="0">
        <v>10412</v>
      </c>
      <c r="X797" t="s" s="0">
        <v>81</v>
      </c>
      <c r="Y797" t="s" s="0">
        <v>81</v>
      </c>
      <c r="Z797" t="s" s="0">
        <v>90</v>
      </c>
      <c r="AA797" t="s" s="0">
        <v>91</v>
      </c>
      <c r="AB797" t="s" s="0">
        <v>81</v>
      </c>
      <c r="AC797" t="s" s="0">
        <v>81</v>
      </c>
      <c r="AD797" t="s" s="0">
        <v>81</v>
      </c>
      <c r="AE797" t="s" s="0">
        <v>81</v>
      </c>
      <c r="AF797" t="s" s="0">
        <v>81</v>
      </c>
      <c r="AG797" t="s" s="0">
        <v>17414</v>
      </c>
      <c r="AH797" t="s" s="0">
        <v>17415</v>
      </c>
      <c r="AI797" t="s" s="0">
        <v>17416</v>
      </c>
      <c r="AJ797" t="s" s="0">
        <v>17417</v>
      </c>
      <c r="AK797" t="s" s="0">
        <v>81</v>
      </c>
      <c r="AL797" t="s" s="0">
        <v>1635</v>
      </c>
      <c r="AM797" t="s" s="0">
        <v>1912</v>
      </c>
      <c r="AN797" t="s" s="0">
        <v>150</v>
      </c>
      <c r="AO797" t="s" s="0">
        <v>77</v>
      </c>
      <c r="AP797" t="s" s="0">
        <v>134</v>
      </c>
      <c r="AQ797" t="s" s="0">
        <v>368</v>
      </c>
      <c r="AR797" t="s" s="0">
        <v>369</v>
      </c>
      <c r="AS797" t="s" s="0">
        <v>370</v>
      </c>
      <c r="AT797" t="s" s="0">
        <v>10416</v>
      </c>
      <c r="AU797" t="s" s="0">
        <v>81</v>
      </c>
      <c r="AV797" t="s" s="0">
        <v>81</v>
      </c>
      <c r="AW797" t="s" s="0">
        <v>10417</v>
      </c>
      <c r="AX797" t="s" s="0">
        <v>10418</v>
      </c>
      <c r="AY797" t="s" s="0">
        <v>17418</v>
      </c>
      <c r="AZ797" t="s" s="0">
        <v>260</v>
      </c>
      <c r="BA797" t="s" s="0">
        <v>134</v>
      </c>
      <c r="BB797" t="s" s="0">
        <v>81</v>
      </c>
      <c r="BC797" t="s" s="0">
        <v>81</v>
      </c>
      <c r="BD797" t="s" s="0">
        <v>81</v>
      </c>
      <c r="BE797" t="s" s="0">
        <v>81</v>
      </c>
      <c r="BF797" t="s" s="0">
        <v>81</v>
      </c>
      <c r="BG797" t="s" s="0">
        <v>81</v>
      </c>
      <c r="BH797" t="s" s="0">
        <v>81</v>
      </c>
      <c r="BI797" t="s" s="0">
        <v>17419</v>
      </c>
      <c r="BJ797" t="s" s="0">
        <v>17420</v>
      </c>
      <c r="BK797" t="s" s="1584">
        <f>HYPERLINK("http://dx.doi.org/10.3389/fonc.2022.1078822","http://dx.doi.org/10.3389/fonc.2022.1078822")</f>
        <v>17421</v>
      </c>
      <c r="BL797" t="s" s="0">
        <v>81</v>
      </c>
      <c r="BM797" t="s" s="0">
        <v>81</v>
      </c>
      <c r="BN797" t="s" s="0">
        <v>104</v>
      </c>
      <c r="BO797" t="s" s="0">
        <v>1380</v>
      </c>
      <c r="BP797" t="s" s="0">
        <v>1380</v>
      </c>
      <c r="BQ797" t="s" s="0">
        <v>17422</v>
      </c>
      <c r="BR797" t="s" s="0">
        <v>17423</v>
      </c>
      <c r="BS797" t="s" s="0">
        <v>17424</v>
      </c>
      <c r="BT797" t="s" s="1585">
        <f>HYPERLINK("https://www.webofscience.com/wos/woscc/full-record/WOS:000924375600001","View Record in Web of Science")</f>
        <v>114</v>
      </c>
      <c r="BU797" t="s" s="0">
        <v>301</v>
      </c>
      <c r="BV797" t="s" s="0">
        <v>81</v>
      </c>
      <c r="BW797" t="s" s="0">
        <v>81</v>
      </c>
      <c r="BX797" t="s" s="0">
        <v>116</v>
      </c>
    </row>
    <row r="798">
      <c r="A798" t="s" s="0">
        <v>77</v>
      </c>
      <c r="B798" t="s" s="0">
        <v>77</v>
      </c>
      <c r="C798" t="s" s="0">
        <v>133</v>
      </c>
      <c r="D798" t="s" s="0">
        <v>77</v>
      </c>
      <c r="E798" t="s" s="0">
        <v>17425</v>
      </c>
      <c r="F798" t="s" s="0">
        <v>17426</v>
      </c>
      <c r="G798" t="s" s="0">
        <v>17427</v>
      </c>
      <c r="H798" t="s" s="0">
        <v>81</v>
      </c>
      <c r="I798" t="s" s="0">
        <v>82</v>
      </c>
      <c r="J798" t="s" s="0">
        <v>17428</v>
      </c>
      <c r="K798" t="s" s="0">
        <v>17429</v>
      </c>
      <c r="L798" t="s" s="0">
        <v>17430</v>
      </c>
      <c r="M798" t="s" s="0">
        <v>7157</v>
      </c>
      <c r="N798" t="s" s="0">
        <v>17431</v>
      </c>
      <c r="O798" t="s" s="0">
        <v>17432</v>
      </c>
      <c r="P798" t="s" s="0">
        <v>17433</v>
      </c>
      <c r="Q798" t="s" s="0">
        <v>87</v>
      </c>
      <c r="R798" t="s" s="0">
        <v>81</v>
      </c>
      <c r="S798" t="s" s="0">
        <v>81</v>
      </c>
      <c r="T798" t="s" s="0">
        <v>81</v>
      </c>
      <c r="U798" t="s" s="0">
        <v>81</v>
      </c>
      <c r="V798" t="s" s="0">
        <v>17434</v>
      </c>
      <c r="W798" t="s" s="0">
        <v>17435</v>
      </c>
      <c r="X798" t="s" s="0">
        <v>81</v>
      </c>
      <c r="Y798" t="s" s="0">
        <v>81</v>
      </c>
      <c r="Z798" t="s" s="0">
        <v>90</v>
      </c>
      <c r="AA798" t="s" s="0">
        <v>91</v>
      </c>
      <c r="AB798" t="s" s="0">
        <v>81</v>
      </c>
      <c r="AC798" t="s" s="0">
        <v>81</v>
      </c>
      <c r="AD798" t="s" s="0">
        <v>81</v>
      </c>
      <c r="AE798" t="s" s="0">
        <v>81</v>
      </c>
      <c r="AF798" t="s" s="0">
        <v>81</v>
      </c>
      <c r="AG798" t="s" s="0">
        <v>17436</v>
      </c>
      <c r="AH798" t="s" s="0">
        <v>17437</v>
      </c>
      <c r="AI798" t="s" s="0">
        <v>17438</v>
      </c>
      <c r="AJ798" t="s" s="0">
        <v>17439</v>
      </c>
      <c r="AK798" t="s" s="0">
        <v>81</v>
      </c>
      <c r="AL798" t="s" s="0">
        <v>874</v>
      </c>
      <c r="AM798" t="s" s="0">
        <v>109</v>
      </c>
      <c r="AN798" t="s" s="0">
        <v>176</v>
      </c>
      <c r="AO798" t="s" s="0">
        <v>97</v>
      </c>
      <c r="AP798" t="s" s="0">
        <v>486</v>
      </c>
      <c r="AQ798" t="s" s="0">
        <v>2927</v>
      </c>
      <c r="AR798" t="s" s="0">
        <v>546</v>
      </c>
      <c r="AS798" t="s" s="0">
        <v>2928</v>
      </c>
      <c r="AT798" t="s" s="0">
        <v>17440</v>
      </c>
      <c r="AU798" t="s" s="0">
        <v>17441</v>
      </c>
      <c r="AV798" t="s" s="0">
        <v>81</v>
      </c>
      <c r="AW798" t="s" s="0">
        <v>17442</v>
      </c>
      <c r="AX798" t="s" s="0">
        <v>17443</v>
      </c>
      <c r="AY798" t="s" s="0">
        <v>2077</v>
      </c>
      <c r="AZ798" t="s" s="0">
        <v>260</v>
      </c>
      <c r="BA798" t="s" s="0">
        <v>13315</v>
      </c>
      <c r="BB798" t="s" s="0">
        <v>81</v>
      </c>
      <c r="BC798" t="s" s="0">
        <v>81</v>
      </c>
      <c r="BD798" t="s" s="0">
        <v>81</v>
      </c>
      <c r="BE798" t="s" s="0">
        <v>81</v>
      </c>
      <c r="BF798" t="s" s="0">
        <v>81</v>
      </c>
      <c r="BG798" t="s" s="0">
        <v>1686</v>
      </c>
      <c r="BH798" t="s" s="0">
        <v>2880</v>
      </c>
      <c r="BI798" t="s" s="0">
        <v>81</v>
      </c>
      <c r="BJ798" t="s" s="0">
        <v>17444</v>
      </c>
      <c r="BK798" t="s" s="1586">
        <f>HYPERLINK("http://dx.doi.org/10.1016/j.seizure.2023.06.002","http://dx.doi.org/10.1016/j.seizure.2023.06.002")</f>
        <v>17445</v>
      </c>
      <c r="BL798" t="s" s="0">
        <v>81</v>
      </c>
      <c r="BM798" t="s" s="0">
        <v>5526</v>
      </c>
      <c r="BN798" t="s" s="0">
        <v>211</v>
      </c>
      <c r="BO798" t="s" s="0">
        <v>3906</v>
      </c>
      <c r="BP798" t="s" s="0">
        <v>2504</v>
      </c>
      <c r="BQ798" t="s" s="0">
        <v>17446</v>
      </c>
      <c r="BR798" t="s" s="0">
        <v>17447</v>
      </c>
      <c r="BS798" t="s" s="0">
        <v>17448</v>
      </c>
      <c r="BT798" t="s" s="1587">
        <f>HYPERLINK("https://www.webofscience.com/wos/woscc/full-record/WOS:001055028600001","View Record in Web of Science")</f>
        <v>114</v>
      </c>
      <c r="BU798" t="s" s="0">
        <v>2239</v>
      </c>
      <c r="BV798" t="s" s="0">
        <v>81</v>
      </c>
      <c r="BW798" t="s" s="0">
        <v>81</v>
      </c>
      <c r="BX798" t="s" s="0">
        <v>116</v>
      </c>
    </row>
    <row r="799">
      <c r="A799" t="s" s="0">
        <v>77</v>
      </c>
      <c r="B799" t="s" s="0">
        <v>77</v>
      </c>
      <c r="C799" t="s" s="0">
        <v>77</v>
      </c>
      <c r="D799" t="s" s="0">
        <v>77</v>
      </c>
      <c r="E799" t="s" s="0">
        <v>17449</v>
      </c>
      <c r="F799" t="s" s="0">
        <v>17450</v>
      </c>
      <c r="G799" t="s" s="0">
        <v>17451</v>
      </c>
      <c r="H799" t="s" s="0">
        <v>81</v>
      </c>
      <c r="I799" t="s" s="0">
        <v>82</v>
      </c>
      <c r="J799" t="s" s="0">
        <v>17452</v>
      </c>
      <c r="K799" t="s" s="0">
        <v>17453</v>
      </c>
      <c r="L799" t="s" s="0">
        <v>17454</v>
      </c>
      <c r="M799" t="s" s="0">
        <v>17455</v>
      </c>
      <c r="N799" t="s" s="0">
        <v>17456</v>
      </c>
      <c r="O799" t="s" s="0">
        <v>17457</v>
      </c>
      <c r="P799" t="s" s="0">
        <v>17458</v>
      </c>
      <c r="Q799" t="s" s="0">
        <v>87</v>
      </c>
      <c r="R799" t="s" s="0">
        <v>81</v>
      </c>
      <c r="S799" t="s" s="0">
        <v>81</v>
      </c>
      <c r="T799" t="s" s="0">
        <v>81</v>
      </c>
      <c r="U799" t="s" s="0">
        <v>81</v>
      </c>
      <c r="V799" t="s" s="0">
        <v>17459</v>
      </c>
      <c r="W799" t="s" s="0">
        <v>3220</v>
      </c>
      <c r="X799" t="s" s="0">
        <v>81</v>
      </c>
      <c r="Y799" t="s" s="0">
        <v>81</v>
      </c>
      <c r="Z799" t="s" s="0">
        <v>90</v>
      </c>
      <c r="AA799" t="s" s="0">
        <v>91</v>
      </c>
      <c r="AB799" t="s" s="0">
        <v>81</v>
      </c>
      <c r="AC799" t="s" s="0">
        <v>81</v>
      </c>
      <c r="AD799" t="s" s="0">
        <v>81</v>
      </c>
      <c r="AE799" t="s" s="0">
        <v>81</v>
      </c>
      <c r="AF799" t="s" s="0">
        <v>81</v>
      </c>
      <c r="AG799" t="s" s="0">
        <v>17460</v>
      </c>
      <c r="AH799" t="s" s="0">
        <v>81</v>
      </c>
      <c r="AI799" t="s" s="0">
        <v>17461</v>
      </c>
      <c r="AJ799" t="s" s="0">
        <v>17462</v>
      </c>
      <c r="AK799" t="s" s="0">
        <v>81</v>
      </c>
      <c r="AL799" t="s" s="0">
        <v>1785</v>
      </c>
      <c r="AM799" t="s" s="0">
        <v>97</v>
      </c>
      <c r="AN799" t="s" s="0">
        <v>156</v>
      </c>
      <c r="AO799" t="s" s="0">
        <v>97</v>
      </c>
      <c r="AP799" t="s" s="0">
        <v>175</v>
      </c>
      <c r="AQ799" t="s" s="0">
        <v>1608</v>
      </c>
      <c r="AR799" t="s" s="0">
        <v>1609</v>
      </c>
      <c r="AS799" t="s" s="0">
        <v>1610</v>
      </c>
      <c r="AT799" t="s" s="0">
        <v>3225</v>
      </c>
      <c r="AU799" t="s" s="0">
        <v>3226</v>
      </c>
      <c r="AV799" t="s" s="0">
        <v>81</v>
      </c>
      <c r="AW799" t="s" s="0">
        <v>3227</v>
      </c>
      <c r="AX799" t="s" s="0">
        <v>3228</v>
      </c>
      <c r="AY799" t="s" s="0">
        <v>1743</v>
      </c>
      <c r="AZ799" t="s" s="0">
        <v>290</v>
      </c>
      <c r="BA799" t="s" s="0">
        <v>17463</v>
      </c>
      <c r="BB799" t="s" s="0">
        <v>81</v>
      </c>
      <c r="BC799" t="s" s="0">
        <v>81</v>
      </c>
      <c r="BD799" t="s" s="0">
        <v>81</v>
      </c>
      <c r="BE799" t="s" s="0">
        <v>81</v>
      </c>
      <c r="BF799" t="s" s="0">
        <v>81</v>
      </c>
      <c r="BG799" t="s" s="0">
        <v>81</v>
      </c>
      <c r="BH799" t="s" s="0">
        <v>81</v>
      </c>
      <c r="BI799" t="s" s="0">
        <v>17464</v>
      </c>
      <c r="BJ799" t="s" s="0">
        <v>17465</v>
      </c>
      <c r="BK799" t="s" s="1588">
        <f>HYPERLINK("http://dx.doi.org/10.1016/j.cmpb.2025.108981","http://dx.doi.org/10.1016/j.cmpb.2025.108981")</f>
        <v>17466</v>
      </c>
      <c r="BL799" t="s" s="0">
        <v>81</v>
      </c>
      <c r="BM799" t="s" s="0">
        <v>1869</v>
      </c>
      <c r="BN799" t="s" s="0">
        <v>222</v>
      </c>
      <c r="BO799" t="s" s="0">
        <v>3234</v>
      </c>
      <c r="BP799" t="s" s="0">
        <v>3235</v>
      </c>
      <c r="BQ799" t="s" s="0">
        <v>17467</v>
      </c>
      <c r="BR799" t="s" s="0">
        <v>17468</v>
      </c>
      <c r="BS799" t="s" s="0">
        <v>17469</v>
      </c>
      <c r="BT799" t="s" s="1589">
        <f>HYPERLINK("https://www.webofscience.com/wos/woscc/full-record/WOS:001545256500001","View Record in Web of Science")</f>
        <v>114</v>
      </c>
      <c r="BU799" t="s" s="0">
        <v>81</v>
      </c>
      <c r="BV799" t="s" s="0">
        <v>81</v>
      </c>
      <c r="BW799" t="s" s="0">
        <v>81</v>
      </c>
      <c r="BX799" t="s" s="0">
        <v>116</v>
      </c>
    </row>
    <row r="800">
      <c r="A800" t="s" s="0">
        <v>97</v>
      </c>
      <c r="B800" t="s" s="0">
        <v>77</v>
      </c>
      <c r="C800" t="s" s="0">
        <v>104</v>
      </c>
      <c r="D800" t="s" s="0">
        <v>77</v>
      </c>
      <c r="E800" t="s" s="0">
        <v>17470</v>
      </c>
      <c r="F800" t="s" s="0">
        <v>17471</v>
      </c>
      <c r="G800" t="s" s="0">
        <v>17472</v>
      </c>
      <c r="H800" t="s" s="0">
        <v>81</v>
      </c>
      <c r="I800" t="s" s="0">
        <v>82</v>
      </c>
      <c r="J800" t="s" s="0">
        <v>17473</v>
      </c>
      <c r="K800" t="s" s="0">
        <v>17474</v>
      </c>
      <c r="L800" t="s" s="0">
        <v>17475</v>
      </c>
      <c r="M800" t="s" s="0">
        <v>17476</v>
      </c>
      <c r="N800" t="s" s="0">
        <v>17477</v>
      </c>
      <c r="O800" t="s" s="0">
        <v>17478</v>
      </c>
      <c r="P800" t="s" s="0">
        <v>17479</v>
      </c>
      <c r="Q800" t="s" s="0">
        <v>87</v>
      </c>
      <c r="R800" t="s" s="0">
        <v>81</v>
      </c>
      <c r="S800" t="s" s="0">
        <v>81</v>
      </c>
      <c r="T800" t="s" s="0">
        <v>81</v>
      </c>
      <c r="U800" t="s" s="0">
        <v>81</v>
      </c>
      <c r="V800" t="s" s="0">
        <v>17480</v>
      </c>
      <c r="W800" t="s" s="0">
        <v>17481</v>
      </c>
      <c r="X800" t="s" s="0">
        <v>81</v>
      </c>
      <c r="Y800" t="s" s="0">
        <v>81</v>
      </c>
      <c r="Z800" t="s" s="0">
        <v>90</v>
      </c>
      <c r="AA800" t="s" s="0">
        <v>91</v>
      </c>
      <c r="AB800" t="s" s="0">
        <v>81</v>
      </c>
      <c r="AC800" t="s" s="0">
        <v>81</v>
      </c>
      <c r="AD800" t="s" s="0">
        <v>81</v>
      </c>
      <c r="AE800" t="s" s="0">
        <v>81</v>
      </c>
      <c r="AF800" t="s" s="0">
        <v>81</v>
      </c>
      <c r="AG800" t="s" s="0">
        <v>17482</v>
      </c>
      <c r="AH800" t="s" s="0">
        <v>17483</v>
      </c>
      <c r="AI800" t="s" s="0">
        <v>17484</v>
      </c>
      <c r="AJ800" t="s" s="0">
        <v>17485</v>
      </c>
      <c r="AK800" t="s" s="0">
        <v>81</v>
      </c>
      <c r="AL800" t="s" s="0">
        <v>1374</v>
      </c>
      <c r="AM800" t="s" s="0">
        <v>697</v>
      </c>
      <c r="AN800" t="s" s="0">
        <v>914</v>
      </c>
      <c r="AO800" t="s" s="0">
        <v>156</v>
      </c>
      <c r="AP800" t="s" s="0">
        <v>344</v>
      </c>
      <c r="AQ800" t="s" s="0">
        <v>665</v>
      </c>
      <c r="AR800" t="s" s="0">
        <v>546</v>
      </c>
      <c r="AS800" t="s" s="0">
        <v>666</v>
      </c>
      <c r="AT800" t="s" s="0">
        <v>81</v>
      </c>
      <c r="AU800" t="s" s="0">
        <v>17486</v>
      </c>
      <c r="AV800" t="s" s="0">
        <v>81</v>
      </c>
      <c r="AW800" t="s" s="0">
        <v>17487</v>
      </c>
      <c r="AX800" t="s" s="0">
        <v>17488</v>
      </c>
      <c r="AY800" t="s" s="0">
        <v>17489</v>
      </c>
      <c r="AZ800" t="s" s="0">
        <v>220</v>
      </c>
      <c r="BA800" t="s" s="0">
        <v>222</v>
      </c>
      <c r="BB800" t="s" s="0">
        <v>97</v>
      </c>
      <c r="BC800" t="s" s="0">
        <v>81</v>
      </c>
      <c r="BD800" t="s" s="0">
        <v>81</v>
      </c>
      <c r="BE800" t="s" s="0">
        <v>81</v>
      </c>
      <c r="BF800" t="s" s="0">
        <v>81</v>
      </c>
      <c r="BG800" t="s" s="0">
        <v>81</v>
      </c>
      <c r="BH800" t="s" s="0">
        <v>81</v>
      </c>
      <c r="BI800" t="s" s="0">
        <v>366</v>
      </c>
      <c r="BJ800" t="s" s="0">
        <v>17490</v>
      </c>
      <c r="BK800" t="s" s="1590">
        <f>HYPERLINK("http://dx.doi.org/10.1186/s13014-022-02035-0","http://dx.doi.org/10.1186/s13014-022-02035-0")</f>
        <v>17491</v>
      </c>
      <c r="BL800" t="s" s="0">
        <v>81</v>
      </c>
      <c r="BM800" t="s" s="0">
        <v>81</v>
      </c>
      <c r="BN800" t="s" s="0">
        <v>211</v>
      </c>
      <c r="BO800" t="s" s="0">
        <v>7128</v>
      </c>
      <c r="BP800" t="s" s="0">
        <v>7128</v>
      </c>
      <c r="BQ800" t="s" s="0">
        <v>17492</v>
      </c>
      <c r="BR800" t="s" s="0">
        <v>17493</v>
      </c>
      <c r="BS800" t="s" s="0">
        <v>17494</v>
      </c>
      <c r="BT800" t="s" s="1591">
        <f>HYPERLINK("https://www.webofscience.com/wos/woscc/full-record/WOS:000777396500001","View Record in Web of Science")</f>
        <v>114</v>
      </c>
      <c r="BU800" t="s" s="0">
        <v>301</v>
      </c>
      <c r="BV800" t="s" s="0">
        <v>81</v>
      </c>
      <c r="BW800" t="s" s="0">
        <v>81</v>
      </c>
      <c r="BX800" t="s" s="0">
        <v>116</v>
      </c>
    </row>
    <row r="801">
      <c r="A801" t="s" s="0">
        <v>156</v>
      </c>
      <c r="B801" t="s" s="0">
        <v>77</v>
      </c>
      <c r="C801" t="s" s="0">
        <v>97</v>
      </c>
      <c r="D801" t="s" s="0">
        <v>77</v>
      </c>
      <c r="E801" t="s" s="0">
        <v>17495</v>
      </c>
      <c r="F801" t="s" s="0">
        <v>17496</v>
      </c>
      <c r="G801" t="s" s="0">
        <v>17497</v>
      </c>
      <c r="H801" t="s" s="0">
        <v>81</v>
      </c>
      <c r="I801" t="s" s="0">
        <v>82</v>
      </c>
      <c r="J801" t="s" s="0">
        <v>17498</v>
      </c>
      <c r="K801" t="s" s="0">
        <v>17499</v>
      </c>
      <c r="L801" t="s" s="0">
        <v>17500</v>
      </c>
      <c r="M801" t="s" s="0">
        <v>17501</v>
      </c>
      <c r="N801" t="s" s="0">
        <v>17502</v>
      </c>
      <c r="O801" t="s" s="0">
        <v>17503</v>
      </c>
      <c r="P801" t="s" s="0">
        <v>17504</v>
      </c>
      <c r="Q801" t="s" s="0">
        <v>87</v>
      </c>
      <c r="R801" t="s" s="0">
        <v>81</v>
      </c>
      <c r="S801" t="s" s="0">
        <v>81</v>
      </c>
      <c r="T801" t="s" s="0">
        <v>81</v>
      </c>
      <c r="U801" t="s" s="0">
        <v>81</v>
      </c>
      <c r="V801" t="s" s="0">
        <v>17505</v>
      </c>
      <c r="W801" t="s" s="0">
        <v>17506</v>
      </c>
      <c r="X801" t="s" s="0">
        <v>81</v>
      </c>
      <c r="Y801" t="s" s="0">
        <v>81</v>
      </c>
      <c r="Z801" t="s" s="0">
        <v>90</v>
      </c>
      <c r="AA801" t="s" s="0">
        <v>91</v>
      </c>
      <c r="AB801" t="s" s="0">
        <v>81</v>
      </c>
      <c r="AC801" t="s" s="0">
        <v>81</v>
      </c>
      <c r="AD801" t="s" s="0">
        <v>81</v>
      </c>
      <c r="AE801" t="s" s="0">
        <v>81</v>
      </c>
      <c r="AF801" t="s" s="0">
        <v>81</v>
      </c>
      <c r="AG801" t="s" s="0">
        <v>17507</v>
      </c>
      <c r="AH801" t="s" s="0">
        <v>81</v>
      </c>
      <c r="AI801" t="s" s="0">
        <v>17508</v>
      </c>
      <c r="AJ801" t="s" s="0">
        <v>17509</v>
      </c>
      <c r="AK801" t="s" s="0">
        <v>81</v>
      </c>
      <c r="AL801" t="s" s="0">
        <v>2296</v>
      </c>
      <c r="AM801" t="s" s="0">
        <v>261</v>
      </c>
      <c r="AN801" t="s" s="0">
        <v>191</v>
      </c>
      <c r="AO801" t="s" s="0">
        <v>156</v>
      </c>
      <c r="AP801" t="s" s="0">
        <v>135</v>
      </c>
      <c r="AQ801" t="s" s="0">
        <v>98</v>
      </c>
      <c r="AR801" t="s" s="0">
        <v>99</v>
      </c>
      <c r="AS801" t="s" s="0">
        <v>100</v>
      </c>
      <c r="AT801" t="s" s="0">
        <v>17510</v>
      </c>
      <c r="AU801" t="s" s="0">
        <v>17511</v>
      </c>
      <c r="AV801" t="s" s="0">
        <v>81</v>
      </c>
      <c r="AW801" t="s" s="0">
        <v>17512</v>
      </c>
      <c r="AX801" t="s" s="0">
        <v>17513</v>
      </c>
      <c r="AY801" t="s" s="0">
        <v>1183</v>
      </c>
      <c r="AZ801" t="s" s="0">
        <v>185</v>
      </c>
      <c r="BA801" t="s" s="0">
        <v>104</v>
      </c>
      <c r="BB801" t="s" s="0">
        <v>175</v>
      </c>
      <c r="BC801" t="s" s="0">
        <v>81</v>
      </c>
      <c r="BD801" t="s" s="0">
        <v>81</v>
      </c>
      <c r="BE801" t="s" s="0">
        <v>81</v>
      </c>
      <c r="BF801" t="s" s="0">
        <v>81</v>
      </c>
      <c r="BG801" t="s" s="0">
        <v>17514</v>
      </c>
      <c r="BH801" t="s" s="0">
        <v>17515</v>
      </c>
      <c r="BI801" t="s" s="0">
        <v>81</v>
      </c>
      <c r="BJ801" t="s" s="0">
        <v>17516</v>
      </c>
      <c r="BK801" t="s" s="1592">
        <f>HYPERLINK("http://dx.doi.org/10.1109/JETCAS.2024.3477976","http://dx.doi.org/10.1109/JETCAS.2024.3477976")</f>
        <v>17517</v>
      </c>
      <c r="BL801" t="s" s="0">
        <v>81</v>
      </c>
      <c r="BM801" t="s" s="0">
        <v>81</v>
      </c>
      <c r="BN801" t="s" s="0">
        <v>925</v>
      </c>
      <c r="BO801" t="s" s="0">
        <v>2191</v>
      </c>
      <c r="BP801" t="s" s="0">
        <v>1003</v>
      </c>
      <c r="BQ801" t="s" s="0">
        <v>17518</v>
      </c>
      <c r="BR801" t="s" s="0">
        <v>81</v>
      </c>
      <c r="BS801" t="s" s="0">
        <v>17519</v>
      </c>
      <c r="BT801" t="s" s="1593">
        <f>HYPERLINK("https://www.webofscience.com/wos/woscc/full-record/WOS:001378122500014","View Record in Web of Science")</f>
        <v>114</v>
      </c>
      <c r="BU801" t="s" s="0">
        <v>1055</v>
      </c>
      <c r="BV801" t="s" s="0">
        <v>81</v>
      </c>
      <c r="BW801" t="s" s="0">
        <v>81</v>
      </c>
      <c r="BX801" t="s" s="0">
        <v>116</v>
      </c>
    </row>
    <row r="802">
      <c r="A802" t="s" s="0">
        <v>77</v>
      </c>
      <c r="B802" t="s" s="0">
        <v>77</v>
      </c>
      <c r="C802" t="s" s="0">
        <v>77</v>
      </c>
      <c r="D802" t="s" s="0">
        <v>77</v>
      </c>
      <c r="E802" t="s" s="0">
        <v>17520</v>
      </c>
      <c r="F802" t="s" s="0">
        <v>17521</v>
      </c>
      <c r="G802" t="s" s="0">
        <v>17522</v>
      </c>
      <c r="H802" t="s" s="0">
        <v>81</v>
      </c>
      <c r="I802" t="s" s="0">
        <v>82</v>
      </c>
      <c r="J802" t="s" s="0">
        <v>17523</v>
      </c>
      <c r="K802" t="s" s="0">
        <v>17524</v>
      </c>
      <c r="L802" t="s" s="0">
        <v>17525</v>
      </c>
      <c r="M802" t="s" s="0">
        <v>17526</v>
      </c>
      <c r="N802" t="s" s="0">
        <v>17527</v>
      </c>
      <c r="O802" t="s" s="0">
        <v>17528</v>
      </c>
      <c r="P802" t="s" s="0">
        <v>17529</v>
      </c>
      <c r="Q802" t="s" s="0">
        <v>87</v>
      </c>
      <c r="R802" t="s" s="0">
        <v>81</v>
      </c>
      <c r="S802" t="s" s="0">
        <v>81</v>
      </c>
      <c r="T802" t="s" s="0">
        <v>81</v>
      </c>
      <c r="U802" t="s" s="0">
        <v>81</v>
      </c>
      <c r="V802" t="s" s="0">
        <v>17530</v>
      </c>
      <c r="W802" t="s" s="0">
        <v>17531</v>
      </c>
      <c r="X802" t="s" s="0">
        <v>81</v>
      </c>
      <c r="Y802" t="s" s="0">
        <v>81</v>
      </c>
      <c r="Z802" t="s" s="0">
        <v>90</v>
      </c>
      <c r="AA802" t="s" s="0">
        <v>91</v>
      </c>
      <c r="AB802" t="s" s="0">
        <v>81</v>
      </c>
      <c r="AC802" t="s" s="0">
        <v>81</v>
      </c>
      <c r="AD802" t="s" s="0">
        <v>81</v>
      </c>
      <c r="AE802" t="s" s="0">
        <v>81</v>
      </c>
      <c r="AF802" t="s" s="0">
        <v>81</v>
      </c>
      <c r="AG802" t="s" s="0">
        <v>17532</v>
      </c>
      <c r="AH802" t="s" s="0">
        <v>17533</v>
      </c>
      <c r="AI802" t="s" s="0">
        <v>81</v>
      </c>
      <c r="AJ802" t="s" s="0">
        <v>17534</v>
      </c>
      <c r="AK802" t="s" s="0">
        <v>81</v>
      </c>
      <c r="AL802" t="s" s="0">
        <v>1706</v>
      </c>
      <c r="AM802" t="s" s="0">
        <v>196</v>
      </c>
      <c r="AN802" t="s" s="0">
        <v>196</v>
      </c>
      <c r="AO802" t="s" s="0">
        <v>196</v>
      </c>
      <c r="AP802" t="s" s="0">
        <v>134</v>
      </c>
      <c r="AQ802" t="s" s="0">
        <v>17535</v>
      </c>
      <c r="AR802" t="s" s="0">
        <v>1734</v>
      </c>
      <c r="AS802" t="s" s="0">
        <v>17536</v>
      </c>
      <c r="AT802" t="s" s="0">
        <v>17537</v>
      </c>
      <c r="AU802" t="s" s="0">
        <v>17538</v>
      </c>
      <c r="AV802" t="s" s="0">
        <v>81</v>
      </c>
      <c r="AW802" t="s" s="0">
        <v>17539</v>
      </c>
      <c r="AX802" t="s" s="0">
        <v>17540</v>
      </c>
      <c r="AY802" t="s" s="0">
        <v>1738</v>
      </c>
      <c r="AZ802" t="s" s="0">
        <v>290</v>
      </c>
      <c r="BA802" t="s" s="0">
        <v>15323</v>
      </c>
      <c r="BB802" t="s" s="0">
        <v>1374</v>
      </c>
      <c r="BC802" t="s" s="0">
        <v>81</v>
      </c>
      <c r="BD802" t="s" s="0">
        <v>81</v>
      </c>
      <c r="BE802" t="s" s="0">
        <v>81</v>
      </c>
      <c r="BF802" t="s" s="0">
        <v>81</v>
      </c>
      <c r="BG802" t="s" s="0">
        <v>81</v>
      </c>
      <c r="BH802" t="s" s="0">
        <v>81</v>
      </c>
      <c r="BI802" t="s" s="0">
        <v>17541</v>
      </c>
      <c r="BJ802" t="s" s="0">
        <v>17542</v>
      </c>
      <c r="BK802" t="s" s="1594">
        <f>HYPERLINK("http://dx.doi.org/10.1073/pnas.2421111122","http://dx.doi.org/10.1073/pnas.2421111122")</f>
        <v>17543</v>
      </c>
      <c r="BL802" t="s" s="0">
        <v>81</v>
      </c>
      <c r="BM802" t="s" s="0">
        <v>81</v>
      </c>
      <c r="BN802" t="s" s="0">
        <v>211</v>
      </c>
      <c r="BO802" t="s" s="0">
        <v>926</v>
      </c>
      <c r="BP802" t="s" s="0">
        <v>927</v>
      </c>
      <c r="BQ802" t="s" s="0">
        <v>17544</v>
      </c>
      <c r="BR802" t="s" s="0">
        <v>17545</v>
      </c>
      <c r="BS802" t="s" s="0">
        <v>17546</v>
      </c>
      <c r="BT802" t="s" s="1595">
        <f>HYPERLINK("https://www.webofscience.com/wos/woscc/full-record/WOS:001649887100001","View Record in Web of Science")</f>
        <v>114</v>
      </c>
      <c r="BU802" t="s" s="0">
        <v>155</v>
      </c>
      <c r="BV802" t="s" s="0">
        <v>81</v>
      </c>
      <c r="BW802" t="s" s="0">
        <v>81</v>
      </c>
      <c r="BX802" t="s" s="0">
        <v>116</v>
      </c>
    </row>
    <row r="803">
      <c r="A803" t="s" s="0">
        <v>97</v>
      </c>
      <c r="B803" t="s" s="0">
        <v>77</v>
      </c>
      <c r="C803" t="s" s="0">
        <v>133</v>
      </c>
      <c r="D803" t="s" s="0">
        <v>77</v>
      </c>
      <c r="E803" t="s" s="0">
        <v>17547</v>
      </c>
      <c r="F803" t="s" s="0">
        <v>17548</v>
      </c>
      <c r="G803" t="s" s="0">
        <v>17549</v>
      </c>
      <c r="H803" t="s" s="0">
        <v>81</v>
      </c>
      <c r="I803" t="s" s="0">
        <v>82</v>
      </c>
      <c r="J803" t="s" s="0">
        <v>17550</v>
      </c>
      <c r="K803" t="s" s="0">
        <v>17551</v>
      </c>
      <c r="L803" t="s" s="0">
        <v>17552</v>
      </c>
      <c r="M803" t="s" s="0">
        <v>17553</v>
      </c>
      <c r="N803" t="s" s="0">
        <v>17554</v>
      </c>
      <c r="O803" t="s" s="0">
        <v>17555</v>
      </c>
      <c r="P803" t="s" s="0">
        <v>17556</v>
      </c>
      <c r="Q803" t="s" s="0">
        <v>87</v>
      </c>
      <c r="R803" t="s" s="0">
        <v>81</v>
      </c>
      <c r="S803" t="s" s="0">
        <v>81</v>
      </c>
      <c r="T803" t="s" s="0">
        <v>81</v>
      </c>
      <c r="U803" t="s" s="0">
        <v>81</v>
      </c>
      <c r="V803" t="s" s="0">
        <v>17557</v>
      </c>
      <c r="W803" t="s" s="0">
        <v>9118</v>
      </c>
      <c r="X803" t="s" s="0">
        <v>81</v>
      </c>
      <c r="Y803" t="s" s="0">
        <v>81</v>
      </c>
      <c r="Z803" t="s" s="0">
        <v>90</v>
      </c>
      <c r="AA803" t="s" s="0">
        <v>91</v>
      </c>
      <c r="AB803" t="s" s="0">
        <v>81</v>
      </c>
      <c r="AC803" t="s" s="0">
        <v>81</v>
      </c>
      <c r="AD803" t="s" s="0">
        <v>81</v>
      </c>
      <c r="AE803" t="s" s="0">
        <v>81</v>
      </c>
      <c r="AF803" t="s" s="0">
        <v>81</v>
      </c>
      <c r="AG803" t="s" s="0">
        <v>17558</v>
      </c>
      <c r="AH803" t="s" s="0">
        <v>1342</v>
      </c>
      <c r="AI803" t="s" s="0">
        <v>17559</v>
      </c>
      <c r="AJ803" t="s" s="0">
        <v>17560</v>
      </c>
      <c r="AK803" t="s" s="0">
        <v>81</v>
      </c>
      <c r="AL803" t="s" s="0">
        <v>4311</v>
      </c>
      <c r="AM803" t="s" s="0">
        <v>109</v>
      </c>
      <c r="AN803" t="s" s="0">
        <v>344</v>
      </c>
      <c r="AO803" t="s" s="0">
        <v>97</v>
      </c>
      <c r="AP803" t="s" s="0">
        <v>295</v>
      </c>
      <c r="AQ803" t="s" s="0">
        <v>136</v>
      </c>
      <c r="AR803" t="s" s="0">
        <v>137</v>
      </c>
      <c r="AS803" t="s" s="0">
        <v>138</v>
      </c>
      <c r="AT803" t="s" s="0">
        <v>9123</v>
      </c>
      <c r="AU803" t="s" s="0">
        <v>9124</v>
      </c>
      <c r="AV803" t="s" s="0">
        <v>81</v>
      </c>
      <c r="AW803" t="s" s="0">
        <v>9125</v>
      </c>
      <c r="AX803" t="s" s="0">
        <v>9126</v>
      </c>
      <c r="AY803" t="s" s="0">
        <v>190</v>
      </c>
      <c r="AZ803" t="s" s="0">
        <v>185</v>
      </c>
      <c r="BA803" t="s" s="0">
        <v>16910</v>
      </c>
      <c r="BB803" t="s" s="0">
        <v>81</v>
      </c>
      <c r="BC803" t="s" s="0">
        <v>81</v>
      </c>
      <c r="BD803" t="s" s="0">
        <v>81</v>
      </c>
      <c r="BE803" t="s" s="0">
        <v>81</v>
      </c>
      <c r="BF803" t="s" s="0">
        <v>81</v>
      </c>
      <c r="BG803" t="s" s="0">
        <v>81</v>
      </c>
      <c r="BH803" t="s" s="0">
        <v>81</v>
      </c>
      <c r="BI803" t="s" s="0">
        <v>17561</v>
      </c>
      <c r="BJ803" t="s" s="0">
        <v>17562</v>
      </c>
      <c r="BK803" t="s" s="1596">
        <f>HYPERLINK("http://dx.doi.org/10.1016/j.imavis.2024.104918","http://dx.doi.org/10.1016/j.imavis.2024.104918")</f>
        <v>17563</v>
      </c>
      <c r="BL803" t="s" s="0">
        <v>81</v>
      </c>
      <c r="BM803" t="s" s="0">
        <v>6722</v>
      </c>
      <c r="BN803" t="s" s="0">
        <v>367</v>
      </c>
      <c r="BO803" t="s" s="0">
        <v>9131</v>
      </c>
      <c r="BP803" t="s" s="0">
        <v>9132</v>
      </c>
      <c r="BQ803" t="s" s="0">
        <v>17564</v>
      </c>
      <c r="BR803" t="s" s="0">
        <v>81</v>
      </c>
      <c r="BS803" t="s" s="0">
        <v>17565</v>
      </c>
      <c r="BT803" t="s" s="1597">
        <f>HYPERLINK("https://www.webofscience.com/wos/woscc/full-record/WOS:001172687000001","View Record in Web of Science")</f>
        <v>114</v>
      </c>
      <c r="BU803" t="s" s="0">
        <v>81</v>
      </c>
      <c r="BV803" t="s" s="0">
        <v>81</v>
      </c>
      <c r="BW803" t="s" s="0">
        <v>81</v>
      </c>
      <c r="BX803" t="s" s="0">
        <v>116</v>
      </c>
    </row>
    <row r="804">
      <c r="A804" t="s" s="0">
        <v>97</v>
      </c>
      <c r="B804" t="s" s="0">
        <v>77</v>
      </c>
      <c r="C804" t="s" s="0">
        <v>77</v>
      </c>
      <c r="D804" t="s" s="0">
        <v>77</v>
      </c>
      <c r="E804" t="s" s="0">
        <v>17566</v>
      </c>
      <c r="F804" t="s" s="0">
        <v>17567</v>
      </c>
      <c r="G804" t="s" s="0">
        <v>17568</v>
      </c>
      <c r="H804" t="s" s="0">
        <v>81</v>
      </c>
      <c r="I804" t="s" s="0">
        <v>238</v>
      </c>
      <c r="J804" t="s" s="0">
        <v>17569</v>
      </c>
      <c r="K804" t="s" s="0">
        <v>17570</v>
      </c>
      <c r="L804" t="s" s="0">
        <v>17571</v>
      </c>
      <c r="M804" t="s" s="0">
        <v>17572</v>
      </c>
      <c r="N804" t="s" s="0">
        <v>17573</v>
      </c>
      <c r="O804" t="s" s="0">
        <v>17574</v>
      </c>
      <c r="P804" t="s" s="0">
        <v>17575</v>
      </c>
      <c r="Q804" t="s" s="0">
        <v>87</v>
      </c>
      <c r="R804" t="s" s="0">
        <v>81</v>
      </c>
      <c r="S804" t="s" s="0">
        <v>81</v>
      </c>
      <c r="T804" t="s" s="0">
        <v>81</v>
      </c>
      <c r="U804" t="s" s="0">
        <v>81</v>
      </c>
      <c r="V804" t="s" s="0">
        <v>17576</v>
      </c>
      <c r="W804" t="s" s="0">
        <v>600</v>
      </c>
      <c r="X804" t="s" s="0">
        <v>81</v>
      </c>
      <c r="Y804" t="s" s="0">
        <v>81</v>
      </c>
      <c r="Z804" t="s" s="0">
        <v>90</v>
      </c>
      <c r="AA804" t="s" s="0">
        <v>91</v>
      </c>
      <c r="AB804" t="s" s="0">
        <v>81</v>
      </c>
      <c r="AC804" t="s" s="0">
        <v>81</v>
      </c>
      <c r="AD804" t="s" s="0">
        <v>81</v>
      </c>
      <c r="AE804" t="s" s="0">
        <v>81</v>
      </c>
      <c r="AF804" t="s" s="0">
        <v>81</v>
      </c>
      <c r="AG804" t="s" s="0">
        <v>17577</v>
      </c>
      <c r="AH804" t="s" s="0">
        <v>81</v>
      </c>
      <c r="AI804" t="s" s="0">
        <v>17578</v>
      </c>
      <c r="AJ804" t="s" s="0">
        <v>17579</v>
      </c>
      <c r="AK804" t="s" s="0">
        <v>81</v>
      </c>
      <c r="AL804" t="s" s="0">
        <v>1883</v>
      </c>
      <c r="AM804" t="s" s="0">
        <v>261</v>
      </c>
      <c r="AN804" t="s" s="0">
        <v>291</v>
      </c>
      <c r="AO804" t="s" s="0">
        <v>196</v>
      </c>
      <c r="AP804" t="s" s="0">
        <v>191</v>
      </c>
      <c r="AQ804" t="s" s="0">
        <v>284</v>
      </c>
      <c r="AR804" t="s" s="0">
        <v>285</v>
      </c>
      <c r="AS804" t="s" s="0">
        <v>286</v>
      </c>
      <c r="AT804" t="s" s="0">
        <v>81</v>
      </c>
      <c r="AU804" t="s" s="0">
        <v>4064</v>
      </c>
      <c r="AV804" t="s" s="0">
        <v>81</v>
      </c>
      <c r="AW804" t="s" s="0">
        <v>4065</v>
      </c>
      <c r="AX804" t="s" s="0">
        <v>600</v>
      </c>
      <c r="AY804" t="s" s="0">
        <v>1183</v>
      </c>
      <c r="AZ804" t="s" s="0">
        <v>185</v>
      </c>
      <c r="BA804" t="s" s="0">
        <v>133</v>
      </c>
      <c r="BB804" t="s" s="0">
        <v>175</v>
      </c>
      <c r="BC804" t="s" s="0">
        <v>81</v>
      </c>
      <c r="BD804" t="s" s="0">
        <v>81</v>
      </c>
      <c r="BE804" t="s" s="0">
        <v>81</v>
      </c>
      <c r="BF804" t="s" s="0">
        <v>81</v>
      </c>
      <c r="BG804" t="s" s="0">
        <v>17580</v>
      </c>
      <c r="BH804" t="s" s="0">
        <v>17581</v>
      </c>
      <c r="BI804" t="s" s="0">
        <v>81</v>
      </c>
      <c r="BJ804" t="s" s="0">
        <v>17582</v>
      </c>
      <c r="BK804" t="s" s="1598">
        <f>HYPERLINK("http://dx.doi.org/10.3390/ai5040130","http://dx.doi.org/10.3390/ai5040130")</f>
        <v>17583</v>
      </c>
      <c r="BL804" t="s" s="0">
        <v>81</v>
      </c>
      <c r="BM804" t="s" s="0">
        <v>81</v>
      </c>
      <c r="BN804" t="s" s="0">
        <v>367</v>
      </c>
      <c r="BO804" t="s" s="0">
        <v>2009</v>
      </c>
      <c r="BP804" t="s" s="0">
        <v>152</v>
      </c>
      <c r="BQ804" t="s" s="0">
        <v>17584</v>
      </c>
      <c r="BR804" t="s" s="0">
        <v>81</v>
      </c>
      <c r="BS804" t="s" s="0">
        <v>17585</v>
      </c>
      <c r="BT804" t="s" s="1599">
        <f>HYPERLINK("https://www.webofscience.com/wos/woscc/full-record/WOS:001384090100001","View Record in Web of Science")</f>
        <v>114</v>
      </c>
      <c r="BU804" t="s" s="0">
        <v>115</v>
      </c>
      <c r="BV804" t="s" s="0">
        <v>81</v>
      </c>
      <c r="BW804" t="s" s="0">
        <v>81</v>
      </c>
      <c r="BX804" t="s" s="0">
        <v>116</v>
      </c>
    </row>
    <row r="805">
      <c r="A805" t="s" s="0">
        <v>77</v>
      </c>
      <c r="B805" t="s" s="0">
        <v>77</v>
      </c>
      <c r="C805" t="s" s="0">
        <v>77</v>
      </c>
      <c r="D805" t="s" s="0">
        <v>97</v>
      </c>
      <c r="E805" t="s" s="0">
        <v>17586</v>
      </c>
      <c r="F805" t="s" s="0">
        <v>17587</v>
      </c>
      <c r="G805" t="s" s="0">
        <v>17588</v>
      </c>
      <c r="H805" t="s" s="0">
        <v>81</v>
      </c>
      <c r="I805" t="s" s="0">
        <v>589</v>
      </c>
      <c r="J805" t="s" s="0">
        <v>17589</v>
      </c>
      <c r="K805" t="s" s="0">
        <v>17590</v>
      </c>
      <c r="L805" t="s" s="0">
        <v>17591</v>
      </c>
      <c r="M805" t="s" s="0">
        <v>17592</v>
      </c>
      <c r="N805" t="s" s="0">
        <v>17593</v>
      </c>
      <c r="O805" t="s" s="0">
        <v>17594</v>
      </c>
      <c r="P805" t="s" s="0">
        <v>17595</v>
      </c>
      <c r="Q805" t="s" s="0">
        <v>87</v>
      </c>
      <c r="R805" t="s" s="0">
        <v>81</v>
      </c>
      <c r="S805" t="s" s="0">
        <v>81</v>
      </c>
      <c r="T805" t="s" s="0">
        <v>81</v>
      </c>
      <c r="U805" t="s" s="0">
        <v>81</v>
      </c>
      <c r="V805" t="s" s="0">
        <v>17596</v>
      </c>
      <c r="W805" t="s" s="0">
        <v>4494</v>
      </c>
      <c r="X805" t="s" s="0">
        <v>81</v>
      </c>
      <c r="Y805" t="s" s="0">
        <v>81</v>
      </c>
      <c r="Z805" t="s" s="0">
        <v>90</v>
      </c>
      <c r="AA805" t="s" s="0">
        <v>91</v>
      </c>
      <c r="AB805" t="s" s="0">
        <v>81</v>
      </c>
      <c r="AC805" t="s" s="0">
        <v>81</v>
      </c>
      <c r="AD805" t="s" s="0">
        <v>81</v>
      </c>
      <c r="AE805" t="s" s="0">
        <v>81</v>
      </c>
      <c r="AF805" t="s" s="0">
        <v>81</v>
      </c>
      <c r="AG805" t="s" s="0">
        <v>17597</v>
      </c>
      <c r="AH805" t="s" s="0">
        <v>17598</v>
      </c>
      <c r="AI805" t="s" s="0">
        <v>17599</v>
      </c>
      <c r="AJ805" t="s" s="0">
        <v>17600</v>
      </c>
      <c r="AK805" t="s" s="0">
        <v>81</v>
      </c>
      <c r="AL805" t="s" s="0">
        <v>542</v>
      </c>
      <c r="AM805" t="s" s="0">
        <v>156</v>
      </c>
      <c r="AN805" t="s" s="0">
        <v>175</v>
      </c>
      <c r="AO805" t="s" s="0">
        <v>77</v>
      </c>
      <c r="AP805" t="s" s="0">
        <v>381</v>
      </c>
      <c r="AQ805" t="s" s="0">
        <v>1809</v>
      </c>
      <c r="AR805" t="s" s="0">
        <v>1810</v>
      </c>
      <c r="AS805" t="s" s="0">
        <v>1811</v>
      </c>
      <c r="AT805" t="s" s="0">
        <v>4498</v>
      </c>
      <c r="AU805" t="s" s="0">
        <v>81</v>
      </c>
      <c r="AV805" t="s" s="0">
        <v>81</v>
      </c>
      <c r="AW805" t="s" s="0">
        <v>4499</v>
      </c>
      <c r="AX805" t="s" s="0">
        <v>4500</v>
      </c>
      <c r="AY805" t="s" s="0">
        <v>17601</v>
      </c>
      <c r="AZ805" t="s" s="0">
        <v>260</v>
      </c>
      <c r="BA805" t="s" s="0">
        <v>210</v>
      </c>
      <c r="BB805" t="s" s="0">
        <v>81</v>
      </c>
      <c r="BC805" t="s" s="0">
        <v>81</v>
      </c>
      <c r="BD805" t="s" s="0">
        <v>81</v>
      </c>
      <c r="BE805" t="s" s="0">
        <v>81</v>
      </c>
      <c r="BF805" t="s" s="0">
        <v>81</v>
      </c>
      <c r="BG805" t="s" s="0">
        <v>81</v>
      </c>
      <c r="BH805" t="s" s="0">
        <v>81</v>
      </c>
      <c r="BI805" t="s" s="0">
        <v>17602</v>
      </c>
      <c r="BJ805" t="s" s="0">
        <v>17603</v>
      </c>
      <c r="BK805" t="s" s="1600">
        <f>HYPERLINK("http://dx.doi.org/10.1177/16094069231186965","http://dx.doi.org/10.1177/16094069231186965")</f>
        <v>17604</v>
      </c>
      <c r="BL805" t="s" s="0">
        <v>81</v>
      </c>
      <c r="BM805" t="s" s="0">
        <v>81</v>
      </c>
      <c r="BN805" t="s" s="0">
        <v>211</v>
      </c>
      <c r="BO805" t="s" s="0">
        <v>3207</v>
      </c>
      <c r="BP805" t="s" s="0">
        <v>3208</v>
      </c>
      <c r="BQ805" t="s" s="0">
        <v>17605</v>
      </c>
      <c r="BR805" t="s" s="0">
        <v>81</v>
      </c>
      <c r="BS805" t="s" s="0">
        <v>17606</v>
      </c>
      <c r="BT805" t="s" s="1601">
        <f>HYPERLINK("https://www.webofscience.com/wos/woscc/full-record/WOS:001022976400001","View Record in Web of Science")</f>
        <v>114</v>
      </c>
      <c r="BU805" t="s" s="0">
        <v>301</v>
      </c>
      <c r="BV805" t="s" s="0">
        <v>81</v>
      </c>
      <c r="BW805" t="s" s="0">
        <v>81</v>
      </c>
      <c r="BX805" t="s" s="0">
        <v>116</v>
      </c>
    </row>
    <row r="806">
      <c r="A806" t="s" s="0">
        <v>77</v>
      </c>
      <c r="B806" t="s" s="0">
        <v>77</v>
      </c>
      <c r="C806" t="s" s="0">
        <v>77</v>
      </c>
      <c r="D806" t="s" s="0">
        <v>77</v>
      </c>
      <c r="E806" t="s" s="0">
        <v>17607</v>
      </c>
      <c r="F806" t="s" s="0">
        <v>17608</v>
      </c>
      <c r="G806" t="s" s="0">
        <v>17609</v>
      </c>
      <c r="H806" t="s" s="0">
        <v>81</v>
      </c>
      <c r="I806" t="s" s="0">
        <v>238</v>
      </c>
      <c r="J806" t="s" s="0">
        <v>17610</v>
      </c>
      <c r="K806" t="s" s="0">
        <v>17611</v>
      </c>
      <c r="L806" t="s" s="0">
        <v>81</v>
      </c>
      <c r="M806" t="s" s="0">
        <v>81</v>
      </c>
      <c r="N806" t="s" s="0">
        <v>81</v>
      </c>
      <c r="O806" t="s" s="0">
        <v>17612</v>
      </c>
      <c r="P806" t="s" s="0">
        <v>17613</v>
      </c>
      <c r="Q806" t="s" s="0">
        <v>87</v>
      </c>
      <c r="R806" t="s" s="0">
        <v>81</v>
      </c>
      <c r="S806" t="s" s="0">
        <v>81</v>
      </c>
      <c r="T806" t="s" s="0">
        <v>81</v>
      </c>
      <c r="U806" t="s" s="0">
        <v>81</v>
      </c>
      <c r="V806" t="s" s="0">
        <v>17614</v>
      </c>
      <c r="W806" t="s" s="0">
        <v>17615</v>
      </c>
      <c r="X806" t="s" s="0">
        <v>81</v>
      </c>
      <c r="Y806" t="s" s="0">
        <v>81</v>
      </c>
      <c r="Z806" t="s" s="0">
        <v>90</v>
      </c>
      <c r="AA806" t="s" s="0">
        <v>91</v>
      </c>
      <c r="AB806" t="s" s="0">
        <v>81</v>
      </c>
      <c r="AC806" t="s" s="0">
        <v>81</v>
      </c>
      <c r="AD806" t="s" s="0">
        <v>81</v>
      </c>
      <c r="AE806" t="s" s="0">
        <v>81</v>
      </c>
      <c r="AF806" t="s" s="0">
        <v>81</v>
      </c>
      <c r="AG806" t="s" s="0">
        <v>17616</v>
      </c>
      <c r="AH806" t="s" s="0">
        <v>4100</v>
      </c>
      <c r="AI806" t="s" s="0">
        <v>81</v>
      </c>
      <c r="AJ806" t="s" s="0">
        <v>81</v>
      </c>
      <c r="AK806" t="s" s="0">
        <v>81</v>
      </c>
      <c r="AL806" t="s" s="0">
        <v>4375</v>
      </c>
      <c r="AM806" t="s" s="0">
        <v>234</v>
      </c>
      <c r="AN806" t="s" s="0">
        <v>486</v>
      </c>
      <c r="AO806" t="s" s="0">
        <v>261</v>
      </c>
      <c r="AP806" t="s" s="0">
        <v>485</v>
      </c>
      <c r="AQ806" t="s" s="0">
        <v>5272</v>
      </c>
      <c r="AR806" t="s" s="0">
        <v>637</v>
      </c>
      <c r="AS806" t="s" s="0">
        <v>5273</v>
      </c>
      <c r="AT806" t="s" s="0">
        <v>17617</v>
      </c>
      <c r="AU806" t="s" s="0">
        <v>17618</v>
      </c>
      <c r="AV806" t="s" s="0">
        <v>81</v>
      </c>
      <c r="AW806" t="s" s="0">
        <v>17619</v>
      </c>
      <c r="AX806" t="s" s="0">
        <v>17620</v>
      </c>
      <c r="AY806" t="s" s="0">
        <v>17621</v>
      </c>
      <c r="AZ806" t="s" s="0">
        <v>103</v>
      </c>
      <c r="BA806" t="s" s="0">
        <v>324</v>
      </c>
      <c r="BB806" t="s" s="0">
        <v>156</v>
      </c>
      <c r="BC806" t="s" s="0">
        <v>81</v>
      </c>
      <c r="BD806" t="s" s="0">
        <v>81</v>
      </c>
      <c r="BE806" t="s" s="0">
        <v>81</v>
      </c>
      <c r="BF806" t="s" s="0">
        <v>81</v>
      </c>
      <c r="BG806" t="s" s="0">
        <v>17622</v>
      </c>
      <c r="BH806" t="s" s="0">
        <v>12605</v>
      </c>
      <c r="BI806" t="s" s="0">
        <v>81</v>
      </c>
      <c r="BJ806" t="s" s="0">
        <v>17623</v>
      </c>
      <c r="BK806" t="s" s="1602">
        <f>HYPERLINK("http://dx.doi.org/10.1080/13600834.2025.2537514","http://dx.doi.org/10.1080/13600834.2025.2537514")</f>
        <v>17624</v>
      </c>
      <c r="BL806" t="s" s="0">
        <v>81</v>
      </c>
      <c r="BM806" t="s" s="0">
        <v>733</v>
      </c>
      <c r="BN806" t="s" s="0">
        <v>1912</v>
      </c>
      <c r="BO806" t="s" s="0">
        <v>9623</v>
      </c>
      <c r="BP806" t="s" s="0">
        <v>9624</v>
      </c>
      <c r="BQ806" t="s" s="0">
        <v>17625</v>
      </c>
      <c r="BR806" t="s" s="0">
        <v>81</v>
      </c>
      <c r="BS806" t="s" s="0">
        <v>17626</v>
      </c>
      <c r="BT806" t="s" s="1603">
        <f>HYPERLINK("https://www.webofscience.com/wos/woscc/full-record/WOS:001537692500001","View Record in Web of Science")</f>
        <v>114</v>
      </c>
      <c r="BU806" t="s" s="0">
        <v>81</v>
      </c>
      <c r="BV806" t="s" s="0">
        <v>81</v>
      </c>
      <c r="BW806" t="s" s="0">
        <v>81</v>
      </c>
      <c r="BX806" t="s" s="0">
        <v>116</v>
      </c>
    </row>
    <row r="807">
      <c r="A807" t="s" s="0">
        <v>77</v>
      </c>
      <c r="B807" t="s" s="0">
        <v>77</v>
      </c>
      <c r="C807" t="s" s="0">
        <v>77</v>
      </c>
      <c r="D807" t="s" s="0">
        <v>77</v>
      </c>
      <c r="E807" t="s" s="0">
        <v>17627</v>
      </c>
      <c r="F807" t="s" s="0">
        <v>17628</v>
      </c>
      <c r="G807" t="s" s="0">
        <v>17629</v>
      </c>
      <c r="H807" t="s" s="0">
        <v>81</v>
      </c>
      <c r="I807" t="s" s="0">
        <v>82</v>
      </c>
      <c r="J807" t="s" s="0">
        <v>17630</v>
      </c>
      <c r="K807" t="s" s="0">
        <v>17631</v>
      </c>
      <c r="L807" t="s" s="0">
        <v>17632</v>
      </c>
      <c r="M807" t="s" s="0">
        <v>17633</v>
      </c>
      <c r="N807" t="s" s="0">
        <v>17634</v>
      </c>
      <c r="O807" t="s" s="0">
        <v>17635</v>
      </c>
      <c r="P807" t="s" s="0">
        <v>17636</v>
      </c>
      <c r="Q807" t="s" s="0">
        <v>87</v>
      </c>
      <c r="R807" t="s" s="0">
        <v>81</v>
      </c>
      <c r="S807" t="s" s="0">
        <v>81</v>
      </c>
      <c r="T807" t="s" s="0">
        <v>81</v>
      </c>
      <c r="U807" t="s" s="0">
        <v>81</v>
      </c>
      <c r="V807" t="s" s="0">
        <v>17637</v>
      </c>
      <c r="W807" t="s" s="0">
        <v>17638</v>
      </c>
      <c r="X807" t="s" s="0">
        <v>81</v>
      </c>
      <c r="Y807" t="s" s="0">
        <v>81</v>
      </c>
      <c r="Z807" t="s" s="0">
        <v>90</v>
      </c>
      <c r="AA807" t="s" s="0">
        <v>91</v>
      </c>
      <c r="AB807" t="s" s="0">
        <v>81</v>
      </c>
      <c r="AC807" t="s" s="0">
        <v>81</v>
      </c>
      <c r="AD807" t="s" s="0">
        <v>81</v>
      </c>
      <c r="AE807" t="s" s="0">
        <v>81</v>
      </c>
      <c r="AF807" t="s" s="0">
        <v>81</v>
      </c>
      <c r="AG807" t="s" s="0">
        <v>17639</v>
      </c>
      <c r="AH807" t="s" s="0">
        <v>17640</v>
      </c>
      <c r="AI807" t="s" s="0">
        <v>81</v>
      </c>
      <c r="AJ807" t="s" s="0">
        <v>17641</v>
      </c>
      <c r="AK807" t="s" s="0">
        <v>81</v>
      </c>
      <c r="AL807" t="s" s="0">
        <v>1635</v>
      </c>
      <c r="AM807" t="s" s="0">
        <v>77</v>
      </c>
      <c r="AN807" t="s" s="0">
        <v>77</v>
      </c>
      <c r="AO807" t="s" s="0">
        <v>77</v>
      </c>
      <c r="AP807" t="s" s="0">
        <v>77</v>
      </c>
      <c r="AQ807" t="s" s="0">
        <v>428</v>
      </c>
      <c r="AR807" t="s" s="0">
        <v>429</v>
      </c>
      <c r="AS807" t="s" s="0">
        <v>430</v>
      </c>
      <c r="AT807" t="s" s="0">
        <v>17642</v>
      </c>
      <c r="AU807" t="s" s="0">
        <v>17643</v>
      </c>
      <c r="AV807" t="s" s="0">
        <v>81</v>
      </c>
      <c r="AW807" t="s" s="0">
        <v>17644</v>
      </c>
      <c r="AX807" t="s" s="0">
        <v>17645</v>
      </c>
      <c r="AY807" t="s" s="0">
        <v>5030</v>
      </c>
      <c r="AZ807" t="s" s="0">
        <v>103</v>
      </c>
      <c r="BA807" t="s" s="0">
        <v>4930</v>
      </c>
      <c r="BB807" t="s" s="0">
        <v>81</v>
      </c>
      <c r="BC807" t="s" s="0">
        <v>81</v>
      </c>
      <c r="BD807" t="s" s="0">
        <v>81</v>
      </c>
      <c r="BE807" t="s" s="0">
        <v>81</v>
      </c>
      <c r="BF807" t="s" s="0">
        <v>81</v>
      </c>
      <c r="BG807" t="s" s="0">
        <v>81</v>
      </c>
      <c r="BH807" t="s" s="0">
        <v>81</v>
      </c>
      <c r="BI807" t="s" s="0">
        <v>17646</v>
      </c>
      <c r="BJ807" t="s" s="0">
        <v>17647</v>
      </c>
      <c r="BK807" t="s" s="1604">
        <f>HYPERLINK("http://dx.doi.org/10.1016/j.mri.2026.110700","http://dx.doi.org/10.1016/j.mri.2026.110700")</f>
        <v>17648</v>
      </c>
      <c r="BL807" t="s" s="0">
        <v>81</v>
      </c>
      <c r="BM807" t="s" s="0">
        <v>81</v>
      </c>
      <c r="BN807" t="s" s="0">
        <v>191</v>
      </c>
      <c r="BO807" t="s" s="0">
        <v>738</v>
      </c>
      <c r="BP807" t="s" s="0">
        <v>738</v>
      </c>
      <c r="BQ807" t="s" s="0">
        <v>17649</v>
      </c>
      <c r="BR807" t="s" s="0">
        <v>17650</v>
      </c>
      <c r="BS807" t="s" s="0">
        <v>17651</v>
      </c>
      <c r="BT807" t="s" s="1605">
        <f>HYPERLINK("https://www.webofscience.com/wos/woscc/full-record/WOS:001767861000001","View Record in Web of Science")</f>
        <v>114</v>
      </c>
      <c r="BU807" t="s" s="0">
        <v>81</v>
      </c>
      <c r="BV807" t="s" s="0">
        <v>81</v>
      </c>
      <c r="BW807" t="s" s="0">
        <v>81</v>
      </c>
      <c r="BX807" t="s" s="0">
        <v>116</v>
      </c>
    </row>
    <row r="808">
      <c r="A808" t="s" s="0">
        <v>77</v>
      </c>
      <c r="B808" t="s" s="0">
        <v>77</v>
      </c>
      <c r="C808" t="s" s="0">
        <v>77</v>
      </c>
      <c r="D808" t="s" s="0">
        <v>77</v>
      </c>
      <c r="E808" t="s" s="0">
        <v>17652</v>
      </c>
      <c r="F808" t="s" s="0">
        <v>17653</v>
      </c>
      <c r="G808" t="s" s="0">
        <v>17654</v>
      </c>
      <c r="H808" t="s" s="0">
        <v>81</v>
      </c>
      <c r="I808" t="s" s="0">
        <v>238</v>
      </c>
      <c r="J808" t="s" s="0">
        <v>17655</v>
      </c>
      <c r="K808" t="s" s="0">
        <v>17656</v>
      </c>
      <c r="L808" t="s" s="0">
        <v>81</v>
      </c>
      <c r="M808" t="s" s="0">
        <v>81</v>
      </c>
      <c r="N808" t="s" s="0">
        <v>81</v>
      </c>
      <c r="O808" t="s" s="0">
        <v>17657</v>
      </c>
      <c r="P808" t="s" s="0">
        <v>11077</v>
      </c>
      <c r="Q808" t="s" s="0">
        <v>87</v>
      </c>
      <c r="R808" t="s" s="0">
        <v>81</v>
      </c>
      <c r="S808" t="s" s="0">
        <v>81</v>
      </c>
      <c r="T808" t="s" s="0">
        <v>81</v>
      </c>
      <c r="U808" t="s" s="0">
        <v>81</v>
      </c>
      <c r="V808" t="s" s="0">
        <v>17658</v>
      </c>
      <c r="W808" t="s" s="0">
        <v>17659</v>
      </c>
      <c r="X808" t="s" s="0">
        <v>81</v>
      </c>
      <c r="Y808" t="s" s="0">
        <v>81</v>
      </c>
      <c r="Z808" t="s" s="0">
        <v>90</v>
      </c>
      <c r="AA808" t="s" s="0">
        <v>91</v>
      </c>
      <c r="AB808" t="s" s="0">
        <v>81</v>
      </c>
      <c r="AC808" t="s" s="0">
        <v>81</v>
      </c>
      <c r="AD808" t="s" s="0">
        <v>81</v>
      </c>
      <c r="AE808" t="s" s="0">
        <v>81</v>
      </c>
      <c r="AF808" t="s" s="0">
        <v>81</v>
      </c>
      <c r="AG808" t="s" s="0">
        <v>17660</v>
      </c>
      <c r="AH808" t="s" s="0">
        <v>81</v>
      </c>
      <c r="AI808" t="s" s="0">
        <v>81</v>
      </c>
      <c r="AJ808" t="s" s="0">
        <v>17661</v>
      </c>
      <c r="AK808" t="s" s="0">
        <v>81</v>
      </c>
      <c r="AL808" t="s" s="0">
        <v>4581</v>
      </c>
      <c r="AM808" t="s" s="0">
        <v>196</v>
      </c>
      <c r="AN808" t="s" s="0">
        <v>175</v>
      </c>
      <c r="AO808" t="s" s="0">
        <v>133</v>
      </c>
      <c r="AP808" t="s" s="0">
        <v>234</v>
      </c>
      <c r="AQ808" t="s" s="0">
        <v>636</v>
      </c>
      <c r="AR808" t="s" s="0">
        <v>637</v>
      </c>
      <c r="AS808" t="s" s="0">
        <v>638</v>
      </c>
      <c r="AT808" t="s" s="0">
        <v>81</v>
      </c>
      <c r="AU808" t="s" s="0">
        <v>17662</v>
      </c>
      <c r="AV808" t="s" s="0">
        <v>81</v>
      </c>
      <c r="AW808" t="s" s="0">
        <v>17663</v>
      </c>
      <c r="AX808" t="s" s="0">
        <v>17664</v>
      </c>
      <c r="AY808" t="s" s="0">
        <v>643</v>
      </c>
      <c r="AZ808" t="s" s="0">
        <v>290</v>
      </c>
      <c r="BA808" t="s" s="0">
        <v>486</v>
      </c>
      <c r="BB808" t="s" s="0">
        <v>97</v>
      </c>
      <c r="BC808" t="s" s="0">
        <v>81</v>
      </c>
      <c r="BD808" t="s" s="0">
        <v>81</v>
      </c>
      <c r="BE808" t="s" s="0">
        <v>81</v>
      </c>
      <c r="BF808" t="s" s="0">
        <v>81</v>
      </c>
      <c r="BG808" t="s" s="0">
        <v>81</v>
      </c>
      <c r="BH808" t="s" s="0">
        <v>81</v>
      </c>
      <c r="BI808" t="s" s="0">
        <v>17665</v>
      </c>
      <c r="BJ808" t="s" s="0">
        <v>17666</v>
      </c>
      <c r="BK808" t="s" s="1606">
        <f>HYPERLINK("http://dx.doi.org/10.1080/21642583.2025.2600795","http://dx.doi.org/10.1080/21642583.2025.2600795")</f>
        <v>17667</v>
      </c>
      <c r="BL808" t="s" s="0">
        <v>81</v>
      </c>
      <c r="BM808" t="s" s="0">
        <v>81</v>
      </c>
      <c r="BN808" t="s" s="0">
        <v>874</v>
      </c>
      <c r="BO808" t="s" s="0">
        <v>12661</v>
      </c>
      <c r="BP808" t="s" s="0">
        <v>12661</v>
      </c>
      <c r="BQ808" t="s" s="0">
        <v>17668</v>
      </c>
      <c r="BR808" t="s" s="0">
        <v>81</v>
      </c>
      <c r="BS808" t="s" s="0">
        <v>17669</v>
      </c>
      <c r="BT808" t="s" s="1607">
        <f>HYPERLINK("https://www.webofscience.com/wos/woscc/full-record/WOS:001640629600001","View Record in Web of Science")</f>
        <v>114</v>
      </c>
      <c r="BU808" t="s" s="0">
        <v>301</v>
      </c>
      <c r="BV808" t="s" s="0">
        <v>81</v>
      </c>
      <c r="BW808" t="s" s="0">
        <v>81</v>
      </c>
      <c r="BX808" t="s" s="0">
        <v>116</v>
      </c>
    </row>
    <row r="809">
      <c r="A809" t="s" s="0">
        <v>77</v>
      </c>
      <c r="B809" t="s" s="0">
        <v>77</v>
      </c>
      <c r="C809" t="s" s="0">
        <v>77</v>
      </c>
      <c r="D809" t="s" s="0">
        <v>77</v>
      </c>
      <c r="E809" t="s" s="0">
        <v>17670</v>
      </c>
      <c r="F809" t="s" s="0">
        <v>17671</v>
      </c>
      <c r="G809" t="s" s="0">
        <v>17672</v>
      </c>
      <c r="H809" t="s" s="0">
        <v>81</v>
      </c>
      <c r="I809" t="s" s="0">
        <v>82</v>
      </c>
      <c r="J809" t="s" s="0">
        <v>17673</v>
      </c>
      <c r="K809" t="s" s="0">
        <v>17674</v>
      </c>
      <c r="L809" t="s" s="0">
        <v>81</v>
      </c>
      <c r="M809" t="s" s="0">
        <v>81</v>
      </c>
      <c r="N809" t="s" s="0">
        <v>81</v>
      </c>
      <c r="O809" t="s" s="0">
        <v>17675</v>
      </c>
      <c r="P809" t="s" s="0">
        <v>17676</v>
      </c>
      <c r="Q809" t="s" s="0">
        <v>87</v>
      </c>
      <c r="R809" t="s" s="0">
        <v>81</v>
      </c>
      <c r="S809" t="s" s="0">
        <v>81</v>
      </c>
      <c r="T809" t="s" s="0">
        <v>81</v>
      </c>
      <c r="U809" t="s" s="0">
        <v>81</v>
      </c>
      <c r="V809" t="s" s="0">
        <v>17677</v>
      </c>
      <c r="W809" t="s" s="0">
        <v>13433</v>
      </c>
      <c r="X809" t="s" s="0">
        <v>81</v>
      </c>
      <c r="Y809" t="s" s="0">
        <v>81</v>
      </c>
      <c r="Z809" t="s" s="0">
        <v>90</v>
      </c>
      <c r="AA809" t="s" s="0">
        <v>91</v>
      </c>
      <c r="AB809" t="s" s="0">
        <v>81</v>
      </c>
      <c r="AC809" t="s" s="0">
        <v>81</v>
      </c>
      <c r="AD809" t="s" s="0">
        <v>81</v>
      </c>
      <c r="AE809" t="s" s="0">
        <v>81</v>
      </c>
      <c r="AF809" t="s" s="0">
        <v>81</v>
      </c>
      <c r="AG809" t="s" s="0">
        <v>17678</v>
      </c>
      <c r="AH809" t="s" s="0">
        <v>17679</v>
      </c>
      <c r="AI809" t="s" s="0">
        <v>17680</v>
      </c>
      <c r="AJ809" t="s" s="0">
        <v>17681</v>
      </c>
      <c r="AK809" t="s" s="0">
        <v>81</v>
      </c>
      <c r="AL809" t="s" s="0">
        <v>1762</v>
      </c>
      <c r="AM809" t="s" s="0">
        <v>97</v>
      </c>
      <c r="AN809" t="s" s="0">
        <v>97</v>
      </c>
      <c r="AO809" t="s" s="0">
        <v>196</v>
      </c>
      <c r="AP809" t="s" s="0">
        <v>133</v>
      </c>
      <c r="AQ809" t="s" s="0">
        <v>2208</v>
      </c>
      <c r="AR809" t="s" s="0">
        <v>2209</v>
      </c>
      <c r="AS809" t="s" s="0">
        <v>2210</v>
      </c>
      <c r="AT809" t="s" s="0">
        <v>13436</v>
      </c>
      <c r="AU809" t="s" s="0">
        <v>13437</v>
      </c>
      <c r="AV809" t="s" s="0">
        <v>81</v>
      </c>
      <c r="AW809" t="s" s="0">
        <v>13438</v>
      </c>
      <c r="AX809" t="s" s="0">
        <v>13439</v>
      </c>
      <c r="AY809" t="s" s="0">
        <v>2353</v>
      </c>
      <c r="AZ809" t="s" s="0">
        <v>290</v>
      </c>
      <c r="BA809" t="s" s="0">
        <v>697</v>
      </c>
      <c r="BB809" t="s" s="0">
        <v>135</v>
      </c>
      <c r="BC809" t="s" s="0">
        <v>81</v>
      </c>
      <c r="BD809" t="s" s="0">
        <v>81</v>
      </c>
      <c r="BE809" t="s" s="0">
        <v>81</v>
      </c>
      <c r="BF809" t="s" s="0">
        <v>81</v>
      </c>
      <c r="BG809" t="s" s="0">
        <v>17682</v>
      </c>
      <c r="BH809" t="s" s="0">
        <v>17683</v>
      </c>
      <c r="BI809" t="s" s="0">
        <v>81</v>
      </c>
      <c r="BJ809" t="s" s="0">
        <v>17684</v>
      </c>
      <c r="BK809" t="s" s="1608">
        <f>HYPERLINK("http://dx.doi.org/10.1007/s13369-025-10148-3","http://dx.doi.org/10.1007/s13369-025-10148-3")</f>
        <v>17685</v>
      </c>
      <c r="BL809" t="s" s="0">
        <v>81</v>
      </c>
      <c r="BM809" t="s" s="0">
        <v>2502</v>
      </c>
      <c r="BN809" t="s" s="0">
        <v>104</v>
      </c>
      <c r="BO809" t="s" s="0">
        <v>926</v>
      </c>
      <c r="BP809" t="s" s="0">
        <v>927</v>
      </c>
      <c r="BQ809" t="s" s="0">
        <v>17686</v>
      </c>
      <c r="BR809" t="s" s="0">
        <v>81</v>
      </c>
      <c r="BS809" t="s" s="0">
        <v>17687</v>
      </c>
      <c r="BT809" t="s" s="1609">
        <f>HYPERLINK("https://www.webofscience.com/wos/woscc/full-record/WOS:001473759000001","View Record in Web of Science")</f>
        <v>114</v>
      </c>
      <c r="BU809" t="s" s="0">
        <v>81</v>
      </c>
      <c r="BV809" t="s" s="0">
        <v>81</v>
      </c>
      <c r="BW809" t="s" s="0">
        <v>81</v>
      </c>
      <c r="BX809" t="s" s="0">
        <v>116</v>
      </c>
    </row>
    <row r="810">
      <c r="A810" t="s" s="0">
        <v>77</v>
      </c>
      <c r="B810" t="s" s="0">
        <v>77</v>
      </c>
      <c r="C810" t="s" s="0">
        <v>97</v>
      </c>
      <c r="D810" t="s" s="0">
        <v>77</v>
      </c>
      <c r="E810" t="s" s="0">
        <v>17688</v>
      </c>
      <c r="F810" t="s" s="0">
        <v>17689</v>
      </c>
      <c r="G810" t="s" s="0">
        <v>17690</v>
      </c>
      <c r="H810" t="s" s="0">
        <v>81</v>
      </c>
      <c r="I810" t="s" s="0">
        <v>82</v>
      </c>
      <c r="J810" t="s" s="0">
        <v>17691</v>
      </c>
      <c r="K810" t="s" s="0">
        <v>17692</v>
      </c>
      <c r="L810" t="s" s="0">
        <v>81</v>
      </c>
      <c r="M810" t="s" s="0">
        <v>81</v>
      </c>
      <c r="N810" t="s" s="0">
        <v>81</v>
      </c>
      <c r="O810" t="s" s="0">
        <v>17693</v>
      </c>
      <c r="P810" t="s" s="0">
        <v>17694</v>
      </c>
      <c r="Q810" t="s" s="0">
        <v>87</v>
      </c>
      <c r="R810" t="s" s="0">
        <v>81</v>
      </c>
      <c r="S810" t="s" s="0">
        <v>81</v>
      </c>
      <c r="T810" t="s" s="0">
        <v>81</v>
      </c>
      <c r="U810" t="s" s="0">
        <v>81</v>
      </c>
      <c r="V810" t="s" s="0">
        <v>17695</v>
      </c>
      <c r="W810" t="s" s="0">
        <v>279</v>
      </c>
      <c r="X810" t="s" s="0">
        <v>81</v>
      </c>
      <c r="Y810" t="s" s="0">
        <v>81</v>
      </c>
      <c r="Z810" t="s" s="0">
        <v>90</v>
      </c>
      <c r="AA810" t="s" s="0">
        <v>91</v>
      </c>
      <c r="AB810" t="s" s="0">
        <v>81</v>
      </c>
      <c r="AC810" t="s" s="0">
        <v>81</v>
      </c>
      <c r="AD810" t="s" s="0">
        <v>81</v>
      </c>
      <c r="AE810" t="s" s="0">
        <v>81</v>
      </c>
      <c r="AF810" t="s" s="0">
        <v>81</v>
      </c>
      <c r="AG810" t="s" s="0">
        <v>17696</v>
      </c>
      <c r="AH810" t="s" s="0">
        <v>17697</v>
      </c>
      <c r="AI810" t="s" s="0">
        <v>17698</v>
      </c>
      <c r="AJ810" t="s" s="0">
        <v>17699</v>
      </c>
      <c r="AK810" t="s" s="0">
        <v>81</v>
      </c>
      <c r="AL810" t="s" s="0">
        <v>4311</v>
      </c>
      <c r="AM810" t="s" s="0">
        <v>196</v>
      </c>
      <c r="AN810" t="s" s="0">
        <v>196</v>
      </c>
      <c r="AO810" t="s" s="0">
        <v>97</v>
      </c>
      <c r="AP810" t="s" s="0">
        <v>156</v>
      </c>
      <c r="AQ810" t="s" s="0">
        <v>284</v>
      </c>
      <c r="AR810" t="s" s="0">
        <v>285</v>
      </c>
      <c r="AS810" t="s" s="0">
        <v>286</v>
      </c>
      <c r="AT810" t="s" s="0">
        <v>81</v>
      </c>
      <c r="AU810" t="s" s="0">
        <v>287</v>
      </c>
      <c r="AV810" t="s" s="0">
        <v>81</v>
      </c>
      <c r="AW810" t="s" s="0">
        <v>279</v>
      </c>
      <c r="AX810" t="s" s="0">
        <v>288</v>
      </c>
      <c r="AY810" t="s" s="0">
        <v>17700</v>
      </c>
      <c r="AZ810" t="s" s="0">
        <v>290</v>
      </c>
      <c r="BA810" t="s" s="0">
        <v>291</v>
      </c>
      <c r="BB810" t="s" s="0">
        <v>222</v>
      </c>
      <c r="BC810" t="s" s="0">
        <v>81</v>
      </c>
      <c r="BD810" t="s" s="0">
        <v>81</v>
      </c>
      <c r="BE810" t="s" s="0">
        <v>81</v>
      </c>
      <c r="BF810" t="s" s="0">
        <v>81</v>
      </c>
      <c r="BG810" t="s" s="0">
        <v>81</v>
      </c>
      <c r="BH810" t="s" s="0">
        <v>81</v>
      </c>
      <c r="BI810" t="s" s="0">
        <v>17701</v>
      </c>
      <c r="BJ810" t="s" s="0">
        <v>17702</v>
      </c>
      <c r="BK810" t="s" s="1610">
        <f>HYPERLINK("http://dx.doi.org/10.3390/diagnostics15172219","http://dx.doi.org/10.3390/diagnostics15172219")</f>
        <v>17703</v>
      </c>
      <c r="BL810" t="s" s="0">
        <v>81</v>
      </c>
      <c r="BM810" t="s" s="0">
        <v>81</v>
      </c>
      <c r="BN810" t="s" s="0">
        <v>210</v>
      </c>
      <c r="BO810" t="s" s="0">
        <v>296</v>
      </c>
      <c r="BP810" t="s" s="0">
        <v>297</v>
      </c>
      <c r="BQ810" t="s" s="0">
        <v>17704</v>
      </c>
      <c r="BR810" t="s" s="0">
        <v>17705</v>
      </c>
      <c r="BS810" t="s" s="0">
        <v>17706</v>
      </c>
      <c r="BT810" t="s" s="1611">
        <f>HYPERLINK("https://www.webofscience.com/wos/woscc/full-record/WOS:001570111900001","View Record in Web of Science")</f>
        <v>114</v>
      </c>
      <c r="BU810" t="s" s="0">
        <v>301</v>
      </c>
      <c r="BV810" t="s" s="0">
        <v>81</v>
      </c>
      <c r="BW810" t="s" s="0">
        <v>81</v>
      </c>
      <c r="BX810" t="s" s="0">
        <v>116</v>
      </c>
    </row>
    <row r="811">
      <c r="A811" t="s" s="0">
        <v>77</v>
      </c>
      <c r="B811" t="s" s="0">
        <v>77</v>
      </c>
      <c r="C811" t="s" s="0">
        <v>77</v>
      </c>
      <c r="D811" t="s" s="0">
        <v>77</v>
      </c>
      <c r="E811" t="s" s="0">
        <v>17707</v>
      </c>
      <c r="F811" t="s" s="0">
        <v>17708</v>
      </c>
      <c r="G811" t="s" s="0">
        <v>17709</v>
      </c>
      <c r="H811" t="s" s="0">
        <v>81</v>
      </c>
      <c r="I811" t="s" s="0">
        <v>82</v>
      </c>
      <c r="J811" t="s" s="0">
        <v>17710</v>
      </c>
      <c r="K811" t="s" s="0">
        <v>17711</v>
      </c>
      <c r="L811" t="s" s="0">
        <v>81</v>
      </c>
      <c r="M811" t="s" s="0">
        <v>81</v>
      </c>
      <c r="N811" t="s" s="0">
        <v>81</v>
      </c>
      <c r="O811" t="s" s="0">
        <v>17712</v>
      </c>
      <c r="P811" t="s" s="0">
        <v>17713</v>
      </c>
      <c r="Q811" t="s" s="0">
        <v>87</v>
      </c>
      <c r="R811" t="s" s="0">
        <v>81</v>
      </c>
      <c r="S811" t="s" s="0">
        <v>81</v>
      </c>
      <c r="T811" t="s" s="0">
        <v>81</v>
      </c>
      <c r="U811" t="s" s="0">
        <v>81</v>
      </c>
      <c r="V811" t="s" s="0">
        <v>17714</v>
      </c>
      <c r="W811" t="s" s="0">
        <v>17715</v>
      </c>
      <c r="X811" t="s" s="0">
        <v>81</v>
      </c>
      <c r="Y811" t="s" s="0">
        <v>81</v>
      </c>
      <c r="Z811" t="s" s="0">
        <v>90</v>
      </c>
      <c r="AA811" t="s" s="0">
        <v>91</v>
      </c>
      <c r="AB811" t="s" s="0">
        <v>81</v>
      </c>
      <c r="AC811" t="s" s="0">
        <v>81</v>
      </c>
      <c r="AD811" t="s" s="0">
        <v>81</v>
      </c>
      <c r="AE811" t="s" s="0">
        <v>81</v>
      </c>
      <c r="AF811" t="s" s="0">
        <v>81</v>
      </c>
      <c r="AG811" t="s" s="0">
        <v>17716</v>
      </c>
      <c r="AH811" t="s" s="0">
        <v>81</v>
      </c>
      <c r="AI811" t="s" s="0">
        <v>17717</v>
      </c>
      <c r="AJ811" t="s" s="0">
        <v>17718</v>
      </c>
      <c r="AK811" t="s" s="0">
        <v>81</v>
      </c>
      <c r="AL811" t="s" s="0">
        <v>664</v>
      </c>
      <c r="AM811" t="s" s="0">
        <v>77</v>
      </c>
      <c r="AN811" t="s" s="0">
        <v>77</v>
      </c>
      <c r="AO811" t="s" s="0">
        <v>97</v>
      </c>
      <c r="AP811" t="s" s="0">
        <v>97</v>
      </c>
      <c r="AQ811" t="s" s="0">
        <v>17719</v>
      </c>
      <c r="AR811" t="s" s="0">
        <v>546</v>
      </c>
      <c r="AS811" t="s" s="0">
        <v>17720</v>
      </c>
      <c r="AT811" t="s" s="0">
        <v>17721</v>
      </c>
      <c r="AU811" t="s" s="0">
        <v>81</v>
      </c>
      <c r="AV811" t="s" s="0">
        <v>81</v>
      </c>
      <c r="AW811" t="s" s="0">
        <v>17722</v>
      </c>
      <c r="AX811" t="s" s="0">
        <v>17723</v>
      </c>
      <c r="AY811" t="s" s="0">
        <v>12814</v>
      </c>
      <c r="AZ811" t="s" s="0">
        <v>103</v>
      </c>
      <c r="BA811" t="s" s="0">
        <v>486</v>
      </c>
      <c r="BB811" t="s" s="0">
        <v>97</v>
      </c>
      <c r="BC811" t="s" s="0">
        <v>81</v>
      </c>
      <c r="BD811" t="s" s="0">
        <v>81</v>
      </c>
      <c r="BE811" t="s" s="0">
        <v>81</v>
      </c>
      <c r="BF811" t="s" s="0">
        <v>81</v>
      </c>
      <c r="BG811" t="s" s="0">
        <v>81</v>
      </c>
      <c r="BH811" t="s" s="0">
        <v>81</v>
      </c>
      <c r="BI811" t="s" s="0">
        <v>17724</v>
      </c>
      <c r="BJ811" t="s" s="0">
        <v>17725</v>
      </c>
      <c r="BK811" t="s" s="1612">
        <f>HYPERLINK("http://dx.doi.org/10.1098/rsos.250818","http://dx.doi.org/10.1098/rsos.250818")</f>
        <v>17726</v>
      </c>
      <c r="BL811" t="s" s="0">
        <v>81</v>
      </c>
      <c r="BM811" t="s" s="0">
        <v>81</v>
      </c>
      <c r="BN811" t="s" s="0">
        <v>874</v>
      </c>
      <c r="BO811" t="s" s="0">
        <v>926</v>
      </c>
      <c r="BP811" t="s" s="0">
        <v>927</v>
      </c>
      <c r="BQ811" t="s" s="0">
        <v>17727</v>
      </c>
      <c r="BR811" t="s" s="0">
        <v>81</v>
      </c>
      <c r="BS811" t="s" s="0">
        <v>17728</v>
      </c>
      <c r="BT811" t="s" s="1613">
        <f>HYPERLINK("https://www.webofscience.com/wos/woscc/full-record/WOS:001688172800014","View Record in Web of Science")</f>
        <v>114</v>
      </c>
      <c r="BU811" t="s" s="0">
        <v>115</v>
      </c>
      <c r="BV811" t="s" s="0">
        <v>81</v>
      </c>
      <c r="BW811" t="s" s="0">
        <v>81</v>
      </c>
      <c r="BX811" t="s" s="0">
        <v>116</v>
      </c>
    </row>
    <row r="812">
      <c r="A812" t="s" s="0">
        <v>77</v>
      </c>
      <c r="B812" t="s" s="0">
        <v>77</v>
      </c>
      <c r="C812" t="s" s="0">
        <v>97</v>
      </c>
      <c r="D812" t="s" s="0">
        <v>77</v>
      </c>
      <c r="E812" t="s" s="0">
        <v>17729</v>
      </c>
      <c r="F812" t="s" s="0">
        <v>17730</v>
      </c>
      <c r="G812" t="s" s="0">
        <v>17731</v>
      </c>
      <c r="H812" t="s" s="0">
        <v>81</v>
      </c>
      <c r="I812" t="s" s="0">
        <v>82</v>
      </c>
      <c r="J812" t="s" s="0">
        <v>17732</v>
      </c>
      <c r="K812" t="s" s="0">
        <v>17733</v>
      </c>
      <c r="L812" t="s" s="0">
        <v>81</v>
      </c>
      <c r="M812" t="s" s="0">
        <v>81</v>
      </c>
      <c r="N812" t="s" s="0">
        <v>81</v>
      </c>
      <c r="O812" t="s" s="0">
        <v>17734</v>
      </c>
      <c r="P812" t="s" s="0">
        <v>17735</v>
      </c>
      <c r="Q812" t="s" s="0">
        <v>87</v>
      </c>
      <c r="R812" t="s" s="0">
        <v>81</v>
      </c>
      <c r="S812" t="s" s="0">
        <v>81</v>
      </c>
      <c r="T812" t="s" s="0">
        <v>81</v>
      </c>
      <c r="U812" t="s" s="0">
        <v>81</v>
      </c>
      <c r="V812" t="s" s="0">
        <v>17736</v>
      </c>
      <c r="W812" t="s" s="0">
        <v>14610</v>
      </c>
      <c r="X812" t="s" s="0">
        <v>81</v>
      </c>
      <c r="Y812" t="s" s="0">
        <v>81</v>
      </c>
      <c r="Z812" t="s" s="0">
        <v>90</v>
      </c>
      <c r="AA812" t="s" s="0">
        <v>91</v>
      </c>
      <c r="AB812" t="s" s="0">
        <v>81</v>
      </c>
      <c r="AC812" t="s" s="0">
        <v>81</v>
      </c>
      <c r="AD812" t="s" s="0">
        <v>81</v>
      </c>
      <c r="AE812" t="s" s="0">
        <v>81</v>
      </c>
      <c r="AF812" t="s" s="0">
        <v>81</v>
      </c>
      <c r="AG812" t="s" s="0">
        <v>81</v>
      </c>
      <c r="AH812" t="s" s="0">
        <v>81</v>
      </c>
      <c r="AI812" t="s" s="0">
        <v>81</v>
      </c>
      <c r="AJ812" t="s" s="0">
        <v>81</v>
      </c>
      <c r="AK812" t="s" s="0">
        <v>81</v>
      </c>
      <c r="AL812" t="s" s="0">
        <v>77</v>
      </c>
      <c r="AM812" t="s" s="0">
        <v>156</v>
      </c>
      <c r="AN812" t="s" s="0">
        <v>156</v>
      </c>
      <c r="AO812" t="s" s="0">
        <v>97</v>
      </c>
      <c r="AP812" t="s" s="0">
        <v>156</v>
      </c>
      <c r="AQ812" t="s" s="0">
        <v>14617</v>
      </c>
      <c r="AR812" t="s" s="0">
        <v>14618</v>
      </c>
      <c r="AS812" t="s" s="0">
        <v>14619</v>
      </c>
      <c r="AT812" t="s" s="0">
        <v>14620</v>
      </c>
      <c r="AU812" t="s" s="0">
        <v>14621</v>
      </c>
      <c r="AV812" t="s" s="0">
        <v>81</v>
      </c>
      <c r="AW812" t="s" s="0">
        <v>14622</v>
      </c>
      <c r="AX812" t="s" s="0">
        <v>14623</v>
      </c>
      <c r="AY812" t="s" s="0">
        <v>615</v>
      </c>
      <c r="AZ812" t="s" s="0">
        <v>290</v>
      </c>
      <c r="BA812" t="s" s="0">
        <v>135</v>
      </c>
      <c r="BB812" t="s" s="0">
        <v>81</v>
      </c>
      <c r="BC812" t="s" s="0">
        <v>81</v>
      </c>
      <c r="BD812" t="s" s="0">
        <v>81</v>
      </c>
      <c r="BE812" t="s" s="0">
        <v>14624</v>
      </c>
      <c r="BF812" t="s" s="0">
        <v>81</v>
      </c>
      <c r="BG812" t="s" s="0">
        <v>81</v>
      </c>
      <c r="BH812" t="s" s="0">
        <v>81</v>
      </c>
      <c r="BI812" t="s" s="0">
        <v>17737</v>
      </c>
      <c r="BJ812" t="s" s="0">
        <v>17738</v>
      </c>
      <c r="BK812" t="s" s="1614">
        <f>HYPERLINK("http://dx.doi.org/10.6004/jnccn.2025.5006","http://dx.doi.org/10.6004/jnccn.2025.5006")</f>
        <v>17739</v>
      </c>
      <c r="BL812" t="s" s="0">
        <v>81</v>
      </c>
      <c r="BM812" t="s" s="0">
        <v>81</v>
      </c>
      <c r="BN812" t="s" s="0">
        <v>196</v>
      </c>
      <c r="BO812" t="s" s="0">
        <v>1380</v>
      </c>
      <c r="BP812" t="s" s="0">
        <v>1380</v>
      </c>
      <c r="BQ812" t="s" s="0">
        <v>17740</v>
      </c>
      <c r="BR812" t="s" s="0">
        <v>81</v>
      </c>
      <c r="BS812" t="s" s="0">
        <v>17741</v>
      </c>
      <c r="BT812" t="s" s="1615">
        <f>HYPERLINK("https://www.webofscience.com/wos/woscc/full-record/WOS:001518604800017","View Record in Web of Science")</f>
        <v>114</v>
      </c>
      <c r="BU812" t="s" s="0">
        <v>2239</v>
      </c>
      <c r="BV812" t="s" s="0">
        <v>81</v>
      </c>
      <c r="BW812" t="s" s="0">
        <v>81</v>
      </c>
      <c r="BX812" t="s" s="0">
        <v>116</v>
      </c>
    </row>
    <row r="813">
      <c r="A813" t="s" s="0">
        <v>77</v>
      </c>
      <c r="B813" t="s" s="0">
        <v>77</v>
      </c>
      <c r="C813" t="s" s="0">
        <v>97</v>
      </c>
      <c r="D813" t="s" s="0">
        <v>77</v>
      </c>
      <c r="E813" t="s" s="0">
        <v>17742</v>
      </c>
      <c r="F813" t="s" s="0">
        <v>17743</v>
      </c>
      <c r="G813" t="s" s="0">
        <v>17744</v>
      </c>
      <c r="H813" t="s" s="0">
        <v>81</v>
      </c>
      <c r="I813" t="s" s="0">
        <v>82</v>
      </c>
      <c r="J813" t="s" s="0">
        <v>17745</v>
      </c>
      <c r="K813" t="s" s="0">
        <v>17746</v>
      </c>
      <c r="L813" t="s" s="0">
        <v>81</v>
      </c>
      <c r="M813" t="s" s="0">
        <v>81</v>
      </c>
      <c r="N813" t="s" s="0">
        <v>81</v>
      </c>
      <c r="O813" t="s" s="0">
        <v>17747</v>
      </c>
      <c r="P813" t="s" s="0">
        <v>10809</v>
      </c>
      <c r="Q813" t="s" s="0">
        <v>87</v>
      </c>
      <c r="R813" t="s" s="0">
        <v>81</v>
      </c>
      <c r="S813" t="s" s="0">
        <v>81</v>
      </c>
      <c r="T813" t="s" s="0">
        <v>81</v>
      </c>
      <c r="U813" t="s" s="0">
        <v>81</v>
      </c>
      <c r="V813" t="s" s="0">
        <v>17748</v>
      </c>
      <c r="W813" t="s" s="0">
        <v>10811</v>
      </c>
      <c r="X813" t="s" s="0">
        <v>81</v>
      </c>
      <c r="Y813" t="s" s="0">
        <v>81</v>
      </c>
      <c r="Z813" t="s" s="0">
        <v>90</v>
      </c>
      <c r="AA813" t="s" s="0">
        <v>91</v>
      </c>
      <c r="AB813" t="s" s="0">
        <v>81</v>
      </c>
      <c r="AC813" t="s" s="0">
        <v>81</v>
      </c>
      <c r="AD813" t="s" s="0">
        <v>81</v>
      </c>
      <c r="AE813" t="s" s="0">
        <v>81</v>
      </c>
      <c r="AF813" t="s" s="0">
        <v>81</v>
      </c>
      <c r="AG813" t="s" s="0">
        <v>17749</v>
      </c>
      <c r="AH813" t="s" s="0">
        <v>17750</v>
      </c>
      <c r="AI813" t="s" s="0">
        <v>17751</v>
      </c>
      <c r="AJ813" t="s" s="0">
        <v>17752</v>
      </c>
      <c r="AK813" t="s" s="0">
        <v>81</v>
      </c>
      <c r="AL813" t="s" s="0">
        <v>176</v>
      </c>
      <c r="AM813" t="s" s="0">
        <v>196</v>
      </c>
      <c r="AN813" t="s" s="0">
        <v>196</v>
      </c>
      <c r="AO813" t="s" s="0">
        <v>77</v>
      </c>
      <c r="AP813" t="s" s="0">
        <v>191</v>
      </c>
      <c r="AQ813" t="s" s="0">
        <v>212</v>
      </c>
      <c r="AR813" t="s" s="0">
        <v>429</v>
      </c>
      <c r="AS813" t="s" s="0">
        <v>784</v>
      </c>
      <c r="AT813" t="s" s="0">
        <v>10815</v>
      </c>
      <c r="AU813" t="s" s="0">
        <v>10816</v>
      </c>
      <c r="AV813" t="s" s="0">
        <v>81</v>
      </c>
      <c r="AW813" t="s" s="0">
        <v>10817</v>
      </c>
      <c r="AX813" t="s" s="0">
        <v>10818</v>
      </c>
      <c r="AY813" t="s" s="0">
        <v>17753</v>
      </c>
      <c r="AZ813" t="s" s="0">
        <v>290</v>
      </c>
      <c r="BA813" t="s" s="0">
        <v>3518</v>
      </c>
      <c r="BB813" t="s" s="0">
        <v>97</v>
      </c>
      <c r="BC813" t="s" s="0">
        <v>81</v>
      </c>
      <c r="BD813" t="s" s="0">
        <v>81</v>
      </c>
      <c r="BE813" t="s" s="0">
        <v>81</v>
      </c>
      <c r="BF813" t="s" s="0">
        <v>81</v>
      </c>
      <c r="BG813" t="s" s="0">
        <v>81</v>
      </c>
      <c r="BH813" t="s" s="0">
        <v>81</v>
      </c>
      <c r="BI813" t="s" s="0">
        <v>17754</v>
      </c>
      <c r="BJ813" t="s" s="0">
        <v>17755</v>
      </c>
      <c r="BK813" t="s" s="1616">
        <f>HYPERLINK("http://dx.doi.org/10.1007/s00345-025-06064-8","http://dx.doi.org/10.1007/s00345-025-06064-8")</f>
        <v>17756</v>
      </c>
      <c r="BL813" t="s" s="0">
        <v>81</v>
      </c>
      <c r="BM813" t="s" s="0">
        <v>81</v>
      </c>
      <c r="BN813" t="s" s="0">
        <v>486</v>
      </c>
      <c r="BO813" t="s" s="0">
        <v>2334</v>
      </c>
      <c r="BP813" t="s" s="0">
        <v>2334</v>
      </c>
      <c r="BQ813" t="s" s="0">
        <v>17757</v>
      </c>
      <c r="BR813" t="s" s="0">
        <v>17758</v>
      </c>
      <c r="BS813" t="s" s="0">
        <v>17759</v>
      </c>
      <c r="BT813" t="s" s="1617">
        <f>HYPERLINK("https://www.webofscience.com/wos/woscc/full-record/WOS:001607174900001","View Record in Web of Science")</f>
        <v>114</v>
      </c>
      <c r="BU813" t="s" s="0">
        <v>81</v>
      </c>
      <c r="BV813" t="s" s="0">
        <v>81</v>
      </c>
      <c r="BW813" t="s" s="0">
        <v>81</v>
      </c>
      <c r="BX813" t="s" s="0">
        <v>116</v>
      </c>
    </row>
    <row r="814">
      <c r="A814" t="s" s="0">
        <v>77</v>
      </c>
      <c r="B814" t="s" s="0">
        <v>77</v>
      </c>
      <c r="C814" t="s" s="0">
        <v>77</v>
      </c>
      <c r="D814" t="s" s="0">
        <v>77</v>
      </c>
      <c r="E814" t="s" s="0">
        <v>17760</v>
      </c>
      <c r="F814" t="s" s="0">
        <v>17761</v>
      </c>
      <c r="G814" t="s" s="0">
        <v>17762</v>
      </c>
      <c r="H814" t="s" s="0">
        <v>81</v>
      </c>
      <c r="I814" t="s" s="0">
        <v>14604</v>
      </c>
      <c r="J814" t="s" s="0">
        <v>17763</v>
      </c>
      <c r="K814" t="s" s="0">
        <v>17764</v>
      </c>
      <c r="L814" t="s" s="0">
        <v>17765</v>
      </c>
      <c r="M814" t="s" s="0">
        <v>17766</v>
      </c>
      <c r="N814" t="s" s="0">
        <v>17767</v>
      </c>
      <c r="O814" t="s" s="0">
        <v>17768</v>
      </c>
      <c r="P814" t="s" s="0">
        <v>17769</v>
      </c>
      <c r="Q814" t="s" s="0">
        <v>87</v>
      </c>
      <c r="R814" t="s" s="0">
        <v>81</v>
      </c>
      <c r="S814" t="s" s="0">
        <v>81</v>
      </c>
      <c r="T814" t="s" s="0">
        <v>81</v>
      </c>
      <c r="U814" t="s" s="0">
        <v>81</v>
      </c>
      <c r="V814" t="s" s="0">
        <v>17770</v>
      </c>
      <c r="W814" t="s" s="0">
        <v>17771</v>
      </c>
      <c r="X814" t="s" s="0">
        <v>81</v>
      </c>
      <c r="Y814" t="s" s="0">
        <v>81</v>
      </c>
      <c r="Z814" t="s" s="0">
        <v>90</v>
      </c>
      <c r="AA814" t="s" s="0">
        <v>14611</v>
      </c>
      <c r="AB814" t="s" s="0">
        <v>17772</v>
      </c>
      <c r="AC814" t="s" s="0">
        <v>17773</v>
      </c>
      <c r="AD814" t="s" s="0">
        <v>17774</v>
      </c>
      <c r="AE814" t="s" s="0">
        <v>81</v>
      </c>
      <c r="AF814" t="s" s="0">
        <v>81</v>
      </c>
      <c r="AG814" t="s" s="0">
        <v>17775</v>
      </c>
      <c r="AH814" t="s" s="0">
        <v>81</v>
      </c>
      <c r="AI814" t="s" s="0">
        <v>81</v>
      </c>
      <c r="AJ814" t="s" s="0">
        <v>17776</v>
      </c>
      <c r="AK814" t="s" s="0">
        <v>81</v>
      </c>
      <c r="AL814" t="s" s="0">
        <v>4311</v>
      </c>
      <c r="AM814" t="s" s="0">
        <v>133</v>
      </c>
      <c r="AN814" t="s" s="0">
        <v>316</v>
      </c>
      <c r="AO814" t="s" s="0">
        <v>97</v>
      </c>
      <c r="AP814" t="s" s="0">
        <v>196</v>
      </c>
      <c r="AQ814" t="s" s="0">
        <v>1344</v>
      </c>
      <c r="AR814" t="s" s="0">
        <v>1345</v>
      </c>
      <c r="AS814" t="s" s="0">
        <v>1346</v>
      </c>
      <c r="AT814" t="s" s="0">
        <v>17777</v>
      </c>
      <c r="AU814" t="s" s="0">
        <v>17778</v>
      </c>
      <c r="AV814" t="s" s="0">
        <v>81</v>
      </c>
      <c r="AW814" t="s" s="0">
        <v>17779</v>
      </c>
      <c r="AX814" t="s" s="0">
        <v>17780</v>
      </c>
      <c r="AY814" t="s" s="0">
        <v>2077</v>
      </c>
      <c r="AZ814" t="s" s="0">
        <v>260</v>
      </c>
      <c r="BA814" t="s" s="0">
        <v>5424</v>
      </c>
      <c r="BB814" t="s" s="0">
        <v>81</v>
      </c>
      <c r="BC814" t="s" s="0">
        <v>81</v>
      </c>
      <c r="BD814" t="s" s="0">
        <v>81</v>
      </c>
      <c r="BE814" t="s" s="0">
        <v>81</v>
      </c>
      <c r="BF814" t="s" s="0">
        <v>81</v>
      </c>
      <c r="BG814" t="s" s="0">
        <v>17781</v>
      </c>
      <c r="BH814" t="s" s="0">
        <v>4526</v>
      </c>
      <c r="BI814" t="s" s="0">
        <v>81</v>
      </c>
      <c r="BJ814" t="s" s="0">
        <v>17782</v>
      </c>
      <c r="BK814" t="s" s="1618">
        <f>HYPERLINK("http://dx.doi.org/10.1016/j.cag.2023.06.010","http://dx.doi.org/10.1016/j.cag.2023.06.010")</f>
        <v>17783</v>
      </c>
      <c r="BL814" t="s" s="0">
        <v>81</v>
      </c>
      <c r="BM814" t="s" s="0">
        <v>5526</v>
      </c>
      <c r="BN814" t="s" s="0">
        <v>191</v>
      </c>
      <c r="BO814" t="s" s="0">
        <v>7685</v>
      </c>
      <c r="BP814" t="s" s="0">
        <v>152</v>
      </c>
      <c r="BQ814" t="s" s="0">
        <v>17784</v>
      </c>
      <c r="BR814" t="s" s="0">
        <v>81</v>
      </c>
      <c r="BS814" t="s" s="0">
        <v>17785</v>
      </c>
      <c r="BT814" t="s" s="1619">
        <f>HYPERLINK("https://www.webofscience.com/wos/woscc/full-record/WOS:001027060600001","View Record in Web of Science")</f>
        <v>114</v>
      </c>
      <c r="BU814" t="s" s="0">
        <v>1055</v>
      </c>
      <c r="BV814" t="s" s="0">
        <v>81</v>
      </c>
      <c r="BW814" t="s" s="0">
        <v>81</v>
      </c>
      <c r="BX814" t="s" s="0">
        <v>116</v>
      </c>
    </row>
    <row r="815">
      <c r="A815" t="s" s="0">
        <v>77</v>
      </c>
      <c r="B815" t="s" s="0">
        <v>77</v>
      </c>
      <c r="C815" t="s" s="0">
        <v>77</v>
      </c>
      <c r="D815" t="s" s="0">
        <v>77</v>
      </c>
      <c r="E815" t="s" s="0">
        <v>17786</v>
      </c>
      <c r="F815" t="s" s="0">
        <v>17787</v>
      </c>
      <c r="G815" t="s" s="0">
        <v>17788</v>
      </c>
      <c r="H815" t="s" s="0">
        <v>81</v>
      </c>
      <c r="I815" t="s" s="0">
        <v>589</v>
      </c>
      <c r="J815" t="s" s="0">
        <v>17789</v>
      </c>
      <c r="K815" t="s" s="0">
        <v>17790</v>
      </c>
      <c r="L815" t="s" s="0">
        <v>17791</v>
      </c>
      <c r="M815" t="s" s="0">
        <v>17791</v>
      </c>
      <c r="N815" t="s" s="0">
        <v>17792</v>
      </c>
      <c r="O815" t="s" s="0">
        <v>17793</v>
      </c>
      <c r="P815" t="s" s="0">
        <v>17794</v>
      </c>
      <c r="Q815" t="s" s="0">
        <v>87</v>
      </c>
      <c r="R815" t="s" s="0">
        <v>81</v>
      </c>
      <c r="S815" t="s" s="0">
        <v>81</v>
      </c>
      <c r="T815" t="s" s="0">
        <v>81</v>
      </c>
      <c r="U815" t="s" s="0">
        <v>81</v>
      </c>
      <c r="V815" t="s" s="0">
        <v>17795</v>
      </c>
      <c r="W815" t="s" s="0">
        <v>17796</v>
      </c>
      <c r="X815" t="s" s="0">
        <v>81</v>
      </c>
      <c r="Y815" t="s" s="0">
        <v>81</v>
      </c>
      <c r="Z815" t="s" s="0">
        <v>90</v>
      </c>
      <c r="AA815" t="s" s="0">
        <v>91</v>
      </c>
      <c r="AB815" t="s" s="0">
        <v>81</v>
      </c>
      <c r="AC815" t="s" s="0">
        <v>81</v>
      </c>
      <c r="AD815" t="s" s="0">
        <v>81</v>
      </c>
      <c r="AE815" t="s" s="0">
        <v>81</v>
      </c>
      <c r="AF815" t="s" s="0">
        <v>81</v>
      </c>
      <c r="AG815" t="s" s="0">
        <v>17797</v>
      </c>
      <c r="AH815" t="s" s="0">
        <v>17798</v>
      </c>
      <c r="AI815" t="s" s="0">
        <v>17799</v>
      </c>
      <c r="AJ815" t="s" s="0">
        <v>17800</v>
      </c>
      <c r="AK815" t="s" s="0">
        <v>81</v>
      </c>
      <c r="AL815" t="s" s="0">
        <v>343</v>
      </c>
      <c r="AM815" t="s" s="0">
        <v>77</v>
      </c>
      <c r="AN815" t="s" s="0">
        <v>77</v>
      </c>
      <c r="AO815" t="s" s="0">
        <v>925</v>
      </c>
      <c r="AP815" t="s" s="0">
        <v>925</v>
      </c>
      <c r="AQ815" t="s" s="0">
        <v>636</v>
      </c>
      <c r="AR815" t="s" s="0">
        <v>637</v>
      </c>
      <c r="AS815" t="s" s="0">
        <v>638</v>
      </c>
      <c r="AT815" t="s" s="0">
        <v>17801</v>
      </c>
      <c r="AU815" t="s" s="0">
        <v>81</v>
      </c>
      <c r="AV815" t="s" s="0">
        <v>81</v>
      </c>
      <c r="AW815" t="s" s="0">
        <v>17802</v>
      </c>
      <c r="AX815" t="s" s="0">
        <v>17803</v>
      </c>
      <c r="AY815" t="s" s="0">
        <v>11603</v>
      </c>
      <c r="AZ815" t="s" s="0">
        <v>103</v>
      </c>
      <c r="BA815" t="s" s="0">
        <v>344</v>
      </c>
      <c r="BB815" t="s" s="0">
        <v>97</v>
      </c>
      <c r="BC815" t="s" s="0">
        <v>81</v>
      </c>
      <c r="BD815" t="s" s="0">
        <v>81</v>
      </c>
      <c r="BE815" t="s" s="0">
        <v>81</v>
      </c>
      <c r="BF815" t="s" s="0">
        <v>81</v>
      </c>
      <c r="BG815" t="s" s="0">
        <v>81</v>
      </c>
      <c r="BH815" t="s" s="0">
        <v>81</v>
      </c>
      <c r="BI815" t="s" s="0">
        <v>17804</v>
      </c>
      <c r="BJ815" t="s" s="0">
        <v>17805</v>
      </c>
      <c r="BK815" t="s" s="1620">
        <f>HYPERLINK("http://dx.doi.org/10.1080/10872981.2026.2655562","http://dx.doi.org/10.1080/10872981.2026.2655562")</f>
        <v>17806</v>
      </c>
      <c r="BL815" t="s" s="0">
        <v>81</v>
      </c>
      <c r="BM815" t="s" s="0">
        <v>81</v>
      </c>
      <c r="BN815" t="s" s="0">
        <v>210</v>
      </c>
      <c r="BO815" t="s" s="0">
        <v>6068</v>
      </c>
      <c r="BP815" t="s" s="0">
        <v>6068</v>
      </c>
      <c r="BQ815" t="s" s="0">
        <v>17807</v>
      </c>
      <c r="BR815" t="s" s="0">
        <v>17808</v>
      </c>
      <c r="BS815" t="s" s="0">
        <v>17809</v>
      </c>
      <c r="BT815" t="s" s="1621">
        <f>HYPERLINK("https://www.webofscience.com/wos/woscc/full-record/WOS:001732904000001","View Record in Web of Science")</f>
        <v>114</v>
      </c>
      <c r="BU815" t="s" s="0">
        <v>17810</v>
      </c>
      <c r="BV815" t="s" s="0">
        <v>81</v>
      </c>
      <c r="BW815" t="s" s="0">
        <v>81</v>
      </c>
      <c r="BX815" t="s" s="0">
        <v>116</v>
      </c>
    </row>
    <row r="816">
      <c r="A816" t="s" s="0">
        <v>77</v>
      </c>
      <c r="B816" t="s" s="0">
        <v>77</v>
      </c>
      <c r="C816" t="s" s="0">
        <v>77</v>
      </c>
      <c r="D816" t="s" s="0">
        <v>77</v>
      </c>
      <c r="E816" t="s" s="0">
        <v>17811</v>
      </c>
      <c r="F816" t="s" s="0">
        <v>17812</v>
      </c>
      <c r="G816" t="s" s="0">
        <v>17813</v>
      </c>
      <c r="H816" t="s" s="0">
        <v>81</v>
      </c>
      <c r="I816" t="s" s="0">
        <v>528</v>
      </c>
      <c r="J816" t="s" s="0">
        <v>17814</v>
      </c>
      <c r="K816" t="s" s="0">
        <v>17815</v>
      </c>
      <c r="L816" t="s" s="0">
        <v>81</v>
      </c>
      <c r="M816" t="s" s="0">
        <v>81</v>
      </c>
      <c r="N816" t="s" s="0">
        <v>81</v>
      </c>
      <c r="O816" t="s" s="0">
        <v>17816</v>
      </c>
      <c r="P816" t="s" s="0">
        <v>860</v>
      </c>
      <c r="Q816" t="s" s="0">
        <v>87</v>
      </c>
      <c r="R816" t="s" s="0">
        <v>81</v>
      </c>
      <c r="S816" t="s" s="0">
        <v>81</v>
      </c>
      <c r="T816" t="s" s="0">
        <v>81</v>
      </c>
      <c r="U816" t="s" s="0">
        <v>81</v>
      </c>
      <c r="V816" t="s" s="0">
        <v>17817</v>
      </c>
      <c r="W816" t="s" s="0">
        <v>660</v>
      </c>
      <c r="X816" t="s" s="0">
        <v>81</v>
      </c>
      <c r="Y816" t="s" s="0">
        <v>81</v>
      </c>
      <c r="Z816" t="s" s="0">
        <v>90</v>
      </c>
      <c r="AA816" t="s" s="0">
        <v>91</v>
      </c>
      <c r="AB816" t="s" s="0">
        <v>81</v>
      </c>
      <c r="AC816" t="s" s="0">
        <v>81</v>
      </c>
      <c r="AD816" t="s" s="0">
        <v>81</v>
      </c>
      <c r="AE816" t="s" s="0">
        <v>81</v>
      </c>
      <c r="AF816" t="s" s="0">
        <v>81</v>
      </c>
      <c r="AG816" t="s" s="0">
        <v>17818</v>
      </c>
      <c r="AH816" t="s" s="0">
        <v>81</v>
      </c>
      <c r="AI816" t="s" s="0">
        <v>17819</v>
      </c>
      <c r="AJ816" t="s" s="0">
        <v>81</v>
      </c>
      <c r="AK816" t="s" s="0">
        <v>81</v>
      </c>
      <c r="AL816" t="s" s="0">
        <v>295</v>
      </c>
      <c r="AM816" t="s" s="0">
        <v>156</v>
      </c>
      <c r="AN816" t="s" s="0">
        <v>156</v>
      </c>
      <c r="AO816" t="s" s="0">
        <v>196</v>
      </c>
      <c r="AP816" t="s" s="0">
        <v>191</v>
      </c>
      <c r="AQ816" t="s" s="0">
        <v>665</v>
      </c>
      <c r="AR816" t="s" s="0">
        <v>546</v>
      </c>
      <c r="AS816" t="s" s="0">
        <v>666</v>
      </c>
      <c r="AT816" t="s" s="0">
        <v>667</v>
      </c>
      <c r="AU816" t="s" s="0">
        <v>81</v>
      </c>
      <c r="AV816" t="s" s="0">
        <v>81</v>
      </c>
      <c r="AW816" t="s" s="0">
        <v>668</v>
      </c>
      <c r="AX816" t="s" s="0">
        <v>669</v>
      </c>
      <c r="AY816" t="s" s="0">
        <v>17820</v>
      </c>
      <c r="AZ816" t="s" s="0">
        <v>290</v>
      </c>
      <c r="BA816" t="s" s="0">
        <v>228</v>
      </c>
      <c r="BB816" t="s" s="0">
        <v>97</v>
      </c>
      <c r="BC816" t="s" s="0">
        <v>81</v>
      </c>
      <c r="BD816" t="s" s="0">
        <v>81</v>
      </c>
      <c r="BE816" t="s" s="0">
        <v>81</v>
      </c>
      <c r="BF816" t="s" s="0">
        <v>81</v>
      </c>
      <c r="BG816" t="s" s="0">
        <v>81</v>
      </c>
      <c r="BH816" t="s" s="0">
        <v>81</v>
      </c>
      <c r="BI816" t="s" s="0">
        <v>5626</v>
      </c>
      <c r="BJ816" t="s" s="0">
        <v>17821</v>
      </c>
      <c r="BK816" t="s" s="1622">
        <f>HYPERLINK("http://dx.doi.org/10.1186/s12910-025-01249-7","http://dx.doi.org/10.1186/s12910-025-01249-7")</f>
        <v>17822</v>
      </c>
      <c r="BL816" t="s" s="0">
        <v>81</v>
      </c>
      <c r="BM816" t="s" s="0">
        <v>81</v>
      </c>
      <c r="BN816" t="s" s="0">
        <v>191</v>
      </c>
      <c r="BO816" t="s" s="0">
        <v>676</v>
      </c>
      <c r="BP816" t="s" s="0">
        <v>677</v>
      </c>
      <c r="BQ816" t="s" s="0">
        <v>17823</v>
      </c>
      <c r="BR816" t="s" s="0">
        <v>17824</v>
      </c>
      <c r="BS816" t="s" s="0">
        <v>17825</v>
      </c>
      <c r="BT816" t="s" s="1623">
        <f>HYPERLINK("https://www.webofscience.com/wos/woscc/full-record/WOS:001523042600002","View Record in Web of Science")</f>
        <v>114</v>
      </c>
      <c r="BU816" t="s" s="0">
        <v>301</v>
      </c>
      <c r="BV816" t="s" s="0">
        <v>81</v>
      </c>
      <c r="BW816" t="s" s="0">
        <v>81</v>
      </c>
      <c r="BX816" t="s" s="0">
        <v>116</v>
      </c>
    </row>
    <row r="817">
      <c r="A817" t="s" s="0">
        <v>77</v>
      </c>
      <c r="B817" t="s" s="0">
        <v>77</v>
      </c>
      <c r="C817" t="s" s="0">
        <v>77</v>
      </c>
      <c r="D817" t="s" s="0">
        <v>77</v>
      </c>
      <c r="E817" t="s" s="0">
        <v>17826</v>
      </c>
      <c r="F817" t="s" s="0">
        <v>17827</v>
      </c>
      <c r="G817" t="s" s="0">
        <v>17828</v>
      </c>
      <c r="H817" t="s" s="0">
        <v>81</v>
      </c>
      <c r="I817" t="s" s="0">
        <v>82</v>
      </c>
      <c r="J817" t="s" s="0">
        <v>17829</v>
      </c>
      <c r="K817" t="s" s="0">
        <v>17830</v>
      </c>
      <c r="L817" t="s" s="0">
        <v>81</v>
      </c>
      <c r="M817" t="s" s="0">
        <v>81</v>
      </c>
      <c r="N817" t="s" s="0">
        <v>81</v>
      </c>
      <c r="O817" t="s" s="0">
        <v>17831</v>
      </c>
      <c r="P817" t="s" s="0">
        <v>17832</v>
      </c>
      <c r="Q817" t="s" s="0">
        <v>87</v>
      </c>
      <c r="R817" t="s" s="0">
        <v>81</v>
      </c>
      <c r="S817" t="s" s="0">
        <v>81</v>
      </c>
      <c r="T817" t="s" s="0">
        <v>81</v>
      </c>
      <c r="U817" t="s" s="0">
        <v>81</v>
      </c>
      <c r="V817" t="s" s="0">
        <v>17833</v>
      </c>
      <c r="W817" t="s" s="0">
        <v>17834</v>
      </c>
      <c r="X817" t="s" s="0">
        <v>81</v>
      </c>
      <c r="Y817" t="s" s="0">
        <v>81</v>
      </c>
      <c r="Z817" t="s" s="0">
        <v>90</v>
      </c>
      <c r="AA817" t="s" s="0">
        <v>91</v>
      </c>
      <c r="AB817" t="s" s="0">
        <v>81</v>
      </c>
      <c r="AC817" t="s" s="0">
        <v>81</v>
      </c>
      <c r="AD817" t="s" s="0">
        <v>81</v>
      </c>
      <c r="AE817" t="s" s="0">
        <v>81</v>
      </c>
      <c r="AF817" t="s" s="0">
        <v>81</v>
      </c>
      <c r="AG817" t="s" s="0">
        <v>17835</v>
      </c>
      <c r="AH817" t="s" s="0">
        <v>4100</v>
      </c>
      <c r="AI817" t="s" s="0">
        <v>17836</v>
      </c>
      <c r="AJ817" t="s" s="0">
        <v>81</v>
      </c>
      <c r="AK817" t="s" s="0">
        <v>81</v>
      </c>
      <c r="AL817" t="s" s="0">
        <v>914</v>
      </c>
      <c r="AM817" t="s" s="0">
        <v>196</v>
      </c>
      <c r="AN817" t="s" s="0">
        <v>196</v>
      </c>
      <c r="AO817" t="s" s="0">
        <v>156</v>
      </c>
      <c r="AP817" t="s" s="0">
        <v>133</v>
      </c>
      <c r="AQ817" t="s" s="0">
        <v>11547</v>
      </c>
      <c r="AR817" t="s" s="0">
        <v>429</v>
      </c>
      <c r="AS817" t="s" s="0">
        <v>11548</v>
      </c>
      <c r="AT817" t="s" s="0">
        <v>17837</v>
      </c>
      <c r="AU817" t="s" s="0">
        <v>17838</v>
      </c>
      <c r="AV817" t="s" s="0">
        <v>81</v>
      </c>
      <c r="AW817" t="s" s="0">
        <v>17839</v>
      </c>
      <c r="AX817" t="s" s="0">
        <v>17840</v>
      </c>
      <c r="AY817" t="s" s="0">
        <v>1940</v>
      </c>
      <c r="AZ817" t="s" s="0">
        <v>103</v>
      </c>
      <c r="BA817" t="s" s="0">
        <v>8214</v>
      </c>
      <c r="BB817" t="s" s="0">
        <v>97</v>
      </c>
      <c r="BC817" t="s" s="0">
        <v>81</v>
      </c>
      <c r="BD817" t="s" s="0">
        <v>81</v>
      </c>
      <c r="BE817" t="s" s="0">
        <v>81</v>
      </c>
      <c r="BF817" t="s" s="0">
        <v>81</v>
      </c>
      <c r="BG817" t="s" s="0">
        <v>191</v>
      </c>
      <c r="BH817" t="s" s="0">
        <v>485</v>
      </c>
      <c r="BI817" t="s" s="0">
        <v>81</v>
      </c>
      <c r="BJ817" t="s" s="0">
        <v>17841</v>
      </c>
      <c r="BK817" t="s" s="1624">
        <f>HYPERLINK("http://dx.doi.org/10.1016/j.jaad.2024.10.132","http://dx.doi.org/10.1016/j.jaad.2024.10.132")</f>
        <v>17842</v>
      </c>
      <c r="BL817" t="s" s="0">
        <v>81</v>
      </c>
      <c r="BM817" t="s" s="0">
        <v>2353</v>
      </c>
      <c r="BN817" t="s" s="0">
        <v>261</v>
      </c>
      <c r="BO817" t="s" s="0">
        <v>17843</v>
      </c>
      <c r="BP817" t="s" s="0">
        <v>17843</v>
      </c>
      <c r="BQ817" t="s" s="0">
        <v>17844</v>
      </c>
      <c r="BR817" t="s" s="0">
        <v>17845</v>
      </c>
      <c r="BS817" t="s" s="0">
        <v>17846</v>
      </c>
      <c r="BT817" t="s" s="1625">
        <f>HYPERLINK("https://www.webofscience.com/wos/woscc/full-record/WOS:001645443200001","View Record in Web of Science")</f>
        <v>114</v>
      </c>
      <c r="BU817" t="s" s="0">
        <v>81</v>
      </c>
      <c r="BV817" t="s" s="0">
        <v>81</v>
      </c>
      <c r="BW817" t="s" s="0">
        <v>81</v>
      </c>
      <c r="BX817" t="s" s="0">
        <v>116</v>
      </c>
    </row>
    <row r="818">
      <c r="A818" t="s" s="0">
        <v>77</v>
      </c>
      <c r="B818" t="s" s="0">
        <v>77</v>
      </c>
      <c r="C818" t="s" s="0">
        <v>234</v>
      </c>
      <c r="D818" t="s" s="0">
        <v>77</v>
      </c>
      <c r="E818" t="s" s="0">
        <v>17547</v>
      </c>
      <c r="F818" t="s" s="0">
        <v>17847</v>
      </c>
      <c r="G818" t="s" s="0">
        <v>17549</v>
      </c>
      <c r="H818" t="s" s="0">
        <v>81</v>
      </c>
      <c r="I818" t="s" s="0">
        <v>238</v>
      </c>
      <c r="J818" t="s" s="0">
        <v>17848</v>
      </c>
      <c r="K818" t="s" s="0">
        <v>17849</v>
      </c>
      <c r="L818" t="s" s="0">
        <v>17850</v>
      </c>
      <c r="M818" t="s" s="0">
        <v>17850</v>
      </c>
      <c r="N818" t="s" s="0">
        <v>7354</v>
      </c>
      <c r="O818" t="s" s="0">
        <v>17851</v>
      </c>
      <c r="P818" t="s" s="0">
        <v>17556</v>
      </c>
      <c r="Q818" t="s" s="0">
        <v>87</v>
      </c>
      <c r="R818" t="s" s="0">
        <v>81</v>
      </c>
      <c r="S818" t="s" s="0">
        <v>81</v>
      </c>
      <c r="T818" t="s" s="0">
        <v>81</v>
      </c>
      <c r="U818" t="s" s="0">
        <v>81</v>
      </c>
      <c r="V818" t="s" s="0">
        <v>17852</v>
      </c>
      <c r="W818" t="s" s="0">
        <v>17853</v>
      </c>
      <c r="X818" t="s" s="0">
        <v>81</v>
      </c>
      <c r="Y818" t="s" s="0">
        <v>81</v>
      </c>
      <c r="Z818" t="s" s="0">
        <v>90</v>
      </c>
      <c r="AA818" t="s" s="0">
        <v>91</v>
      </c>
      <c r="AB818" t="s" s="0">
        <v>81</v>
      </c>
      <c r="AC818" t="s" s="0">
        <v>81</v>
      </c>
      <c r="AD818" t="s" s="0">
        <v>81</v>
      </c>
      <c r="AE818" t="s" s="0">
        <v>81</v>
      </c>
      <c r="AF818" t="s" s="0">
        <v>81</v>
      </c>
      <c r="AG818" t="s" s="0">
        <v>17854</v>
      </c>
      <c r="AH818" t="s" s="0">
        <v>81</v>
      </c>
      <c r="AI818" t="s" s="0">
        <v>17855</v>
      </c>
      <c r="AJ818" t="s" s="0">
        <v>17560</v>
      </c>
      <c r="AK818" t="s" s="0">
        <v>81</v>
      </c>
      <c r="AL818" t="s" s="0">
        <v>508</v>
      </c>
      <c r="AM818" t="s" s="0">
        <v>228</v>
      </c>
      <c r="AN818" t="s" s="0">
        <v>324</v>
      </c>
      <c r="AO818" t="s" s="0">
        <v>77</v>
      </c>
      <c r="AP818" t="s" s="0">
        <v>133</v>
      </c>
      <c r="AQ818" t="s" s="0">
        <v>136</v>
      </c>
      <c r="AR818" t="s" s="0">
        <v>137</v>
      </c>
      <c r="AS818" t="s" s="0">
        <v>138</v>
      </c>
      <c r="AT818" t="s" s="0">
        <v>81</v>
      </c>
      <c r="AU818" t="s" s="0">
        <v>17856</v>
      </c>
      <c r="AV818" t="s" s="0">
        <v>81</v>
      </c>
      <c r="AW818" t="s" s="0">
        <v>17857</v>
      </c>
      <c r="AX818" t="s" s="0">
        <v>17858</v>
      </c>
      <c r="AY818" t="s" s="0">
        <v>17859</v>
      </c>
      <c r="AZ818" t="s" s="0">
        <v>260</v>
      </c>
      <c r="BA818" t="s" s="0">
        <v>104</v>
      </c>
      <c r="BB818" t="s" s="0">
        <v>81</v>
      </c>
      <c r="BC818" t="s" s="0">
        <v>81</v>
      </c>
      <c r="BD818" t="s" s="0">
        <v>81</v>
      </c>
      <c r="BE818" t="s" s="0">
        <v>81</v>
      </c>
      <c r="BF818" t="s" s="0">
        <v>81</v>
      </c>
      <c r="BG818" t="s" s="0">
        <v>81</v>
      </c>
      <c r="BH818" t="s" s="0">
        <v>81</v>
      </c>
      <c r="BI818" t="s" s="0">
        <v>17860</v>
      </c>
      <c r="BJ818" t="s" s="0">
        <v>17861</v>
      </c>
      <c r="BK818" t="s" s="1626">
        <f>HYPERLINK("http://dx.doi.org/10.1016/j.mlwa.2023.100492","http://dx.doi.org/10.1016/j.mlwa.2023.100492")</f>
        <v>17862</v>
      </c>
      <c r="BL818" t="s" s="0">
        <v>81</v>
      </c>
      <c r="BM818" t="s" s="0">
        <v>81</v>
      </c>
      <c r="BN818" t="s" s="0">
        <v>291</v>
      </c>
      <c r="BO818" t="s" s="0">
        <v>266</v>
      </c>
      <c r="BP818" t="s" s="0">
        <v>152</v>
      </c>
      <c r="BQ818" t="s" s="0">
        <v>17863</v>
      </c>
      <c r="BR818" t="s" s="0">
        <v>81</v>
      </c>
      <c r="BS818" t="s" s="0">
        <v>17864</v>
      </c>
      <c r="BT818" t="s" s="1627">
        <f>HYPERLINK("https://www.webofscience.com/wos/woscc/full-record/WOS:001221464500006","View Record in Web of Science")</f>
        <v>114</v>
      </c>
      <c r="BU818" t="s" s="0">
        <v>301</v>
      </c>
      <c r="BV818" t="s" s="0">
        <v>81</v>
      </c>
      <c r="BW818" t="s" s="0">
        <v>81</v>
      </c>
      <c r="BX818" t="s" s="0">
        <v>116</v>
      </c>
    </row>
    <row r="819">
      <c r="A819" t="s" s="0">
        <v>77</v>
      </c>
      <c r="B819" t="s" s="0">
        <v>77</v>
      </c>
      <c r="C819" t="s" s="0">
        <v>77</v>
      </c>
      <c r="D819" t="s" s="0">
        <v>77</v>
      </c>
      <c r="E819" t="s" s="0">
        <v>17865</v>
      </c>
      <c r="F819" t="s" s="0">
        <v>17866</v>
      </c>
      <c r="G819" t="s" s="0">
        <v>17867</v>
      </c>
      <c r="H819" t="s" s="0">
        <v>81</v>
      </c>
      <c r="I819" t="s" s="0">
        <v>238</v>
      </c>
      <c r="J819" t="s" s="0">
        <v>17868</v>
      </c>
      <c r="K819" t="s" s="0">
        <v>17869</v>
      </c>
      <c r="L819" t="s" s="0">
        <v>81</v>
      </c>
      <c r="M819" t="s" s="0">
        <v>81</v>
      </c>
      <c r="N819" t="s" s="0">
        <v>81</v>
      </c>
      <c r="O819" t="s" s="0">
        <v>17870</v>
      </c>
      <c r="P819" t="s" s="0">
        <v>17871</v>
      </c>
      <c r="Q819" t="s" s="0">
        <v>87</v>
      </c>
      <c r="R819" t="s" s="0">
        <v>81</v>
      </c>
      <c r="S819" t="s" s="0">
        <v>81</v>
      </c>
      <c r="T819" t="s" s="0">
        <v>81</v>
      </c>
      <c r="U819" t="s" s="0">
        <v>81</v>
      </c>
      <c r="V819" t="s" s="0">
        <v>17872</v>
      </c>
      <c r="W819" t="s" s="0">
        <v>2595</v>
      </c>
      <c r="X819" t="s" s="0">
        <v>81</v>
      </c>
      <c r="Y819" t="s" s="0">
        <v>81</v>
      </c>
      <c r="Z819" t="s" s="0">
        <v>90</v>
      </c>
      <c r="AA819" t="s" s="0">
        <v>91</v>
      </c>
      <c r="AB819" t="s" s="0">
        <v>81</v>
      </c>
      <c r="AC819" t="s" s="0">
        <v>81</v>
      </c>
      <c r="AD819" t="s" s="0">
        <v>81</v>
      </c>
      <c r="AE819" t="s" s="0">
        <v>81</v>
      </c>
      <c r="AF819" t="s" s="0">
        <v>81</v>
      </c>
      <c r="AG819" t="s" s="0">
        <v>17873</v>
      </c>
      <c r="AH819" t="s" s="0">
        <v>4746</v>
      </c>
      <c r="AI819" t="s" s="0">
        <v>17874</v>
      </c>
      <c r="AJ819" t="s" s="0">
        <v>81</v>
      </c>
      <c r="AK819" t="s" s="0">
        <v>81</v>
      </c>
      <c r="AL819" t="s" s="0">
        <v>222</v>
      </c>
      <c r="AM819" t="s" s="0">
        <v>77</v>
      </c>
      <c r="AN819" t="s" s="0">
        <v>77</v>
      </c>
      <c r="AO819" t="s" s="0">
        <v>77</v>
      </c>
      <c r="AP819" t="s" s="0">
        <v>77</v>
      </c>
      <c r="AQ819" t="s" s="0">
        <v>1654</v>
      </c>
      <c r="AR819" t="s" s="0">
        <v>1345</v>
      </c>
      <c r="AS819" t="s" s="0">
        <v>1655</v>
      </c>
      <c r="AT819" t="s" s="0">
        <v>81</v>
      </c>
      <c r="AU819" t="s" s="0">
        <v>2600</v>
      </c>
      <c r="AV819" t="s" s="0">
        <v>81</v>
      </c>
      <c r="AW819" t="s" s="0">
        <v>2595</v>
      </c>
      <c r="AX819" t="s" s="0">
        <v>2601</v>
      </c>
      <c r="AY819" t="s" s="0">
        <v>849</v>
      </c>
      <c r="AZ819" t="s" s="0">
        <v>103</v>
      </c>
      <c r="BA819" t="s" s="0">
        <v>261</v>
      </c>
      <c r="BB819" t="s" s="0">
        <v>196</v>
      </c>
      <c r="BC819" t="s" s="0">
        <v>81</v>
      </c>
      <c r="BD819" t="s" s="0">
        <v>81</v>
      </c>
      <c r="BE819" t="s" s="0">
        <v>81</v>
      </c>
      <c r="BF819" t="s" s="0">
        <v>81</v>
      </c>
      <c r="BG819" t="s" s="0">
        <v>81</v>
      </c>
      <c r="BH819" t="s" s="0">
        <v>81</v>
      </c>
      <c r="BI819" t="s" s="0">
        <v>17875</v>
      </c>
      <c r="BJ819" t="s" s="0">
        <v>17876</v>
      </c>
      <c r="BK819" t="s" s="1628">
        <f>HYPERLINK("http://dx.doi.org/10.1093/jamiaopen/ooag074","http://dx.doi.org/10.1093/jamiaopen/ooag074")</f>
        <v>17877</v>
      </c>
      <c r="BL819" t="s" s="0">
        <v>81</v>
      </c>
      <c r="BM819" t="s" s="0">
        <v>81</v>
      </c>
      <c r="BN819" t="s" s="0">
        <v>261</v>
      </c>
      <c r="BO819" t="s" s="0">
        <v>792</v>
      </c>
      <c r="BP819" t="s" s="0">
        <v>792</v>
      </c>
      <c r="BQ819" t="s" s="0">
        <v>17878</v>
      </c>
      <c r="BR819" t="s" s="0">
        <v>17879</v>
      </c>
      <c r="BS819" t="s" s="0">
        <v>17880</v>
      </c>
      <c r="BT819" t="s" s="1629">
        <f>HYPERLINK("https://www.webofscience.com/wos/woscc/full-record/WOS:001772001600001","View Record in Web of Science")</f>
        <v>114</v>
      </c>
      <c r="BU819" t="s" s="0">
        <v>301</v>
      </c>
      <c r="BV819" t="s" s="0">
        <v>81</v>
      </c>
      <c r="BW819" t="s" s="0">
        <v>81</v>
      </c>
      <c r="BX819" t="s" s="0">
        <v>116</v>
      </c>
    </row>
    <row r="820">
      <c r="A820" t="s" s="0">
        <v>77</v>
      </c>
      <c r="B820" t="s" s="0">
        <v>77</v>
      </c>
      <c r="C820" t="s" s="0">
        <v>77</v>
      </c>
      <c r="D820" t="s" s="0">
        <v>77</v>
      </c>
      <c r="E820" t="s" s="0">
        <v>17881</v>
      </c>
      <c r="F820" t="s" s="0">
        <v>17882</v>
      </c>
      <c r="G820" t="s" s="0">
        <v>17883</v>
      </c>
      <c r="H820" t="s" s="0">
        <v>81</v>
      </c>
      <c r="I820" t="s" s="0">
        <v>589</v>
      </c>
      <c r="J820" t="s" s="0">
        <v>17884</v>
      </c>
      <c r="K820" t="s" s="0">
        <v>17885</v>
      </c>
      <c r="L820" t="s" s="0">
        <v>17886</v>
      </c>
      <c r="M820" t="s" s="0">
        <v>17887</v>
      </c>
      <c r="N820" t="s" s="0">
        <v>17888</v>
      </c>
      <c r="O820" t="s" s="0">
        <v>17889</v>
      </c>
      <c r="P820" t="s" s="0">
        <v>17890</v>
      </c>
      <c r="Q820" t="s" s="0">
        <v>87</v>
      </c>
      <c r="R820" t="s" s="0">
        <v>81</v>
      </c>
      <c r="S820" t="s" s="0">
        <v>81</v>
      </c>
      <c r="T820" t="s" s="0">
        <v>81</v>
      </c>
      <c r="U820" t="s" s="0">
        <v>81</v>
      </c>
      <c r="V820" t="s" s="0">
        <v>17891</v>
      </c>
      <c r="W820" t="s" s="0">
        <v>17892</v>
      </c>
      <c r="X820" t="s" s="0">
        <v>81</v>
      </c>
      <c r="Y820" t="s" s="0">
        <v>81</v>
      </c>
      <c r="Z820" t="s" s="0">
        <v>90</v>
      </c>
      <c r="AA820" t="s" s="0">
        <v>91</v>
      </c>
      <c r="AB820" t="s" s="0">
        <v>81</v>
      </c>
      <c r="AC820" t="s" s="0">
        <v>81</v>
      </c>
      <c r="AD820" t="s" s="0">
        <v>81</v>
      </c>
      <c r="AE820" t="s" s="0">
        <v>81</v>
      </c>
      <c r="AF820" t="s" s="0">
        <v>81</v>
      </c>
      <c r="AG820" t="s" s="0">
        <v>17893</v>
      </c>
      <c r="AH820" t="s" s="0">
        <v>17894</v>
      </c>
      <c r="AI820" t="s" s="0">
        <v>81</v>
      </c>
      <c r="AJ820" t="s" s="0">
        <v>81</v>
      </c>
      <c r="AK820" t="s" s="0">
        <v>81</v>
      </c>
      <c r="AL820" t="s" s="0">
        <v>434</v>
      </c>
      <c r="AM820" t="s" s="0">
        <v>77</v>
      </c>
      <c r="AN820" t="s" s="0">
        <v>77</v>
      </c>
      <c r="AO820" t="s" s="0">
        <v>97</v>
      </c>
      <c r="AP820" t="s" s="0">
        <v>97</v>
      </c>
      <c r="AQ820" t="s" s="0">
        <v>177</v>
      </c>
      <c r="AR820" t="s" s="0">
        <v>178</v>
      </c>
      <c r="AS820" t="s" s="0">
        <v>179</v>
      </c>
      <c r="AT820" t="s" s="0">
        <v>17895</v>
      </c>
      <c r="AU820" t="s" s="0">
        <v>81</v>
      </c>
      <c r="AV820" t="s" s="0">
        <v>81</v>
      </c>
      <c r="AW820" t="s" s="0">
        <v>17896</v>
      </c>
      <c r="AX820" t="s" s="0">
        <v>17897</v>
      </c>
      <c r="AY820" t="s" s="0">
        <v>5030</v>
      </c>
      <c r="AZ820" t="s" s="0">
        <v>103</v>
      </c>
      <c r="BA820" t="s" s="0">
        <v>291</v>
      </c>
      <c r="BB820" t="s" s="0">
        <v>381</v>
      </c>
      <c r="BC820" t="s" s="0">
        <v>81</v>
      </c>
      <c r="BD820" t="s" s="0">
        <v>81</v>
      </c>
      <c r="BE820" t="s" s="0">
        <v>81</v>
      </c>
      <c r="BF820" t="s" s="0">
        <v>81</v>
      </c>
      <c r="BG820" t="s" s="0">
        <v>81</v>
      </c>
      <c r="BH820" t="s" s="0">
        <v>81</v>
      </c>
      <c r="BI820" t="s" s="0">
        <v>17898</v>
      </c>
      <c r="BJ820" t="s" s="0">
        <v>17899</v>
      </c>
      <c r="BK820" t="s" s="1630">
        <f>HYPERLINK("http://dx.doi.org/10.1016/j.hlpt.2026.101260","http://dx.doi.org/10.1016/j.hlpt.2026.101260")</f>
        <v>17900</v>
      </c>
      <c r="BL820" t="s" s="0">
        <v>81</v>
      </c>
      <c r="BM820" t="s" s="0">
        <v>81</v>
      </c>
      <c r="BN820" t="s" s="0">
        <v>381</v>
      </c>
      <c r="BO820" t="s" s="0">
        <v>13785</v>
      </c>
      <c r="BP820" t="s" s="0">
        <v>4482</v>
      </c>
      <c r="BQ820" t="s" s="0">
        <v>17901</v>
      </c>
      <c r="BR820" t="s" s="0">
        <v>81</v>
      </c>
      <c r="BS820" t="s" s="0">
        <v>17902</v>
      </c>
      <c r="BT820" t="s" s="1631">
        <f>HYPERLINK("https://www.webofscience.com/wos/woscc/full-record/WOS:001797100500001","View Record in Web of Science")</f>
        <v>114</v>
      </c>
      <c r="BU820" t="s" s="0">
        <v>1055</v>
      </c>
      <c r="BV820" t="s" s="0">
        <v>81</v>
      </c>
      <c r="BW820" t="s" s="0">
        <v>81</v>
      </c>
      <c r="BX820" t="s" s="0">
        <v>116</v>
      </c>
    </row>
    <row r="821">
      <c r="A821" t="s" s="0">
        <v>77</v>
      </c>
      <c r="B821" t="s" s="0">
        <v>77</v>
      </c>
      <c r="C821" t="s" s="0">
        <v>77</v>
      </c>
      <c r="D821" t="s" s="0">
        <v>77</v>
      </c>
      <c r="E821" t="s" s="0">
        <v>17903</v>
      </c>
      <c r="F821" t="s" s="0">
        <v>17904</v>
      </c>
      <c r="G821" t="s" s="0">
        <v>17905</v>
      </c>
      <c r="H821" t="s" s="0">
        <v>81</v>
      </c>
      <c r="I821" t="s" s="0">
        <v>82</v>
      </c>
      <c r="J821" t="s" s="0">
        <v>17906</v>
      </c>
      <c r="K821" t="s" s="0">
        <v>17907</v>
      </c>
      <c r="L821" t="s" s="0">
        <v>81</v>
      </c>
      <c r="M821" t="s" s="0">
        <v>81</v>
      </c>
      <c r="N821" t="s" s="0">
        <v>81</v>
      </c>
      <c r="O821" t="s" s="0">
        <v>17908</v>
      </c>
      <c r="P821" t="s" s="0">
        <v>17909</v>
      </c>
      <c r="Q821" t="s" s="0">
        <v>87</v>
      </c>
      <c r="R821" t="s" s="0">
        <v>81</v>
      </c>
      <c r="S821" t="s" s="0">
        <v>81</v>
      </c>
      <c r="T821" t="s" s="0">
        <v>81</v>
      </c>
      <c r="U821" t="s" s="0">
        <v>81</v>
      </c>
      <c r="V821" t="s" s="0">
        <v>17910</v>
      </c>
      <c r="W821" t="s" s="0">
        <v>17911</v>
      </c>
      <c r="X821" t="s" s="0">
        <v>81</v>
      </c>
      <c r="Y821" t="s" s="0">
        <v>81</v>
      </c>
      <c r="Z821" t="s" s="0">
        <v>90</v>
      </c>
      <c r="AA821" t="s" s="0">
        <v>91</v>
      </c>
      <c r="AB821" t="s" s="0">
        <v>81</v>
      </c>
      <c r="AC821" t="s" s="0">
        <v>81</v>
      </c>
      <c r="AD821" t="s" s="0">
        <v>81</v>
      </c>
      <c r="AE821" t="s" s="0">
        <v>81</v>
      </c>
      <c r="AF821" t="s" s="0">
        <v>81</v>
      </c>
      <c r="AG821" t="s" s="0">
        <v>17912</v>
      </c>
      <c r="AH821" t="s" s="0">
        <v>17913</v>
      </c>
      <c r="AI821" t="s" s="0">
        <v>17914</v>
      </c>
      <c r="AJ821" t="s" s="0">
        <v>17915</v>
      </c>
      <c r="AK821" t="s" s="0">
        <v>81</v>
      </c>
      <c r="AL821" t="s" s="0">
        <v>890</v>
      </c>
      <c r="AM821" t="s" s="0">
        <v>196</v>
      </c>
      <c r="AN821" t="s" s="0">
        <v>196</v>
      </c>
      <c r="AO821" t="s" s="0">
        <v>175</v>
      </c>
      <c r="AP821" t="s" s="0">
        <v>316</v>
      </c>
      <c r="AQ821" t="s" s="0">
        <v>11574</v>
      </c>
      <c r="AR821" t="s" s="0">
        <v>11575</v>
      </c>
      <c r="AS821" t="s" s="0">
        <v>11576</v>
      </c>
      <c r="AT821" t="s" s="0">
        <v>17916</v>
      </c>
      <c r="AU821" t="s" s="0">
        <v>17917</v>
      </c>
      <c r="AV821" t="s" s="0">
        <v>81</v>
      </c>
      <c r="AW821" t="s" s="0">
        <v>17918</v>
      </c>
      <c r="AX821" t="s" s="0">
        <v>17919</v>
      </c>
      <c r="AY821" t="s" s="0">
        <v>17920</v>
      </c>
      <c r="AZ821" t="s" s="0">
        <v>290</v>
      </c>
      <c r="BA821" t="s" s="0">
        <v>104</v>
      </c>
      <c r="BB821" t="s" s="0">
        <v>316</v>
      </c>
      <c r="BC821" t="s" s="0">
        <v>81</v>
      </c>
      <c r="BD821" t="s" s="0">
        <v>81</v>
      </c>
      <c r="BE821" t="s" s="0">
        <v>81</v>
      </c>
      <c r="BF821" t="s" s="0">
        <v>81</v>
      </c>
      <c r="BG821" t="s" s="0">
        <v>17921</v>
      </c>
      <c r="BH821" t="s" s="0">
        <v>17922</v>
      </c>
      <c r="BI821" t="s" s="0">
        <v>81</v>
      </c>
      <c r="BJ821" t="s" s="0">
        <v>17923</v>
      </c>
      <c r="BK821" t="s" s="1632">
        <f>HYPERLINK("http://dx.doi.org/10.21037/tlcr-2025-152","http://dx.doi.org/10.21037/tlcr-2025-152")</f>
        <v>17924</v>
      </c>
      <c r="BL821" t="s" s="0">
        <v>81</v>
      </c>
      <c r="BM821" t="s" s="0">
        <v>81</v>
      </c>
      <c r="BN821" t="s" s="0">
        <v>295</v>
      </c>
      <c r="BO821" t="s" s="0">
        <v>17925</v>
      </c>
      <c r="BP821" t="s" s="0">
        <v>17925</v>
      </c>
      <c r="BQ821" t="s" s="0">
        <v>17926</v>
      </c>
      <c r="BR821" t="s" s="0">
        <v>17927</v>
      </c>
      <c r="BS821" t="s" s="0">
        <v>17928</v>
      </c>
      <c r="BT821" t="s" s="1633">
        <f>HYPERLINK("https://www.webofscience.com/wos/woscc/full-record/WOS:001533390600010","View Record in Web of Science")</f>
        <v>114</v>
      </c>
      <c r="BU821" t="s" s="0">
        <v>301</v>
      </c>
      <c r="BV821" t="s" s="0">
        <v>81</v>
      </c>
      <c r="BW821" t="s" s="0">
        <v>81</v>
      </c>
      <c r="BX821" t="s" s="0">
        <v>116</v>
      </c>
    </row>
    <row r="822">
      <c r="A822" t="s" s="0">
        <v>77</v>
      </c>
      <c r="B822" t="s" s="0">
        <v>77</v>
      </c>
      <c r="C822" t="s" s="0">
        <v>77</v>
      </c>
      <c r="D822" t="s" s="0">
        <v>77</v>
      </c>
      <c r="E822" t="s" s="0">
        <v>17929</v>
      </c>
      <c r="F822" t="s" s="0">
        <v>17930</v>
      </c>
      <c r="G822" t="s" s="0">
        <v>17931</v>
      </c>
      <c r="H822" t="s" s="0">
        <v>81</v>
      </c>
      <c r="I822" t="s" s="0">
        <v>238</v>
      </c>
      <c r="J822" t="s" s="0">
        <v>17932</v>
      </c>
      <c r="K822" t="s" s="0">
        <v>17933</v>
      </c>
      <c r="L822" t="s" s="0">
        <v>81</v>
      </c>
      <c r="M822" t="s" s="0">
        <v>81</v>
      </c>
      <c r="N822" t="s" s="0">
        <v>81</v>
      </c>
      <c r="O822" t="s" s="0">
        <v>17934</v>
      </c>
      <c r="P822" t="s" s="0">
        <v>17935</v>
      </c>
      <c r="Q822" t="s" s="0">
        <v>87</v>
      </c>
      <c r="R822" t="s" s="0">
        <v>81</v>
      </c>
      <c r="S822" t="s" s="0">
        <v>81</v>
      </c>
      <c r="T822" t="s" s="0">
        <v>81</v>
      </c>
      <c r="U822" t="s" s="0">
        <v>81</v>
      </c>
      <c r="V822" t="s" s="0">
        <v>17936</v>
      </c>
      <c r="W822" t="s" s="0">
        <v>17937</v>
      </c>
      <c r="X822" t="s" s="0">
        <v>81</v>
      </c>
      <c r="Y822" t="s" s="0">
        <v>81</v>
      </c>
      <c r="Z822" t="s" s="0">
        <v>90</v>
      </c>
      <c r="AA822" t="s" s="0">
        <v>1581</v>
      </c>
      <c r="AB822" t="s" s="0">
        <v>81</v>
      </c>
      <c r="AC822" t="s" s="0">
        <v>81</v>
      </c>
      <c r="AD822" t="s" s="0">
        <v>81</v>
      </c>
      <c r="AE822" t="s" s="0">
        <v>81</v>
      </c>
      <c r="AF822" t="s" s="0">
        <v>81</v>
      </c>
      <c r="AG822" t="s" s="0">
        <v>17938</v>
      </c>
      <c r="AH822" t="s" s="0">
        <v>81</v>
      </c>
      <c r="AI822" t="s" s="0">
        <v>17939</v>
      </c>
      <c r="AJ822" t="s" s="0">
        <v>81</v>
      </c>
      <c r="AK822" t="s" s="0">
        <v>81</v>
      </c>
      <c r="AL822" t="s" s="0">
        <v>173</v>
      </c>
      <c r="AM822" t="s" s="0">
        <v>77</v>
      </c>
      <c r="AN822" t="s" s="0">
        <v>77</v>
      </c>
      <c r="AO822" t="s" s="0">
        <v>156</v>
      </c>
      <c r="AP822" t="s" s="0">
        <v>156</v>
      </c>
      <c r="AQ822" t="s" s="0">
        <v>5049</v>
      </c>
      <c r="AR822" t="s" s="0">
        <v>5050</v>
      </c>
      <c r="AS822" t="s" s="0">
        <v>5051</v>
      </c>
      <c r="AT822" t="s" s="0">
        <v>17940</v>
      </c>
      <c r="AU822" t="s" s="0">
        <v>17941</v>
      </c>
      <c r="AV822" t="s" s="0">
        <v>81</v>
      </c>
      <c r="AW822" t="s" s="0">
        <v>17942</v>
      </c>
      <c r="AX822" t="s" s="0">
        <v>17943</v>
      </c>
      <c r="AY822" t="s" s="0">
        <v>81</v>
      </c>
      <c r="AZ822" t="s" s="0">
        <v>103</v>
      </c>
      <c r="BA822" t="s" s="0">
        <v>81</v>
      </c>
      <c r="BB822" t="s" s="0">
        <v>81</v>
      </c>
      <c r="BC822" t="s" s="0">
        <v>81</v>
      </c>
      <c r="BD822" t="s" s="0">
        <v>81</v>
      </c>
      <c r="BE822" t="s" s="0">
        <v>81</v>
      </c>
      <c r="BF822" t="s" s="0">
        <v>81</v>
      </c>
      <c r="BG822" t="s" s="0">
        <v>81</v>
      </c>
      <c r="BH822" t="s" s="0">
        <v>81</v>
      </c>
      <c r="BI822" t="s" s="0">
        <v>81</v>
      </c>
      <c r="BJ822" t="s" s="0">
        <v>17944</v>
      </c>
      <c r="BK822" t="s" s="1634">
        <f>HYPERLINK("http://dx.doi.org/10.1108/JICES-12-2025-0393","http://dx.doi.org/10.1108/JICES-12-2025-0393")</f>
        <v>17945</v>
      </c>
      <c r="BL822" t="s" s="0">
        <v>81</v>
      </c>
      <c r="BM822" t="s" s="0">
        <v>948</v>
      </c>
      <c r="BN822" t="s" s="0">
        <v>367</v>
      </c>
      <c r="BO822" t="s" s="0">
        <v>17946</v>
      </c>
      <c r="BP822" t="s" s="0">
        <v>3208</v>
      </c>
      <c r="BQ822" t="s" s="0">
        <v>17947</v>
      </c>
      <c r="BR822" t="s" s="0">
        <v>81</v>
      </c>
      <c r="BS822" t="s" s="0">
        <v>17948</v>
      </c>
      <c r="BT822" t="s" s="1635">
        <f>HYPERLINK("https://www.webofscience.com/wos/woscc/full-record/WOS:001744334300001","View Record in Web of Science")</f>
        <v>114</v>
      </c>
      <c r="BU822" t="s" s="0">
        <v>81</v>
      </c>
      <c r="BV822" t="s" s="0">
        <v>81</v>
      </c>
      <c r="BW822" t="s" s="0">
        <v>81</v>
      </c>
      <c r="BX822" t="s" s="0">
        <v>116</v>
      </c>
    </row>
    <row r="823">
      <c r="A823" t="s" s="0">
        <v>77</v>
      </c>
      <c r="B823" t="s" s="0">
        <v>77</v>
      </c>
      <c r="C823" t="s" s="0">
        <v>77</v>
      </c>
      <c r="D823" t="s" s="0">
        <v>77</v>
      </c>
      <c r="E823" t="s" s="0">
        <v>17949</v>
      </c>
      <c r="F823" t="s" s="0">
        <v>17950</v>
      </c>
      <c r="G823" t="s" s="0">
        <v>17951</v>
      </c>
      <c r="H823" t="s" s="0">
        <v>81</v>
      </c>
      <c r="I823" t="s" s="0">
        <v>528</v>
      </c>
      <c r="J823" t="s" s="0">
        <v>17952</v>
      </c>
      <c r="K823" t="s" s="0">
        <v>17953</v>
      </c>
      <c r="L823" t="s" s="0">
        <v>17954</v>
      </c>
      <c r="M823" t="s" s="0">
        <v>17955</v>
      </c>
      <c r="N823" t="s" s="0">
        <v>17956</v>
      </c>
      <c r="O823" t="s" s="0">
        <v>17957</v>
      </c>
      <c r="P823" t="s" s="0">
        <v>17958</v>
      </c>
      <c r="Q823" t="s" s="0">
        <v>87</v>
      </c>
      <c r="R823" t="s" s="0">
        <v>81</v>
      </c>
      <c r="S823" t="s" s="0">
        <v>81</v>
      </c>
      <c r="T823" t="s" s="0">
        <v>81</v>
      </c>
      <c r="U823" t="s" s="0">
        <v>81</v>
      </c>
      <c r="V823" t="s" s="0">
        <v>17959</v>
      </c>
      <c r="W823" t="s" s="0">
        <v>12410</v>
      </c>
      <c r="X823" t="s" s="0">
        <v>81</v>
      </c>
      <c r="Y823" t="s" s="0">
        <v>81</v>
      </c>
      <c r="Z823" t="s" s="0">
        <v>90</v>
      </c>
      <c r="AA823" t="s" s="0">
        <v>91</v>
      </c>
      <c r="AB823" t="s" s="0">
        <v>81</v>
      </c>
      <c r="AC823" t="s" s="0">
        <v>81</v>
      </c>
      <c r="AD823" t="s" s="0">
        <v>81</v>
      </c>
      <c r="AE823" t="s" s="0">
        <v>81</v>
      </c>
      <c r="AF823" t="s" s="0">
        <v>81</v>
      </c>
      <c r="AG823" t="s" s="0">
        <v>17960</v>
      </c>
      <c r="AH823" t="s" s="0">
        <v>17961</v>
      </c>
      <c r="AI823" t="s" s="0">
        <v>17962</v>
      </c>
      <c r="AJ823" t="s" s="0">
        <v>81</v>
      </c>
      <c r="AK823" t="s" s="0">
        <v>81</v>
      </c>
      <c r="AL823" t="s" s="0">
        <v>5626</v>
      </c>
      <c r="AM823" t="s" s="0">
        <v>156</v>
      </c>
      <c r="AN823" t="s" s="0">
        <v>196</v>
      </c>
      <c r="AO823" t="s" s="0">
        <v>109</v>
      </c>
      <c r="AP823" t="s" s="0">
        <v>399</v>
      </c>
      <c r="AQ823" t="s" s="0">
        <v>636</v>
      </c>
      <c r="AR823" t="s" s="0">
        <v>637</v>
      </c>
      <c r="AS823" t="s" s="0">
        <v>638</v>
      </c>
      <c r="AT823" t="s" s="0">
        <v>12414</v>
      </c>
      <c r="AU823" t="s" s="0">
        <v>12415</v>
      </c>
      <c r="AV823" t="s" s="0">
        <v>81</v>
      </c>
      <c r="AW823" t="s" s="0">
        <v>12416</v>
      </c>
      <c r="AX823" t="s" s="0">
        <v>12417</v>
      </c>
      <c r="AY823" t="s" s="0">
        <v>5296</v>
      </c>
      <c r="AZ823" t="s" s="0">
        <v>103</v>
      </c>
      <c r="BA823" t="s" s="0">
        <v>1607</v>
      </c>
      <c r="BB823" t="s" s="0">
        <v>191</v>
      </c>
      <c r="BC823" t="s" s="0">
        <v>81</v>
      </c>
      <c r="BD823" t="s" s="0">
        <v>81</v>
      </c>
      <c r="BE823" t="s" s="0">
        <v>81</v>
      </c>
      <c r="BF823" t="s" s="0">
        <v>81</v>
      </c>
      <c r="BG823" t="s" s="0">
        <v>17963</v>
      </c>
      <c r="BH823" t="s" s="0">
        <v>17964</v>
      </c>
      <c r="BI823" t="s" s="0">
        <v>81</v>
      </c>
      <c r="BJ823" t="s" s="0">
        <v>17965</v>
      </c>
      <c r="BK823" t="s" s="1636">
        <f>HYPERLINK("http://dx.doi.org/10.1080/0144929X.2025.2590099","http://dx.doi.org/10.1080/0144929X.2025.2590099")</f>
        <v>17966</v>
      </c>
      <c r="BL823" t="s" s="0">
        <v>81</v>
      </c>
      <c r="BM823" t="s" s="0">
        <v>1743</v>
      </c>
      <c r="BN823" t="s" s="0">
        <v>295</v>
      </c>
      <c r="BO823" t="s" s="0">
        <v>12420</v>
      </c>
      <c r="BP823" t="s" s="0">
        <v>193</v>
      </c>
      <c r="BQ823" t="s" s="0">
        <v>17967</v>
      </c>
      <c r="BR823" t="s" s="0">
        <v>81</v>
      </c>
      <c r="BS823" t="s" s="0">
        <v>17968</v>
      </c>
      <c r="BT823" t="s" s="1637">
        <f>HYPERLINK("https://www.webofscience.com/wos/woscc/full-record/WOS:001618735800001","View Record in Web of Science")</f>
        <v>114</v>
      </c>
      <c r="BU823" t="s" s="0">
        <v>81</v>
      </c>
      <c r="BV823" t="s" s="0">
        <v>81</v>
      </c>
      <c r="BW823" t="s" s="0">
        <v>81</v>
      </c>
      <c r="BX823" t="s" s="0">
        <v>116</v>
      </c>
    </row>
    <row r="824">
      <c r="A824" t="s" s="0">
        <v>77</v>
      </c>
      <c r="B824" t="s" s="0">
        <v>77</v>
      </c>
      <c r="C824" t="s" s="0">
        <v>77</v>
      </c>
      <c r="D824" t="s" s="0">
        <v>77</v>
      </c>
      <c r="E824" t="s" s="0">
        <v>17969</v>
      </c>
      <c r="F824" t="s" s="0">
        <v>17970</v>
      </c>
      <c r="G824" t="s" s="0">
        <v>17971</v>
      </c>
      <c r="H824" t="s" s="0">
        <v>81</v>
      </c>
      <c r="I824" t="s" s="0">
        <v>238</v>
      </c>
      <c r="J824" t="s" s="0">
        <v>17972</v>
      </c>
      <c r="K824" t="s" s="0">
        <v>17973</v>
      </c>
      <c r="L824" t="s" s="0">
        <v>17974</v>
      </c>
      <c r="M824" t="s" s="0">
        <v>17975</v>
      </c>
      <c r="N824" t="s" s="0">
        <v>17976</v>
      </c>
      <c r="O824" t="s" s="0">
        <v>17977</v>
      </c>
      <c r="P824" t="s" s="0">
        <v>17978</v>
      </c>
      <c r="Q824" t="s" s="0">
        <v>87</v>
      </c>
      <c r="R824" t="s" s="0">
        <v>81</v>
      </c>
      <c r="S824" t="s" s="0">
        <v>81</v>
      </c>
      <c r="T824" t="s" s="0">
        <v>81</v>
      </c>
      <c r="U824" t="s" s="0">
        <v>81</v>
      </c>
      <c r="V824" t="s" s="0">
        <v>17979</v>
      </c>
      <c r="W824" t="s" s="0">
        <v>17980</v>
      </c>
      <c r="X824" t="s" s="0">
        <v>81</v>
      </c>
      <c r="Y824" t="s" s="0">
        <v>81</v>
      </c>
      <c r="Z824" t="s" s="0">
        <v>90</v>
      </c>
      <c r="AA824" t="s" s="0">
        <v>91</v>
      </c>
      <c r="AB824" t="s" s="0">
        <v>81</v>
      </c>
      <c r="AC824" t="s" s="0">
        <v>81</v>
      </c>
      <c r="AD824" t="s" s="0">
        <v>81</v>
      </c>
      <c r="AE824" t="s" s="0">
        <v>81</v>
      </c>
      <c r="AF824" t="s" s="0">
        <v>81</v>
      </c>
      <c r="AG824" t="s" s="0">
        <v>17981</v>
      </c>
      <c r="AH824" t="s" s="0">
        <v>81</v>
      </c>
      <c r="AI824" t="s" s="0">
        <v>81</v>
      </c>
      <c r="AJ824" t="s" s="0">
        <v>17982</v>
      </c>
      <c r="AK824" t="s" s="0">
        <v>81</v>
      </c>
      <c r="AL824" t="s" s="0">
        <v>1684</v>
      </c>
      <c r="AM824" t="s" s="0">
        <v>925</v>
      </c>
      <c r="AN824" t="s" s="0">
        <v>135</v>
      </c>
      <c r="AO824" t="s" s="0">
        <v>97</v>
      </c>
      <c r="AP824" t="s" s="0">
        <v>890</v>
      </c>
      <c r="AQ824" t="s" s="0">
        <v>9777</v>
      </c>
      <c r="AR824" t="s" s="0">
        <v>255</v>
      </c>
      <c r="AS824" t="s" s="0">
        <v>9778</v>
      </c>
      <c r="AT824" t="s" s="0">
        <v>17983</v>
      </c>
      <c r="AU824" t="s" s="0">
        <v>17984</v>
      </c>
      <c r="AV824" t="s" s="0">
        <v>81</v>
      </c>
      <c r="AW824" t="s" s="0">
        <v>17985</v>
      </c>
      <c r="AX824" t="s" s="0">
        <v>17986</v>
      </c>
      <c r="AY824" t="s" s="0">
        <v>184</v>
      </c>
      <c r="AZ824" t="s" s="0">
        <v>185</v>
      </c>
      <c r="BA824" t="s" s="0">
        <v>291</v>
      </c>
      <c r="BB824" t="s" s="0">
        <v>156</v>
      </c>
      <c r="BC824" t="s" s="0">
        <v>4172</v>
      </c>
      <c r="BD824" t="s" s="0">
        <v>81</v>
      </c>
      <c r="BE824" t="s" s="0">
        <v>81</v>
      </c>
      <c r="BF824" t="s" s="0">
        <v>81</v>
      </c>
      <c r="BG824" t="s" s="0">
        <v>17987</v>
      </c>
      <c r="BH824" t="s" s="0">
        <v>17988</v>
      </c>
      <c r="BI824" t="s" s="0">
        <v>17989</v>
      </c>
      <c r="BJ824" t="s" s="0">
        <v>17990</v>
      </c>
      <c r="BK824" t="s" s="1638">
        <f>HYPERLINK("http://dx.doi.org/10.1017/err.2023.57","http://dx.doi.org/10.1017/err.2023.57")</f>
        <v>17991</v>
      </c>
      <c r="BL824" t="s" s="0">
        <v>81</v>
      </c>
      <c r="BM824" t="s" s="0">
        <v>2077</v>
      </c>
      <c r="BN824" t="s" s="0">
        <v>925</v>
      </c>
      <c r="BO824" t="s" s="0">
        <v>9623</v>
      </c>
      <c r="BP824" t="s" s="0">
        <v>9624</v>
      </c>
      <c r="BQ824" t="s" s="0">
        <v>17992</v>
      </c>
      <c r="BR824" t="s" s="0">
        <v>81</v>
      </c>
      <c r="BS824" t="s" s="0">
        <v>17993</v>
      </c>
      <c r="BT824" t="s" s="1639">
        <f>HYPERLINK("https://www.webofscience.com/wos/woscc/full-record/WOS:001051001000001","View Record in Web of Science")</f>
        <v>114</v>
      </c>
      <c r="BU824" t="s" s="0">
        <v>1055</v>
      </c>
      <c r="BV824" t="s" s="0">
        <v>81</v>
      </c>
      <c r="BW824" t="s" s="0">
        <v>81</v>
      </c>
      <c r="BX824" t="s" s="0">
        <v>116</v>
      </c>
    </row>
    <row r="825">
      <c r="A825" t="s" s="0">
        <v>77</v>
      </c>
      <c r="B825" t="s" s="0">
        <v>77</v>
      </c>
      <c r="C825" t="s" s="0">
        <v>97</v>
      </c>
      <c r="D825" t="s" s="0">
        <v>77</v>
      </c>
      <c r="E825" t="s" s="0">
        <v>17994</v>
      </c>
      <c r="F825" t="s" s="0">
        <v>17995</v>
      </c>
      <c r="G825" t="s" s="0">
        <v>17996</v>
      </c>
      <c r="H825" t="s" s="0">
        <v>81</v>
      </c>
      <c r="I825" t="s" s="0">
        <v>589</v>
      </c>
      <c r="J825" t="s" s="0">
        <v>17997</v>
      </c>
      <c r="K825" t="s" s="0">
        <v>17998</v>
      </c>
      <c r="L825" t="s" s="0">
        <v>81</v>
      </c>
      <c r="M825" t="s" s="0">
        <v>81</v>
      </c>
      <c r="N825" t="s" s="0">
        <v>81</v>
      </c>
      <c r="O825" t="s" s="0">
        <v>17999</v>
      </c>
      <c r="P825" t="s" s="0">
        <v>18000</v>
      </c>
      <c r="Q825" t="s" s="0">
        <v>87</v>
      </c>
      <c r="R825" t="s" s="0">
        <v>81</v>
      </c>
      <c r="S825" t="s" s="0">
        <v>81</v>
      </c>
      <c r="T825" t="s" s="0">
        <v>81</v>
      </c>
      <c r="U825" t="s" s="0">
        <v>81</v>
      </c>
      <c r="V825" t="s" s="0">
        <v>18001</v>
      </c>
      <c r="W825" t="s" s="0">
        <v>18002</v>
      </c>
      <c r="X825" t="s" s="0">
        <v>81</v>
      </c>
      <c r="Y825" t="s" s="0">
        <v>81</v>
      </c>
      <c r="Z825" t="s" s="0">
        <v>90</v>
      </c>
      <c r="AA825" t="s" s="0">
        <v>91</v>
      </c>
      <c r="AB825" t="s" s="0">
        <v>81</v>
      </c>
      <c r="AC825" t="s" s="0">
        <v>81</v>
      </c>
      <c r="AD825" t="s" s="0">
        <v>81</v>
      </c>
      <c r="AE825" t="s" s="0">
        <v>81</v>
      </c>
      <c r="AF825" t="s" s="0">
        <v>81</v>
      </c>
      <c r="AG825" t="s" s="0">
        <v>18003</v>
      </c>
      <c r="AH825" t="s" s="0">
        <v>18004</v>
      </c>
      <c r="AI825" t="s" s="0">
        <v>18005</v>
      </c>
      <c r="AJ825" t="s" s="0">
        <v>18006</v>
      </c>
      <c r="AK825" t="s" s="0">
        <v>81</v>
      </c>
      <c r="AL825" t="s" s="0">
        <v>3518</v>
      </c>
      <c r="AM825" t="s" s="0">
        <v>485</v>
      </c>
      <c r="AN825" t="s" s="0">
        <v>295</v>
      </c>
      <c r="AO825" t="s" s="0">
        <v>664</v>
      </c>
      <c r="AP825" t="s" s="0">
        <v>8974</v>
      </c>
      <c r="AQ825" t="s" s="0">
        <v>5049</v>
      </c>
      <c r="AR825" t="s" s="0">
        <v>5050</v>
      </c>
      <c r="AS825" t="s" s="0">
        <v>5051</v>
      </c>
      <c r="AT825" t="s" s="0">
        <v>18007</v>
      </c>
      <c r="AU825" t="s" s="0">
        <v>18008</v>
      </c>
      <c r="AV825" t="s" s="0">
        <v>81</v>
      </c>
      <c r="AW825" t="s" s="0">
        <v>18009</v>
      </c>
      <c r="AX825" t="s" s="0">
        <v>18010</v>
      </c>
      <c r="AY825" t="s" s="0">
        <v>1424</v>
      </c>
      <c r="AZ825" t="s" s="0">
        <v>290</v>
      </c>
      <c r="BA825" t="s" s="0">
        <v>543</v>
      </c>
      <c r="BB825" t="s" s="0">
        <v>261</v>
      </c>
      <c r="BC825" t="s" s="0">
        <v>81</v>
      </c>
      <c r="BD825" t="s" s="0">
        <v>81</v>
      </c>
      <c r="BE825" t="s" s="0">
        <v>81</v>
      </c>
      <c r="BF825" t="s" s="0">
        <v>81</v>
      </c>
      <c r="BG825" t="s" s="0">
        <v>18011</v>
      </c>
      <c r="BH825" t="s" s="0">
        <v>18012</v>
      </c>
      <c r="BI825" t="s" s="0">
        <v>81</v>
      </c>
      <c r="BJ825" t="s" s="0">
        <v>18013</v>
      </c>
      <c r="BK825" t="s" s="1640">
        <f>HYPERLINK("http://dx.doi.org/10.1108/IJCHM-01-2025-0159","http://dx.doi.org/10.1108/IJCHM-01-2025-0159")</f>
        <v>18014</v>
      </c>
      <c r="BL825" t="s" s="0">
        <v>81</v>
      </c>
      <c r="BM825" t="s" s="0">
        <v>1869</v>
      </c>
      <c r="BN825" t="s" s="0">
        <v>135</v>
      </c>
      <c r="BO825" t="s" s="0">
        <v>18015</v>
      </c>
      <c r="BP825" t="s" s="0">
        <v>18016</v>
      </c>
      <c r="BQ825" t="s" s="0">
        <v>18017</v>
      </c>
      <c r="BR825" t="s" s="0">
        <v>81</v>
      </c>
      <c r="BS825" t="s" s="0">
        <v>18018</v>
      </c>
      <c r="BT825" t="s" s="1641">
        <f>HYPERLINK("https://www.webofscience.com/wos/woscc/full-record/WOS:001556468400001","View Record in Web of Science")</f>
        <v>114</v>
      </c>
      <c r="BU825" t="s" s="0">
        <v>81</v>
      </c>
      <c r="BV825" t="s" s="0">
        <v>81</v>
      </c>
      <c r="BW825" t="s" s="0">
        <v>81</v>
      </c>
      <c r="BX825" t="s" s="0">
        <v>116</v>
      </c>
    </row>
    <row r="826">
      <c r="A826" t="s" s="0">
        <v>77</v>
      </c>
      <c r="B826" t="s" s="0">
        <v>77</v>
      </c>
      <c r="C826" t="s" s="0">
        <v>77</v>
      </c>
      <c r="D826" t="s" s="0">
        <v>77</v>
      </c>
      <c r="E826" t="s" s="0">
        <v>18019</v>
      </c>
      <c r="F826" t="s" s="0">
        <v>18020</v>
      </c>
      <c r="G826" t="s" s="0">
        <v>18021</v>
      </c>
      <c r="H826" t="s" s="0">
        <v>81</v>
      </c>
      <c r="I826" t="s" s="0">
        <v>82</v>
      </c>
      <c r="J826" t="s" s="0">
        <v>18022</v>
      </c>
      <c r="K826" t="s" s="0">
        <v>18023</v>
      </c>
      <c r="L826" t="s" s="0">
        <v>81</v>
      </c>
      <c r="M826" t="s" s="0">
        <v>81</v>
      </c>
      <c r="N826" t="s" s="0">
        <v>81</v>
      </c>
      <c r="O826" t="s" s="0">
        <v>18024</v>
      </c>
      <c r="P826" t="s" s="0">
        <v>18025</v>
      </c>
      <c r="Q826" t="s" s="0">
        <v>87</v>
      </c>
      <c r="R826" t="s" s="0">
        <v>81</v>
      </c>
      <c r="S826" t="s" s="0">
        <v>81</v>
      </c>
      <c r="T826" t="s" s="0">
        <v>81</v>
      </c>
      <c r="U826" t="s" s="0">
        <v>81</v>
      </c>
      <c r="V826" t="s" s="0">
        <v>18026</v>
      </c>
      <c r="W826" t="s" s="0">
        <v>1602</v>
      </c>
      <c r="X826" t="s" s="0">
        <v>81</v>
      </c>
      <c r="Y826" t="s" s="0">
        <v>81</v>
      </c>
      <c r="Z826" t="s" s="0">
        <v>90</v>
      </c>
      <c r="AA826" t="s" s="0">
        <v>91</v>
      </c>
      <c r="AB826" t="s" s="0">
        <v>81</v>
      </c>
      <c r="AC826" t="s" s="0">
        <v>81</v>
      </c>
      <c r="AD826" t="s" s="0">
        <v>81</v>
      </c>
      <c r="AE826" t="s" s="0">
        <v>81</v>
      </c>
      <c r="AF826" t="s" s="0">
        <v>81</v>
      </c>
      <c r="AG826" t="s" s="0">
        <v>18027</v>
      </c>
      <c r="AH826" t="s" s="0">
        <v>18028</v>
      </c>
      <c r="AI826" t="s" s="0">
        <v>18029</v>
      </c>
      <c r="AJ826" t="s" s="0">
        <v>18030</v>
      </c>
      <c r="AK826" t="s" s="0">
        <v>81</v>
      </c>
      <c r="AL826" t="s" s="0">
        <v>97</v>
      </c>
      <c r="AM826" t="s" s="0">
        <v>381</v>
      </c>
      <c r="AN826" t="s" s="0">
        <v>381</v>
      </c>
      <c r="AO826" t="s" s="0">
        <v>175</v>
      </c>
      <c r="AP826" t="s" s="0">
        <v>324</v>
      </c>
      <c r="AQ826" t="s" s="0">
        <v>1608</v>
      </c>
      <c r="AR826" t="s" s="0">
        <v>1609</v>
      </c>
      <c r="AS826" t="s" s="0">
        <v>1610</v>
      </c>
      <c r="AT826" t="s" s="0">
        <v>1611</v>
      </c>
      <c r="AU826" t="s" s="0">
        <v>1612</v>
      </c>
      <c r="AV826" t="s" s="0">
        <v>81</v>
      </c>
      <c r="AW826" t="s" s="0">
        <v>1613</v>
      </c>
      <c r="AX826" t="s" s="0">
        <v>1614</v>
      </c>
      <c r="AY826" t="s" s="0">
        <v>6722</v>
      </c>
      <c r="AZ826" t="s" s="0">
        <v>185</v>
      </c>
      <c r="BA826" t="s" s="0">
        <v>10356</v>
      </c>
      <c r="BB826" t="s" s="0">
        <v>81</v>
      </c>
      <c r="BC826" t="s" s="0">
        <v>81</v>
      </c>
      <c r="BD826" t="s" s="0">
        <v>81</v>
      </c>
      <c r="BE826" t="s" s="0">
        <v>81</v>
      </c>
      <c r="BF826" t="s" s="0">
        <v>81</v>
      </c>
      <c r="BG826" t="s" s="0">
        <v>81</v>
      </c>
      <c r="BH826" t="s" s="0">
        <v>81</v>
      </c>
      <c r="BI826" t="s" s="0">
        <v>18031</v>
      </c>
      <c r="BJ826" t="s" s="0">
        <v>18032</v>
      </c>
      <c r="BK826" t="s" s="1642">
        <f>HYPERLINK("http://dx.doi.org/10.1016/j.ijmedinf.2023.105280","http://dx.doi.org/10.1016/j.ijmedinf.2023.105280")</f>
        <v>18033</v>
      </c>
      <c r="BL826" t="s" s="0">
        <v>81</v>
      </c>
      <c r="BM826" t="s" s="0">
        <v>2427</v>
      </c>
      <c r="BN826" t="s" s="0">
        <v>261</v>
      </c>
      <c r="BO826" t="s" s="0">
        <v>1619</v>
      </c>
      <c r="BP826" t="s" s="0">
        <v>1620</v>
      </c>
      <c r="BQ826" t="s" s="0">
        <v>18034</v>
      </c>
      <c r="BR826" t="s" s="0">
        <v>18035</v>
      </c>
      <c r="BS826" t="s" s="0">
        <v>18036</v>
      </c>
      <c r="BT826" t="s" s="1643">
        <f>HYPERLINK("https://www.webofscience.com/wos/woscc/full-record/WOS:001111997400001","View Record in Web of Science")</f>
        <v>114</v>
      </c>
      <c r="BU826" t="s" s="0">
        <v>155</v>
      </c>
      <c r="BV826" t="s" s="0">
        <v>81</v>
      </c>
      <c r="BW826" t="s" s="0">
        <v>81</v>
      </c>
      <c r="BX826" t="s" s="0">
        <v>116</v>
      </c>
    </row>
    <row r="827">
      <c r="A827" t="s" s="0">
        <v>77</v>
      </c>
      <c r="B827" t="s" s="0">
        <v>77</v>
      </c>
      <c r="C827" t="s" s="0">
        <v>77</v>
      </c>
      <c r="D827" t="s" s="0">
        <v>77</v>
      </c>
      <c r="E827" t="s" s="0">
        <v>18037</v>
      </c>
      <c r="F827" t="s" s="0">
        <v>18038</v>
      </c>
      <c r="G827" t="s" s="0">
        <v>18039</v>
      </c>
      <c r="H827" t="s" s="0">
        <v>81</v>
      </c>
      <c r="I827" t="s" s="0">
        <v>82</v>
      </c>
      <c r="J827" t="s" s="0">
        <v>18040</v>
      </c>
      <c r="K827" t="s" s="0">
        <v>18041</v>
      </c>
      <c r="L827" t="s" s="0">
        <v>18042</v>
      </c>
      <c r="M827" t="s" s="0">
        <v>18043</v>
      </c>
      <c r="N827" t="s" s="0">
        <v>18044</v>
      </c>
      <c r="O827" t="s" s="0">
        <v>18045</v>
      </c>
      <c r="P827" t="s" s="0">
        <v>18046</v>
      </c>
      <c r="Q827" t="s" s="0">
        <v>87</v>
      </c>
      <c r="R827" t="s" s="0">
        <v>81</v>
      </c>
      <c r="S827" t="s" s="0">
        <v>81</v>
      </c>
      <c r="T827" t="s" s="0">
        <v>81</v>
      </c>
      <c r="U827" t="s" s="0">
        <v>81</v>
      </c>
      <c r="V827" t="s" s="0">
        <v>18047</v>
      </c>
      <c r="W827" t="s" s="0">
        <v>18048</v>
      </c>
      <c r="X827" t="s" s="0">
        <v>81</v>
      </c>
      <c r="Y827" t="s" s="0">
        <v>81</v>
      </c>
      <c r="Z827" t="s" s="0">
        <v>90</v>
      </c>
      <c r="AA827" t="s" s="0">
        <v>91</v>
      </c>
      <c r="AB827" t="s" s="0">
        <v>81</v>
      </c>
      <c r="AC827" t="s" s="0">
        <v>81</v>
      </c>
      <c r="AD827" t="s" s="0">
        <v>81</v>
      </c>
      <c r="AE827" t="s" s="0">
        <v>81</v>
      </c>
      <c r="AF827" t="s" s="0">
        <v>81</v>
      </c>
      <c r="AG827" t="s" s="0">
        <v>81</v>
      </c>
      <c r="AH827" t="s" s="0">
        <v>18049</v>
      </c>
      <c r="AI827" t="s" s="0">
        <v>81</v>
      </c>
      <c r="AJ827" t="s" s="0">
        <v>18050</v>
      </c>
      <c r="AK827" t="s" s="0">
        <v>81</v>
      </c>
      <c r="AL827" t="s" s="0">
        <v>1912</v>
      </c>
      <c r="AM827" t="s" s="0">
        <v>381</v>
      </c>
      <c r="AN827" t="s" s="0">
        <v>211</v>
      </c>
      <c r="AO827" t="s" s="0">
        <v>210</v>
      </c>
      <c r="AP827" t="s" s="0">
        <v>210</v>
      </c>
      <c r="AQ827" t="s" s="0">
        <v>12622</v>
      </c>
      <c r="AR827" t="s" s="0">
        <v>12623</v>
      </c>
      <c r="AS827" t="s" s="0">
        <v>12624</v>
      </c>
      <c r="AT827" t="s" s="0">
        <v>18051</v>
      </c>
      <c r="AU827" t="s" s="0">
        <v>81</v>
      </c>
      <c r="AV827" t="s" s="0">
        <v>81</v>
      </c>
      <c r="AW827" t="s" s="0">
        <v>18052</v>
      </c>
      <c r="AX827" t="s" s="0">
        <v>18053</v>
      </c>
      <c r="AY827" t="s" s="0">
        <v>1836</v>
      </c>
      <c r="AZ827" t="s" s="0">
        <v>103</v>
      </c>
      <c r="BA827" t="s" s="0">
        <v>261</v>
      </c>
      <c r="BB827" t="s" s="0">
        <v>196</v>
      </c>
      <c r="BC827" t="s" s="0">
        <v>81</v>
      </c>
      <c r="BD827" t="s" s="0">
        <v>81</v>
      </c>
      <c r="BE827" t="s" s="0">
        <v>81</v>
      </c>
      <c r="BF827" t="s" s="0">
        <v>81</v>
      </c>
      <c r="BG827" t="s" s="0">
        <v>81</v>
      </c>
      <c r="BH827" t="s" s="0">
        <v>81</v>
      </c>
      <c r="BI827" t="s" s="0">
        <v>18054</v>
      </c>
      <c r="BJ827" t="s" s="0">
        <v>18055</v>
      </c>
      <c r="BK827" t="s" s="1644">
        <f>HYPERLINK("http://dx.doi.org/10.1001/jamanetworkopen.2026.0815","http://dx.doi.org/10.1001/jamanetworkopen.2026.0815")</f>
        <v>18056</v>
      </c>
      <c r="BL827" t="s" s="0">
        <v>81</v>
      </c>
      <c r="BM827" t="s" s="0">
        <v>81</v>
      </c>
      <c r="BN827" t="s" s="0">
        <v>134</v>
      </c>
      <c r="BO827" t="s" s="0">
        <v>296</v>
      </c>
      <c r="BP827" t="s" s="0">
        <v>297</v>
      </c>
      <c r="BQ827" t="s" s="0">
        <v>18057</v>
      </c>
      <c r="BR827" t="s" s="0">
        <v>18058</v>
      </c>
      <c r="BS827" t="s" s="0">
        <v>18059</v>
      </c>
      <c r="BT827" t="s" s="1645">
        <f>HYPERLINK("https://www.webofscience.com/wos/woscc/full-record/WOS:001707983200001","View Record in Web of Science")</f>
        <v>114</v>
      </c>
      <c r="BU827" t="s" s="0">
        <v>301</v>
      </c>
      <c r="BV827" t="s" s="0">
        <v>81</v>
      </c>
      <c r="BW827" t="s" s="0">
        <v>81</v>
      </c>
      <c r="BX827" t="s" s="0">
        <v>116</v>
      </c>
    </row>
    <row r="828">
      <c r="A828" t="s" s="0">
        <v>77</v>
      </c>
      <c r="B828" t="s" s="0">
        <v>77</v>
      </c>
      <c r="C828" t="s" s="0">
        <v>175</v>
      </c>
      <c r="D828" t="s" s="0">
        <v>77</v>
      </c>
      <c r="E828" t="s" s="0">
        <v>18060</v>
      </c>
      <c r="F828" t="s" s="0">
        <v>18061</v>
      </c>
      <c r="G828" t="s" s="0">
        <v>18062</v>
      </c>
      <c r="H828" t="s" s="0">
        <v>81</v>
      </c>
      <c r="I828" t="s" s="0">
        <v>82</v>
      </c>
      <c r="J828" t="s" s="0">
        <v>18063</v>
      </c>
      <c r="K828" t="s" s="0">
        <v>18064</v>
      </c>
      <c r="L828" t="s" s="0">
        <v>18065</v>
      </c>
      <c r="M828" t="s" s="0">
        <v>18066</v>
      </c>
      <c r="N828" t="s" s="0">
        <v>18067</v>
      </c>
      <c r="O828" t="s" s="0">
        <v>18068</v>
      </c>
      <c r="P828" t="s" s="0">
        <v>18069</v>
      </c>
      <c r="Q828" t="s" s="0">
        <v>87</v>
      </c>
      <c r="R828" t="s" s="0">
        <v>81</v>
      </c>
      <c r="S828" t="s" s="0">
        <v>81</v>
      </c>
      <c r="T828" t="s" s="0">
        <v>81</v>
      </c>
      <c r="U828" t="s" s="0">
        <v>81</v>
      </c>
      <c r="V828" t="s" s="0">
        <v>18070</v>
      </c>
      <c r="W828" t="s" s="0">
        <v>3220</v>
      </c>
      <c r="X828" t="s" s="0">
        <v>81</v>
      </c>
      <c r="Y828" t="s" s="0">
        <v>81</v>
      </c>
      <c r="Z828" t="s" s="0">
        <v>90</v>
      </c>
      <c r="AA828" t="s" s="0">
        <v>91</v>
      </c>
      <c r="AB828" t="s" s="0">
        <v>81</v>
      </c>
      <c r="AC828" t="s" s="0">
        <v>81</v>
      </c>
      <c r="AD828" t="s" s="0">
        <v>81</v>
      </c>
      <c r="AE828" t="s" s="0">
        <v>81</v>
      </c>
      <c r="AF828" t="s" s="0">
        <v>81</v>
      </c>
      <c r="AG828" t="s" s="0">
        <v>18071</v>
      </c>
      <c r="AH828" t="s" s="0">
        <v>6584</v>
      </c>
      <c r="AI828" t="s" s="0">
        <v>18072</v>
      </c>
      <c r="AJ828" t="s" s="0">
        <v>18073</v>
      </c>
      <c r="AK828" t="s" s="0">
        <v>81</v>
      </c>
      <c r="AL828" t="s" s="0">
        <v>398</v>
      </c>
      <c r="AM828" t="s" s="0">
        <v>234</v>
      </c>
      <c r="AN828" t="s" s="0">
        <v>234</v>
      </c>
      <c r="AO828" t="s" s="0">
        <v>97</v>
      </c>
      <c r="AP828" t="s" s="0">
        <v>381</v>
      </c>
      <c r="AQ828" t="s" s="0">
        <v>1608</v>
      </c>
      <c r="AR828" t="s" s="0">
        <v>1609</v>
      </c>
      <c r="AS828" t="s" s="0">
        <v>1610</v>
      </c>
      <c r="AT828" t="s" s="0">
        <v>3225</v>
      </c>
      <c r="AU828" t="s" s="0">
        <v>3226</v>
      </c>
      <c r="AV828" t="s" s="0">
        <v>81</v>
      </c>
      <c r="AW828" t="s" s="0">
        <v>3227</v>
      </c>
      <c r="AX828" t="s" s="0">
        <v>3228</v>
      </c>
      <c r="AY828" t="s" s="0">
        <v>552</v>
      </c>
      <c r="AZ828" t="s" s="0">
        <v>290</v>
      </c>
      <c r="BA828" t="s" s="0">
        <v>17781</v>
      </c>
      <c r="BB828" t="s" s="0">
        <v>81</v>
      </c>
      <c r="BC828" t="s" s="0">
        <v>81</v>
      </c>
      <c r="BD828" t="s" s="0">
        <v>81</v>
      </c>
      <c r="BE828" t="s" s="0">
        <v>81</v>
      </c>
      <c r="BF828" t="s" s="0">
        <v>81</v>
      </c>
      <c r="BG828" t="s" s="0">
        <v>81</v>
      </c>
      <c r="BH828" t="s" s="0">
        <v>81</v>
      </c>
      <c r="BI828" t="s" s="0">
        <v>18074</v>
      </c>
      <c r="BJ828" t="s" s="0">
        <v>18075</v>
      </c>
      <c r="BK828" t="s" s="1646">
        <f>HYPERLINK("http://dx.doi.org/10.1016/j.cmpb.2025.108733","http://dx.doi.org/10.1016/j.cmpb.2025.108733")</f>
        <v>18076</v>
      </c>
      <c r="BL828" t="s" s="0">
        <v>81</v>
      </c>
      <c r="BM828" t="s" s="0">
        <v>1029</v>
      </c>
      <c r="BN828" t="s" s="0">
        <v>104</v>
      </c>
      <c r="BO828" t="s" s="0">
        <v>3234</v>
      </c>
      <c r="BP828" t="s" s="0">
        <v>3235</v>
      </c>
      <c r="BQ828" t="s" s="0">
        <v>18077</v>
      </c>
      <c r="BR828" t="s" s="0">
        <v>18078</v>
      </c>
      <c r="BS828" t="s" s="0">
        <v>18079</v>
      </c>
      <c r="BT828" t="s" s="1647">
        <f>HYPERLINK("https://www.webofscience.com/wos/woscc/full-record/WOS:001458089200001","View Record in Web of Science")</f>
        <v>114</v>
      </c>
      <c r="BU828" t="s" s="0">
        <v>155</v>
      </c>
      <c r="BV828" t="s" s="0">
        <v>81</v>
      </c>
      <c r="BW828" t="s" s="0">
        <v>81</v>
      </c>
      <c r="BX828" t="s" s="0">
        <v>116</v>
      </c>
    </row>
    <row r="829">
      <c r="A829" t="s" s="0">
        <v>77</v>
      </c>
      <c r="B829" t="s" s="0">
        <v>77</v>
      </c>
      <c r="C829" t="s" s="0">
        <v>77</v>
      </c>
      <c r="D829" t="s" s="0">
        <v>77</v>
      </c>
      <c r="E829" t="s" s="0">
        <v>18080</v>
      </c>
      <c r="F829" t="s" s="0">
        <v>18081</v>
      </c>
      <c r="G829" t="s" s="0">
        <v>18082</v>
      </c>
      <c r="H829" t="s" s="0">
        <v>81</v>
      </c>
      <c r="I829" t="s" s="0">
        <v>82</v>
      </c>
      <c r="J829" t="s" s="0">
        <v>18083</v>
      </c>
      <c r="K829" t="s" s="0">
        <v>18084</v>
      </c>
      <c r="L829" t="s" s="0">
        <v>81</v>
      </c>
      <c r="M829" t="s" s="0">
        <v>81</v>
      </c>
      <c r="N829" t="s" s="0">
        <v>81</v>
      </c>
      <c r="O829" t="s" s="0">
        <v>18085</v>
      </c>
      <c r="P829" t="s" s="0">
        <v>18086</v>
      </c>
      <c r="Q829" t="s" s="0">
        <v>87</v>
      </c>
      <c r="R829" t="s" s="0">
        <v>81</v>
      </c>
      <c r="S829" t="s" s="0">
        <v>81</v>
      </c>
      <c r="T829" t="s" s="0">
        <v>81</v>
      </c>
      <c r="U829" t="s" s="0">
        <v>81</v>
      </c>
      <c r="V829" t="s" s="0">
        <v>18087</v>
      </c>
      <c r="W829" t="s" s="0">
        <v>18088</v>
      </c>
      <c r="X829" t="s" s="0">
        <v>81</v>
      </c>
      <c r="Y829" t="s" s="0">
        <v>81</v>
      </c>
      <c r="Z829" t="s" s="0">
        <v>90</v>
      </c>
      <c r="AA829" t="s" s="0">
        <v>91</v>
      </c>
      <c r="AB829" t="s" s="0">
        <v>81</v>
      </c>
      <c r="AC829" t="s" s="0">
        <v>81</v>
      </c>
      <c r="AD829" t="s" s="0">
        <v>81</v>
      </c>
      <c r="AE829" t="s" s="0">
        <v>81</v>
      </c>
      <c r="AF829" t="s" s="0">
        <v>81</v>
      </c>
      <c r="AG829" t="s" s="0">
        <v>18089</v>
      </c>
      <c r="AH829" t="s" s="0">
        <v>18090</v>
      </c>
      <c r="AI829" t="s" s="0">
        <v>18091</v>
      </c>
      <c r="AJ829" t="s" s="0">
        <v>18092</v>
      </c>
      <c r="AK829" t="s" s="0">
        <v>81</v>
      </c>
      <c r="AL829" t="s" s="0">
        <v>109</v>
      </c>
      <c r="AM829" t="s" s="0">
        <v>97</v>
      </c>
      <c r="AN829" t="s" s="0">
        <v>97</v>
      </c>
      <c r="AO829" t="s" s="0">
        <v>196</v>
      </c>
      <c r="AP829" t="s" s="0">
        <v>196</v>
      </c>
      <c r="AQ829" t="s" s="0">
        <v>18093</v>
      </c>
      <c r="AR829" t="s" s="0">
        <v>18094</v>
      </c>
      <c r="AS829" t="s" s="0">
        <v>18095</v>
      </c>
      <c r="AT829" t="s" s="0">
        <v>18096</v>
      </c>
      <c r="AU829" t="s" s="0">
        <v>18097</v>
      </c>
      <c r="AV829" t="s" s="0">
        <v>81</v>
      </c>
      <c r="AW829" t="s" s="0">
        <v>18098</v>
      </c>
      <c r="AX829" t="s" s="0">
        <v>18099</v>
      </c>
      <c r="AY829" t="s" s="0">
        <v>143</v>
      </c>
      <c r="AZ829" t="s" s="0">
        <v>103</v>
      </c>
      <c r="BA829" t="s" s="0">
        <v>398</v>
      </c>
      <c r="BB829" t="s" s="0">
        <v>196</v>
      </c>
      <c r="BC829" t="s" s="0">
        <v>81</v>
      </c>
      <c r="BD829" t="s" s="0">
        <v>81</v>
      </c>
      <c r="BE829" t="s" s="0">
        <v>81</v>
      </c>
      <c r="BF829" t="s" s="0">
        <v>81</v>
      </c>
      <c r="BG829" t="s" s="0">
        <v>81</v>
      </c>
      <c r="BH829" t="s" s="0">
        <v>81</v>
      </c>
      <c r="BI829" t="s" s="0">
        <v>18100</v>
      </c>
      <c r="BJ829" t="s" s="0">
        <v>18101</v>
      </c>
      <c r="BK829" t="s" s="1648">
        <f>HYPERLINK("http://dx.doi.org/10.1016/j.jcms.2026.104449","http://dx.doi.org/10.1016/j.jcms.2026.104449")</f>
        <v>18102</v>
      </c>
      <c r="BL829" t="s" s="0">
        <v>81</v>
      </c>
      <c r="BM829" t="s" s="0">
        <v>1940</v>
      </c>
      <c r="BN829" t="s" s="0">
        <v>316</v>
      </c>
      <c r="BO829" t="s" s="0">
        <v>18103</v>
      </c>
      <c r="BP829" t="s" s="0">
        <v>18103</v>
      </c>
      <c r="BQ829" t="s" s="0">
        <v>18104</v>
      </c>
      <c r="BR829" t="s" s="0">
        <v>18105</v>
      </c>
      <c r="BS829" t="s" s="0">
        <v>18106</v>
      </c>
      <c r="BT829" t="s" s="1649">
        <f>HYPERLINK("https://www.webofscience.com/wos/woscc/full-record/WOS:001664547100001","View Record in Web of Science")</f>
        <v>114</v>
      </c>
      <c r="BU829" t="s" s="0">
        <v>81</v>
      </c>
      <c r="BV829" t="s" s="0">
        <v>81</v>
      </c>
      <c r="BW829" t="s" s="0">
        <v>81</v>
      </c>
      <c r="BX829" t="s" s="0">
        <v>116</v>
      </c>
    </row>
    <row r="830">
      <c r="A830" t="s" s="0">
        <v>97</v>
      </c>
      <c r="B830" t="s" s="0">
        <v>77</v>
      </c>
      <c r="C830" t="s" s="0">
        <v>156</v>
      </c>
      <c r="D830" t="s" s="0">
        <v>77</v>
      </c>
      <c r="E830" t="s" s="0">
        <v>18107</v>
      </c>
      <c r="F830" t="s" s="0">
        <v>18108</v>
      </c>
      <c r="G830" t="s" s="0">
        <v>18109</v>
      </c>
      <c r="H830" t="s" s="0">
        <v>81</v>
      </c>
      <c r="I830" t="s" s="0">
        <v>82</v>
      </c>
      <c r="J830" t="s" s="0">
        <v>18110</v>
      </c>
      <c r="K830" t="s" s="0">
        <v>18111</v>
      </c>
      <c r="L830" t="s" s="0">
        <v>81</v>
      </c>
      <c r="M830" t="s" s="0">
        <v>81</v>
      </c>
      <c r="N830" t="s" s="0">
        <v>81</v>
      </c>
      <c r="O830" t="s" s="0">
        <v>18112</v>
      </c>
      <c r="P830" t="s" s="0">
        <v>18113</v>
      </c>
      <c r="Q830" t="s" s="0">
        <v>87</v>
      </c>
      <c r="R830" t="s" s="0">
        <v>81</v>
      </c>
      <c r="S830" t="s" s="0">
        <v>81</v>
      </c>
      <c r="T830" t="s" s="0">
        <v>81</v>
      </c>
      <c r="U830" t="s" s="0">
        <v>81</v>
      </c>
      <c r="V830" t="s" s="0">
        <v>18114</v>
      </c>
      <c r="W830" t="s" s="0">
        <v>18115</v>
      </c>
      <c r="X830" t="s" s="0">
        <v>81</v>
      </c>
      <c r="Y830" t="s" s="0">
        <v>81</v>
      </c>
      <c r="Z830" t="s" s="0">
        <v>90</v>
      </c>
      <c r="AA830" t="s" s="0">
        <v>91</v>
      </c>
      <c r="AB830" t="s" s="0">
        <v>81</v>
      </c>
      <c r="AC830" t="s" s="0">
        <v>81</v>
      </c>
      <c r="AD830" t="s" s="0">
        <v>81</v>
      </c>
      <c r="AE830" t="s" s="0">
        <v>81</v>
      </c>
      <c r="AF830" t="s" s="0">
        <v>81</v>
      </c>
      <c r="AG830" t="s" s="0">
        <v>81</v>
      </c>
      <c r="AH830" t="s" s="0">
        <v>81</v>
      </c>
      <c r="AI830" t="s" s="0">
        <v>18116</v>
      </c>
      <c r="AJ830" t="s" s="0">
        <v>18117</v>
      </c>
      <c r="AK830" t="s" s="0">
        <v>81</v>
      </c>
      <c r="AL830" t="s" s="0">
        <v>485</v>
      </c>
      <c r="AM830" t="s" s="0">
        <v>925</v>
      </c>
      <c r="AN830" t="s" s="0">
        <v>925</v>
      </c>
      <c r="AO830" t="s" s="0">
        <v>77</v>
      </c>
      <c r="AP830" t="s" s="0">
        <v>381</v>
      </c>
      <c r="AQ830" t="s" s="0">
        <v>428</v>
      </c>
      <c r="AR830" t="s" s="0">
        <v>429</v>
      </c>
      <c r="AS830" t="s" s="0">
        <v>430</v>
      </c>
      <c r="AT830" t="s" s="0">
        <v>18118</v>
      </c>
      <c r="AU830" t="s" s="0">
        <v>18119</v>
      </c>
      <c r="AV830" t="s" s="0">
        <v>81</v>
      </c>
      <c r="AW830" t="s" s="0">
        <v>18120</v>
      </c>
      <c r="AX830" t="s" s="0">
        <v>18121</v>
      </c>
      <c r="AY830" t="s" s="0">
        <v>18122</v>
      </c>
      <c r="AZ830" t="s" s="0">
        <v>185</v>
      </c>
      <c r="BA830" t="s" s="0">
        <v>756</v>
      </c>
      <c r="BB830" t="s" s="0">
        <v>196</v>
      </c>
      <c r="BC830" t="s" s="0">
        <v>81</v>
      </c>
      <c r="BD830" t="s" s="0">
        <v>81</v>
      </c>
      <c r="BE830" t="s" s="0">
        <v>81</v>
      </c>
      <c r="BF830" t="s" s="0">
        <v>81</v>
      </c>
      <c r="BG830" t="s" s="0">
        <v>18123</v>
      </c>
      <c r="BH830" t="s" s="0">
        <v>292</v>
      </c>
      <c r="BI830" t="s" s="0">
        <v>81</v>
      </c>
      <c r="BJ830" t="s" s="0">
        <v>18124</v>
      </c>
      <c r="BK830" t="s" s="1650">
        <f>HYPERLINK("http://dx.doi.org/10.1016/j.clindermatol.2024.02.003","http://dx.doi.org/10.1016/j.clindermatol.2024.02.003")</f>
        <v>18125</v>
      </c>
      <c r="BL830" t="s" s="0">
        <v>81</v>
      </c>
      <c r="BM830" t="s" s="0">
        <v>184</v>
      </c>
      <c r="BN830" t="s" s="0">
        <v>175</v>
      </c>
      <c r="BO830" t="s" s="0">
        <v>17843</v>
      </c>
      <c r="BP830" t="s" s="0">
        <v>17843</v>
      </c>
      <c r="BQ830" t="s" s="0">
        <v>18126</v>
      </c>
      <c r="BR830" t="s" s="0">
        <v>18127</v>
      </c>
      <c r="BS830" t="s" s="0">
        <v>18128</v>
      </c>
      <c r="BT830" t="s" s="1651">
        <f>HYPERLINK("https://www.webofscience.com/wos/woscc/full-record/WOS:001252199400001","View Record in Web of Science")</f>
        <v>114</v>
      </c>
      <c r="BU830" t="s" s="0">
        <v>81</v>
      </c>
      <c r="BV830" t="s" s="0">
        <v>81</v>
      </c>
      <c r="BW830" t="s" s="0">
        <v>81</v>
      </c>
      <c r="BX830" t="s" s="0">
        <v>116</v>
      </c>
    </row>
    <row r="831">
      <c r="A831" t="s" s="0">
        <v>97</v>
      </c>
      <c r="B831" t="s" s="0">
        <v>77</v>
      </c>
      <c r="C831" t="s" s="0">
        <v>97</v>
      </c>
      <c r="D831" t="s" s="0">
        <v>77</v>
      </c>
      <c r="E831" t="s" s="0">
        <v>18129</v>
      </c>
      <c r="F831" t="s" s="0">
        <v>18130</v>
      </c>
      <c r="G831" t="s" s="0">
        <v>18131</v>
      </c>
      <c r="H831" t="s" s="0">
        <v>81</v>
      </c>
      <c r="I831" t="s" s="0">
        <v>82</v>
      </c>
      <c r="J831" t="s" s="0">
        <v>18132</v>
      </c>
      <c r="K831" t="s" s="0">
        <v>18133</v>
      </c>
      <c r="L831" t="s" s="0">
        <v>18134</v>
      </c>
      <c r="M831" t="s" s="0">
        <v>18134</v>
      </c>
      <c r="N831" t="s" s="0">
        <v>18135</v>
      </c>
      <c r="O831" t="s" s="0">
        <v>18136</v>
      </c>
      <c r="P831" t="s" s="0">
        <v>18137</v>
      </c>
      <c r="Q831" t="s" s="0">
        <v>87</v>
      </c>
      <c r="R831" t="s" s="0">
        <v>81</v>
      </c>
      <c r="S831" t="s" s="0">
        <v>81</v>
      </c>
      <c r="T831" t="s" s="0">
        <v>81</v>
      </c>
      <c r="U831" t="s" s="0">
        <v>81</v>
      </c>
      <c r="V831" t="s" s="0">
        <v>18138</v>
      </c>
      <c r="W831" t="s" s="0">
        <v>18139</v>
      </c>
      <c r="X831" t="s" s="0">
        <v>81</v>
      </c>
      <c r="Y831" t="s" s="0">
        <v>81</v>
      </c>
      <c r="Z831" t="s" s="0">
        <v>90</v>
      </c>
      <c r="AA831" t="s" s="0">
        <v>91</v>
      </c>
      <c r="AB831" t="s" s="0">
        <v>81</v>
      </c>
      <c r="AC831" t="s" s="0">
        <v>81</v>
      </c>
      <c r="AD831" t="s" s="0">
        <v>81</v>
      </c>
      <c r="AE831" t="s" s="0">
        <v>81</v>
      </c>
      <c r="AF831" t="s" s="0">
        <v>81</v>
      </c>
      <c r="AG831" t="s" s="0">
        <v>18140</v>
      </c>
      <c r="AH831" t="s" s="0">
        <v>18141</v>
      </c>
      <c r="AI831" t="s" s="0">
        <v>81</v>
      </c>
      <c r="AJ831" t="s" s="0">
        <v>18142</v>
      </c>
      <c r="AK831" t="s" s="0">
        <v>81</v>
      </c>
      <c r="AL831" t="s" s="0">
        <v>4754</v>
      </c>
      <c r="AM831" t="s" s="0">
        <v>175</v>
      </c>
      <c r="AN831" t="s" s="0">
        <v>133</v>
      </c>
      <c r="AO831" t="s" s="0">
        <v>77</v>
      </c>
      <c r="AP831" t="s" s="0">
        <v>196</v>
      </c>
      <c r="AQ831" t="s" s="0">
        <v>2416</v>
      </c>
      <c r="AR831" t="s" s="0">
        <v>604</v>
      </c>
      <c r="AS831" t="s" s="0">
        <v>2417</v>
      </c>
      <c r="AT831" t="s" s="0">
        <v>18143</v>
      </c>
      <c r="AU831" t="s" s="0">
        <v>18144</v>
      </c>
      <c r="AV831" t="s" s="0">
        <v>81</v>
      </c>
      <c r="AW831" t="s" s="0">
        <v>18139</v>
      </c>
      <c r="AX831" t="s" s="0">
        <v>18145</v>
      </c>
      <c r="AY831" t="s" s="0">
        <v>1869</v>
      </c>
      <c r="AZ831" t="s" s="0">
        <v>290</v>
      </c>
      <c r="BA831" t="s" s="0">
        <v>9127</v>
      </c>
      <c r="BB831" t="s" s="0">
        <v>196</v>
      </c>
      <c r="BC831" t="s" s="0">
        <v>81</v>
      </c>
      <c r="BD831" t="s" s="0">
        <v>81</v>
      </c>
      <c r="BE831" t="s" s="0">
        <v>81</v>
      </c>
      <c r="BF831" t="s" s="0">
        <v>81</v>
      </c>
      <c r="BG831" t="s" s="0">
        <v>18146</v>
      </c>
      <c r="BH831" t="s" s="0">
        <v>18147</v>
      </c>
      <c r="BI831" t="s" s="0">
        <v>81</v>
      </c>
      <c r="BJ831" t="s" s="0">
        <v>18148</v>
      </c>
      <c r="BK831" t="s" s="1652">
        <f>HYPERLINK("http://dx.doi.org/10.1053/j.gastro.2025.05.007","http://dx.doi.org/10.1053/j.gastro.2025.05.007")</f>
        <v>18149</v>
      </c>
      <c r="BL831" t="s" s="0">
        <v>81</v>
      </c>
      <c r="BM831" t="s" s="0">
        <v>1869</v>
      </c>
      <c r="BN831" t="s" s="0">
        <v>104</v>
      </c>
      <c r="BO831" t="s" s="0">
        <v>1519</v>
      </c>
      <c r="BP831" t="s" s="0">
        <v>1519</v>
      </c>
      <c r="BQ831" t="s" s="0">
        <v>18150</v>
      </c>
      <c r="BR831" t="s" s="0">
        <v>18151</v>
      </c>
      <c r="BS831" t="s" s="0">
        <v>18152</v>
      </c>
      <c r="BT831" t="s" s="1653">
        <f>HYPERLINK("https://www.webofscience.com/wos/woscc/full-record/WOS:001554463900001","View Record in Web of Science")</f>
        <v>114</v>
      </c>
      <c r="BU831" t="s" s="0">
        <v>1055</v>
      </c>
      <c r="BV831" t="s" s="0">
        <v>81</v>
      </c>
      <c r="BW831" t="s" s="0">
        <v>81</v>
      </c>
      <c r="BX831" t="s" s="0">
        <v>116</v>
      </c>
    </row>
    <row r="832">
      <c r="A832" t="s" s="0">
        <v>77</v>
      </c>
      <c r="B832" t="s" s="0">
        <v>77</v>
      </c>
      <c r="C832" t="s" s="0">
        <v>77</v>
      </c>
      <c r="D832" t="s" s="0">
        <v>77</v>
      </c>
      <c r="E832" t="s" s="0">
        <v>18153</v>
      </c>
      <c r="F832" t="s" s="0">
        <v>18154</v>
      </c>
      <c r="G832" t="s" s="0">
        <v>18155</v>
      </c>
      <c r="H832" t="s" s="0">
        <v>81</v>
      </c>
      <c r="I832" t="s" s="0">
        <v>82</v>
      </c>
      <c r="J832" t="s" s="0">
        <v>18156</v>
      </c>
      <c r="K832" t="s" s="0">
        <v>18157</v>
      </c>
      <c r="L832" t="s" s="0">
        <v>81</v>
      </c>
      <c r="M832" t="s" s="0">
        <v>81</v>
      </c>
      <c r="N832" t="s" s="0">
        <v>81</v>
      </c>
      <c r="O832" t="s" s="0">
        <v>18158</v>
      </c>
      <c r="P832" t="s" s="0">
        <v>18159</v>
      </c>
      <c r="Q832" t="s" s="0">
        <v>87</v>
      </c>
      <c r="R832" t="s" s="0">
        <v>81</v>
      </c>
      <c r="S832" t="s" s="0">
        <v>81</v>
      </c>
      <c r="T832" t="s" s="0">
        <v>81</v>
      </c>
      <c r="U832" t="s" s="0">
        <v>81</v>
      </c>
      <c r="V832" t="s" s="0">
        <v>18160</v>
      </c>
      <c r="W832" t="s" s="0">
        <v>18161</v>
      </c>
      <c r="X832" t="s" s="0">
        <v>81</v>
      </c>
      <c r="Y832" t="s" s="0">
        <v>81</v>
      </c>
      <c r="Z832" t="s" s="0">
        <v>90</v>
      </c>
      <c r="AA832" t="s" s="0">
        <v>91</v>
      </c>
      <c r="AB832" t="s" s="0">
        <v>81</v>
      </c>
      <c r="AC832" t="s" s="0">
        <v>81</v>
      </c>
      <c r="AD832" t="s" s="0">
        <v>81</v>
      </c>
      <c r="AE832" t="s" s="0">
        <v>81</v>
      </c>
      <c r="AF832" t="s" s="0">
        <v>81</v>
      </c>
      <c r="AG832" t="s" s="0">
        <v>18162</v>
      </c>
      <c r="AH832" t="s" s="0">
        <v>18163</v>
      </c>
      <c r="AI832" t="s" s="0">
        <v>18164</v>
      </c>
      <c r="AJ832" t="s" s="0">
        <v>18165</v>
      </c>
      <c r="AK832" t="s" s="0">
        <v>81</v>
      </c>
      <c r="AL832" t="s" s="0">
        <v>1607</v>
      </c>
      <c r="AM832" t="s" s="0">
        <v>77</v>
      </c>
      <c r="AN832" t="s" s="0">
        <v>77</v>
      </c>
      <c r="AO832" t="s" s="0">
        <v>77</v>
      </c>
      <c r="AP832" t="s" s="0">
        <v>77</v>
      </c>
      <c r="AQ832" t="s" s="0">
        <v>18166</v>
      </c>
      <c r="AR832" t="s" s="0">
        <v>18167</v>
      </c>
      <c r="AS832" t="s" s="0">
        <v>18168</v>
      </c>
      <c r="AT832" t="s" s="0">
        <v>18169</v>
      </c>
      <c r="AU832" t="s" s="0">
        <v>81</v>
      </c>
      <c r="AV832" t="s" s="0">
        <v>81</v>
      </c>
      <c r="AW832" t="s" s="0">
        <v>18170</v>
      </c>
      <c r="AX832" t="s" s="0">
        <v>18171</v>
      </c>
      <c r="AY832" t="s" s="0">
        <v>948</v>
      </c>
      <c r="AZ832" t="s" s="0">
        <v>103</v>
      </c>
      <c r="BA832" t="s" s="0">
        <v>925</v>
      </c>
      <c r="BB832" t="s" s="0">
        <v>156</v>
      </c>
      <c r="BC832" t="s" s="0">
        <v>81</v>
      </c>
      <c r="BD832" t="s" s="0">
        <v>81</v>
      </c>
      <c r="BE832" t="s" s="0">
        <v>81</v>
      </c>
      <c r="BF832" t="s" s="0">
        <v>81</v>
      </c>
      <c r="BG832" t="s" s="0">
        <v>81</v>
      </c>
      <c r="BH832" t="s" s="0">
        <v>81</v>
      </c>
      <c r="BI832" t="s" s="0">
        <v>18172</v>
      </c>
      <c r="BJ832" t="s" s="0">
        <v>18173</v>
      </c>
      <c r="BK832" t="s" s="1654">
        <f>HYPERLINK("http://dx.doi.org/10.5826/dpc.1602a6758","http://dx.doi.org/10.5826/dpc.1602a6758")</f>
        <v>18174</v>
      </c>
      <c r="BL832" t="s" s="0">
        <v>81</v>
      </c>
      <c r="BM832" t="s" s="0">
        <v>81</v>
      </c>
      <c r="BN832" t="s" s="0">
        <v>191</v>
      </c>
      <c r="BO832" t="s" s="0">
        <v>17843</v>
      </c>
      <c r="BP832" t="s" s="0">
        <v>17843</v>
      </c>
      <c r="BQ832" t="s" s="0">
        <v>18175</v>
      </c>
      <c r="BR832" t="s" s="0">
        <v>18176</v>
      </c>
      <c r="BS832" t="s" s="0">
        <v>18177</v>
      </c>
      <c r="BT832" t="s" s="1655">
        <f>HYPERLINK("https://www.webofscience.com/wos/woscc/full-record/WOS:001775767300016","View Record in Web of Science")</f>
        <v>114</v>
      </c>
      <c r="BU832" t="s" s="0">
        <v>301</v>
      </c>
      <c r="BV832" t="s" s="0">
        <v>81</v>
      </c>
      <c r="BW832" t="s" s="0">
        <v>81</v>
      </c>
      <c r="BX832" t="s" s="0">
        <v>116</v>
      </c>
    </row>
    <row r="833">
      <c r="A833" t="s" s="0">
        <v>77</v>
      </c>
      <c r="B833" t="s" s="0">
        <v>77</v>
      </c>
      <c r="C833" t="s" s="0">
        <v>316</v>
      </c>
      <c r="D833" t="s" s="0">
        <v>77</v>
      </c>
      <c r="E833" t="s" s="0">
        <v>18178</v>
      </c>
      <c r="F833" t="s" s="0">
        <v>18179</v>
      </c>
      <c r="G833" t="s" s="0">
        <v>18180</v>
      </c>
      <c r="H833" t="s" s="0">
        <v>81</v>
      </c>
      <c r="I833" t="s" s="0">
        <v>528</v>
      </c>
      <c r="J833" t="s" s="0">
        <v>18181</v>
      </c>
      <c r="K833" t="s" s="0">
        <v>18182</v>
      </c>
      <c r="L833" t="s" s="0">
        <v>18183</v>
      </c>
      <c r="M833" t="s" s="0">
        <v>18184</v>
      </c>
      <c r="N833" t="s" s="0">
        <v>18185</v>
      </c>
      <c r="O833" t="s" s="0">
        <v>18186</v>
      </c>
      <c r="P833" t="s" s="0">
        <v>18187</v>
      </c>
      <c r="Q833" t="s" s="0">
        <v>87</v>
      </c>
      <c r="R833" t="s" s="0">
        <v>81</v>
      </c>
      <c r="S833" t="s" s="0">
        <v>81</v>
      </c>
      <c r="T833" t="s" s="0">
        <v>81</v>
      </c>
      <c r="U833" t="s" s="0">
        <v>81</v>
      </c>
      <c r="V833" t="s" s="0">
        <v>18188</v>
      </c>
      <c r="W833" t="s" s="0">
        <v>1650</v>
      </c>
      <c r="X833" t="s" s="0">
        <v>81</v>
      </c>
      <c r="Y833" t="s" s="0">
        <v>81</v>
      </c>
      <c r="Z833" t="s" s="0">
        <v>90</v>
      </c>
      <c r="AA833" t="s" s="0">
        <v>91</v>
      </c>
      <c r="AB833" t="s" s="0">
        <v>81</v>
      </c>
      <c r="AC833" t="s" s="0">
        <v>81</v>
      </c>
      <c r="AD833" t="s" s="0">
        <v>81</v>
      </c>
      <c r="AE833" t="s" s="0">
        <v>81</v>
      </c>
      <c r="AF833" t="s" s="0">
        <v>81</v>
      </c>
      <c r="AG833" t="s" s="0">
        <v>18189</v>
      </c>
      <c r="AH833" t="s" s="0">
        <v>18190</v>
      </c>
      <c r="AI833" t="s" s="0">
        <v>18191</v>
      </c>
      <c r="AJ833" t="s" s="0">
        <v>18192</v>
      </c>
      <c r="AK833" t="s" s="0">
        <v>81</v>
      </c>
      <c r="AL833" t="s" s="0">
        <v>543</v>
      </c>
      <c r="AM833" t="s" s="0">
        <v>367</v>
      </c>
      <c r="AN833" t="s" s="0">
        <v>874</v>
      </c>
      <c r="AO833" t="s" s="0">
        <v>104</v>
      </c>
      <c r="AP833" t="s" s="0">
        <v>109</v>
      </c>
      <c r="AQ833" t="s" s="0">
        <v>1654</v>
      </c>
      <c r="AR833" t="s" s="0">
        <v>1345</v>
      </c>
      <c r="AS833" t="s" s="0">
        <v>1655</v>
      </c>
      <c r="AT833" t="s" s="0">
        <v>1656</v>
      </c>
      <c r="AU833" t="s" s="0">
        <v>81</v>
      </c>
      <c r="AV833" t="s" s="0">
        <v>81</v>
      </c>
      <c r="AW833" t="s" s="0">
        <v>1657</v>
      </c>
      <c r="AX833" t="s" s="0">
        <v>1658</v>
      </c>
      <c r="AY833" t="s" s="0">
        <v>18193</v>
      </c>
      <c r="AZ833" t="s" s="0">
        <v>290</v>
      </c>
      <c r="BA833" t="s" s="0">
        <v>134</v>
      </c>
      <c r="BB833" t="s" s="0">
        <v>156</v>
      </c>
      <c r="BC833" t="s" s="0">
        <v>81</v>
      </c>
      <c r="BD833" t="s" s="0">
        <v>81</v>
      </c>
      <c r="BE833" t="s" s="0">
        <v>81</v>
      </c>
      <c r="BF833" t="s" s="0">
        <v>81</v>
      </c>
      <c r="BG833" t="s" s="0">
        <v>81</v>
      </c>
      <c r="BH833" t="s" s="0">
        <v>81</v>
      </c>
      <c r="BI833" t="s" s="0">
        <v>18194</v>
      </c>
      <c r="BJ833" t="s" s="0">
        <v>18195</v>
      </c>
      <c r="BK833" t="s" s="1656">
        <f>HYPERLINK("http://dx.doi.org/10.1093/jlb/lsaf028","http://dx.doi.org/10.1093/jlb/lsaf028")</f>
        <v>18196</v>
      </c>
      <c r="BL833" t="s" s="0">
        <v>81</v>
      </c>
      <c r="BM833" t="s" s="0">
        <v>81</v>
      </c>
      <c r="BN833" t="s" s="0">
        <v>104</v>
      </c>
      <c r="BO833" t="s" s="0">
        <v>1663</v>
      </c>
      <c r="BP833" t="s" s="0">
        <v>1664</v>
      </c>
      <c r="BQ833" t="s" s="0">
        <v>18197</v>
      </c>
      <c r="BR833" t="s" s="0">
        <v>18198</v>
      </c>
      <c r="BS833" t="s" s="0">
        <v>18199</v>
      </c>
      <c r="BT833" t="s" s="1657">
        <f>HYPERLINK("https://www.webofscience.com/wos/woscc/full-record/WOS:001611511900001","View Record in Web of Science")</f>
        <v>114</v>
      </c>
      <c r="BU833" t="s" s="0">
        <v>301</v>
      </c>
      <c r="BV833" t="s" s="0">
        <v>81</v>
      </c>
      <c r="BW833" t="s" s="0">
        <v>81</v>
      </c>
      <c r="BX833" t="s" s="0">
        <v>116</v>
      </c>
    </row>
    <row r="834">
      <c r="A834" t="s" s="0">
        <v>77</v>
      </c>
      <c r="B834" t="s" s="0">
        <v>77</v>
      </c>
      <c r="C834" t="s" s="0">
        <v>77</v>
      </c>
      <c r="D834" t="s" s="0">
        <v>77</v>
      </c>
      <c r="E834" t="s" s="0">
        <v>18200</v>
      </c>
      <c r="F834" t="s" s="0">
        <v>18201</v>
      </c>
      <c r="G834" t="s" s="0">
        <v>18202</v>
      </c>
      <c r="H834" t="s" s="0">
        <v>81</v>
      </c>
      <c r="I834" t="s" s="0">
        <v>82</v>
      </c>
      <c r="J834" t="s" s="0">
        <v>18203</v>
      </c>
      <c r="K834" t="s" s="0">
        <v>18204</v>
      </c>
      <c r="L834" t="s" s="0">
        <v>18205</v>
      </c>
      <c r="M834" t="s" s="0">
        <v>18206</v>
      </c>
      <c r="N834" t="s" s="0">
        <v>18207</v>
      </c>
      <c r="O834" t="s" s="0">
        <v>18208</v>
      </c>
      <c r="P834" t="s" s="0">
        <v>18209</v>
      </c>
      <c r="Q834" t="s" s="0">
        <v>87</v>
      </c>
      <c r="R834" t="s" s="0">
        <v>81</v>
      </c>
      <c r="S834" t="s" s="0">
        <v>81</v>
      </c>
      <c r="T834" t="s" s="0">
        <v>81</v>
      </c>
      <c r="U834" t="s" s="0">
        <v>81</v>
      </c>
      <c r="V834" t="s" s="0">
        <v>18210</v>
      </c>
      <c r="W834" t="s" s="0">
        <v>10945</v>
      </c>
      <c r="X834" t="s" s="0">
        <v>81</v>
      </c>
      <c r="Y834" t="s" s="0">
        <v>81</v>
      </c>
      <c r="Z834" t="s" s="0">
        <v>90</v>
      </c>
      <c r="AA834" t="s" s="0">
        <v>1581</v>
      </c>
      <c r="AB834" t="s" s="0">
        <v>81</v>
      </c>
      <c r="AC834" t="s" s="0">
        <v>81</v>
      </c>
      <c r="AD834" t="s" s="0">
        <v>81</v>
      </c>
      <c r="AE834" t="s" s="0">
        <v>81</v>
      </c>
      <c r="AF834" t="s" s="0">
        <v>81</v>
      </c>
      <c r="AG834" t="s" s="0">
        <v>18211</v>
      </c>
      <c r="AH834" t="s" s="0">
        <v>18212</v>
      </c>
      <c r="AI834" t="s" s="0">
        <v>18213</v>
      </c>
      <c r="AJ834" t="s" s="0">
        <v>81</v>
      </c>
      <c r="AK834" t="s" s="0">
        <v>81</v>
      </c>
      <c r="AL834" t="s" s="0">
        <v>174</v>
      </c>
      <c r="AM834" t="s" s="0">
        <v>77</v>
      </c>
      <c r="AN834" t="s" s="0">
        <v>77</v>
      </c>
      <c r="AO834" t="s" s="0">
        <v>97</v>
      </c>
      <c r="AP834" t="s" s="0">
        <v>97</v>
      </c>
      <c r="AQ834" t="s" s="0">
        <v>212</v>
      </c>
      <c r="AR834" t="s" s="0">
        <v>429</v>
      </c>
      <c r="AS834" t="s" s="0">
        <v>784</v>
      </c>
      <c r="AT834" t="s" s="0">
        <v>10949</v>
      </c>
      <c r="AU834" t="s" s="0">
        <v>10950</v>
      </c>
      <c r="AV834" t="s" s="0">
        <v>81</v>
      </c>
      <c r="AW834" t="s" s="0">
        <v>10951</v>
      </c>
      <c r="AX834" t="s" s="0">
        <v>10952</v>
      </c>
      <c r="AY834" t="s" s="0">
        <v>81</v>
      </c>
      <c r="AZ834" t="s" s="0">
        <v>103</v>
      </c>
      <c r="BA834" t="s" s="0">
        <v>81</v>
      </c>
      <c r="BB834" t="s" s="0">
        <v>81</v>
      </c>
      <c r="BC834" t="s" s="0">
        <v>81</v>
      </c>
      <c r="BD834" t="s" s="0">
        <v>81</v>
      </c>
      <c r="BE834" t="s" s="0">
        <v>81</v>
      </c>
      <c r="BF834" t="s" s="0">
        <v>81</v>
      </c>
      <c r="BG834" t="s" s="0">
        <v>81</v>
      </c>
      <c r="BH834" t="s" s="0">
        <v>81</v>
      </c>
      <c r="BI834" t="s" s="0">
        <v>81</v>
      </c>
      <c r="BJ834" t="s" s="0">
        <v>18214</v>
      </c>
      <c r="BK834" t="s" s="1658">
        <f>HYPERLINK("http://dx.doi.org/10.1007/s00428-026-04527-w","http://dx.doi.org/10.1007/s00428-026-04527-w")</f>
        <v>18215</v>
      </c>
      <c r="BL834" t="s" s="0">
        <v>81</v>
      </c>
      <c r="BM834" t="s" s="0">
        <v>675</v>
      </c>
      <c r="BN834" t="s" s="0">
        <v>291</v>
      </c>
      <c r="BO834" t="s" s="0">
        <v>10955</v>
      </c>
      <c r="BP834" t="s" s="0">
        <v>10955</v>
      </c>
      <c r="BQ834" t="s" s="0">
        <v>18216</v>
      </c>
      <c r="BR834" t="s" s="0">
        <v>18217</v>
      </c>
      <c r="BS834" t="s" s="0">
        <v>18218</v>
      </c>
      <c r="BT834" t="s" s="1659">
        <f>HYPERLINK("https://www.webofscience.com/wos/woscc/full-record/WOS:001754117000001","View Record in Web of Science")</f>
        <v>114</v>
      </c>
      <c r="BU834" t="s" s="0">
        <v>11347</v>
      </c>
      <c r="BV834" t="s" s="0">
        <v>81</v>
      </c>
      <c r="BW834" t="s" s="0">
        <v>81</v>
      </c>
      <c r="BX834" t="s" s="0">
        <v>116</v>
      </c>
    </row>
    <row r="835">
      <c r="A835" t="s" s="0">
        <v>77</v>
      </c>
      <c r="B835" t="s" s="0">
        <v>77</v>
      </c>
      <c r="C835" t="s" s="0">
        <v>77</v>
      </c>
      <c r="D835" t="s" s="0">
        <v>77</v>
      </c>
      <c r="E835" t="s" s="0">
        <v>18219</v>
      </c>
      <c r="F835" t="s" s="0">
        <v>18220</v>
      </c>
      <c r="G835" t="s" s="0">
        <v>18221</v>
      </c>
      <c r="H835" t="s" s="0">
        <v>81</v>
      </c>
      <c r="I835" t="s" s="0">
        <v>82</v>
      </c>
      <c r="J835" t="s" s="0">
        <v>18222</v>
      </c>
      <c r="K835" t="s" s="0">
        <v>18223</v>
      </c>
      <c r="L835" t="s" s="0">
        <v>81</v>
      </c>
      <c r="M835" t="s" s="0">
        <v>81</v>
      </c>
      <c r="N835" t="s" s="0">
        <v>81</v>
      </c>
      <c r="O835" t="s" s="0">
        <v>18224</v>
      </c>
      <c r="P835" t="s" s="0">
        <v>18225</v>
      </c>
      <c r="Q835" t="s" s="0">
        <v>87</v>
      </c>
      <c r="R835" t="s" s="0">
        <v>81</v>
      </c>
      <c r="S835" t="s" s="0">
        <v>81</v>
      </c>
      <c r="T835" t="s" s="0">
        <v>81</v>
      </c>
      <c r="U835" t="s" s="0">
        <v>81</v>
      </c>
      <c r="V835" t="s" s="0">
        <v>18226</v>
      </c>
      <c r="W835" t="s" s="0">
        <v>89</v>
      </c>
      <c r="X835" t="s" s="0">
        <v>81</v>
      </c>
      <c r="Y835" t="s" s="0">
        <v>81</v>
      </c>
      <c r="Z835" t="s" s="0">
        <v>90</v>
      </c>
      <c r="AA835" t="s" s="0">
        <v>91</v>
      </c>
      <c r="AB835" t="s" s="0">
        <v>81</v>
      </c>
      <c r="AC835" t="s" s="0">
        <v>81</v>
      </c>
      <c r="AD835" t="s" s="0">
        <v>81</v>
      </c>
      <c r="AE835" t="s" s="0">
        <v>81</v>
      </c>
      <c r="AF835" t="s" s="0">
        <v>81</v>
      </c>
      <c r="AG835" t="s" s="0">
        <v>18227</v>
      </c>
      <c r="AH835" t="s" s="0">
        <v>4100</v>
      </c>
      <c r="AI835" t="s" s="0">
        <v>18228</v>
      </c>
      <c r="AJ835" t="s" s="0">
        <v>81</v>
      </c>
      <c r="AK835" t="s" s="0">
        <v>81</v>
      </c>
      <c r="AL835" t="s" s="0">
        <v>2447</v>
      </c>
      <c r="AM835" t="s" s="0">
        <v>77</v>
      </c>
      <c r="AN835" t="s" s="0">
        <v>77</v>
      </c>
      <c r="AO835" t="s" s="0">
        <v>156</v>
      </c>
      <c r="AP835" t="s" s="0">
        <v>156</v>
      </c>
      <c r="AQ835" t="s" s="0">
        <v>98</v>
      </c>
      <c r="AR835" t="s" s="0">
        <v>99</v>
      </c>
      <c r="AS835" t="s" s="0">
        <v>100</v>
      </c>
      <c r="AT835" t="s" s="0">
        <v>101</v>
      </c>
      <c r="AU835" t="s" s="0">
        <v>81</v>
      </c>
      <c r="AV835" t="s" s="0">
        <v>81</v>
      </c>
      <c r="AW835" t="s" s="0">
        <v>89</v>
      </c>
      <c r="AX835" t="s" s="0">
        <v>102</v>
      </c>
      <c r="AY835" t="s" s="0">
        <v>103</v>
      </c>
      <c r="AZ835" t="s" s="0">
        <v>103</v>
      </c>
      <c r="BA835" t="s" s="0">
        <v>104</v>
      </c>
      <c r="BB835" t="s" s="0">
        <v>81</v>
      </c>
      <c r="BC835" t="s" s="0">
        <v>81</v>
      </c>
      <c r="BD835" t="s" s="0">
        <v>81</v>
      </c>
      <c r="BE835" t="s" s="0">
        <v>81</v>
      </c>
      <c r="BF835" t="s" s="0">
        <v>81</v>
      </c>
      <c r="BG835" t="s" s="0">
        <v>18229</v>
      </c>
      <c r="BH835" t="s" s="0">
        <v>18230</v>
      </c>
      <c r="BI835" t="s" s="0">
        <v>81</v>
      </c>
      <c r="BJ835" t="s" s="0">
        <v>18231</v>
      </c>
      <c r="BK835" t="s" s="1660">
        <f>HYPERLINK("http://dx.doi.org/10.1109/ACCESS.2026.3668034","http://dx.doi.org/10.1109/ACCESS.2026.3668034")</f>
        <v>18232</v>
      </c>
      <c r="BL835" t="s" s="0">
        <v>81</v>
      </c>
      <c r="BM835" t="s" s="0">
        <v>81</v>
      </c>
      <c r="BN835" t="s" s="0">
        <v>486</v>
      </c>
      <c r="BO835" t="s" s="0">
        <v>110</v>
      </c>
      <c r="BP835" t="s" s="0">
        <v>111</v>
      </c>
      <c r="BQ835" t="s" s="0">
        <v>18233</v>
      </c>
      <c r="BR835" t="s" s="0">
        <v>81</v>
      </c>
      <c r="BS835" t="s" s="0">
        <v>18234</v>
      </c>
      <c r="BT835" t="s" s="1661">
        <f>HYPERLINK("https://www.webofscience.com/wos/woscc/full-record/WOS:001706400800020","View Record in Web of Science")</f>
        <v>114</v>
      </c>
      <c r="BU835" t="s" s="0">
        <v>301</v>
      </c>
      <c r="BV835" t="s" s="0">
        <v>81</v>
      </c>
      <c r="BW835" t="s" s="0">
        <v>81</v>
      </c>
      <c r="BX835" t="s" s="0">
        <v>116</v>
      </c>
    </row>
    <row r="836">
      <c r="A836" t="s" s="0">
        <v>77</v>
      </c>
      <c r="B836" t="s" s="0">
        <v>77</v>
      </c>
      <c r="C836" t="s" s="0">
        <v>77</v>
      </c>
      <c r="D836" t="s" s="0">
        <v>77</v>
      </c>
      <c r="E836" t="s" s="0">
        <v>18235</v>
      </c>
      <c r="F836" t="s" s="0">
        <v>18236</v>
      </c>
      <c r="G836" t="s" s="0">
        <v>18237</v>
      </c>
      <c r="H836" t="s" s="0">
        <v>81</v>
      </c>
      <c r="I836" t="s" s="0">
        <v>238</v>
      </c>
      <c r="J836" t="s" s="0">
        <v>18238</v>
      </c>
      <c r="K836" t="s" s="0">
        <v>18239</v>
      </c>
      <c r="L836" t="s" s="0">
        <v>81</v>
      </c>
      <c r="M836" t="s" s="0">
        <v>81</v>
      </c>
      <c r="N836" t="s" s="0">
        <v>81</v>
      </c>
      <c r="O836" t="s" s="0">
        <v>18240</v>
      </c>
      <c r="P836" t="s" s="0">
        <v>18241</v>
      </c>
      <c r="Q836" t="s" s="0">
        <v>87</v>
      </c>
      <c r="R836" t="s" s="0">
        <v>81</v>
      </c>
      <c r="S836" t="s" s="0">
        <v>81</v>
      </c>
      <c r="T836" t="s" s="0">
        <v>81</v>
      </c>
      <c r="U836" t="s" s="0">
        <v>81</v>
      </c>
      <c r="V836" t="s" s="0">
        <v>18242</v>
      </c>
      <c r="W836" t="s" s="0">
        <v>17239</v>
      </c>
      <c r="X836" t="s" s="0">
        <v>81</v>
      </c>
      <c r="Y836" t="s" s="0">
        <v>81</v>
      </c>
      <c r="Z836" t="s" s="0">
        <v>90</v>
      </c>
      <c r="AA836" t="s" s="0">
        <v>91</v>
      </c>
      <c r="AB836" t="s" s="0">
        <v>81</v>
      </c>
      <c r="AC836" t="s" s="0">
        <v>81</v>
      </c>
      <c r="AD836" t="s" s="0">
        <v>81</v>
      </c>
      <c r="AE836" t="s" s="0">
        <v>81</v>
      </c>
      <c r="AF836" t="s" s="0">
        <v>81</v>
      </c>
      <c r="AG836" t="s" s="0">
        <v>18243</v>
      </c>
      <c r="AH836" t="s" s="0">
        <v>81</v>
      </c>
      <c r="AI836" t="s" s="0">
        <v>18244</v>
      </c>
      <c r="AJ836" t="s" s="0">
        <v>81</v>
      </c>
      <c r="AK836" t="s" s="0">
        <v>81</v>
      </c>
      <c r="AL836" t="s" s="0">
        <v>367</v>
      </c>
      <c r="AM836" t="s" s="0">
        <v>77</v>
      </c>
      <c r="AN836" t="s" s="0">
        <v>77</v>
      </c>
      <c r="AO836" t="s" s="0">
        <v>77</v>
      </c>
      <c r="AP836" t="s" s="0">
        <v>77</v>
      </c>
      <c r="AQ836" t="s" s="0">
        <v>368</v>
      </c>
      <c r="AR836" t="s" s="0">
        <v>369</v>
      </c>
      <c r="AS836" t="s" s="0">
        <v>370</v>
      </c>
      <c r="AT836" t="s" s="0">
        <v>81</v>
      </c>
      <c r="AU836" t="s" s="0">
        <v>17242</v>
      </c>
      <c r="AV836" t="s" s="0">
        <v>81</v>
      </c>
      <c r="AW836" t="s" s="0">
        <v>17243</v>
      </c>
      <c r="AX836" t="s" s="0">
        <v>17244</v>
      </c>
      <c r="AY836" t="s" s="0">
        <v>4582</v>
      </c>
      <c r="AZ836" t="s" s="0">
        <v>103</v>
      </c>
      <c r="BA836" t="s" s="0">
        <v>316</v>
      </c>
      <c r="BB836" t="s" s="0">
        <v>81</v>
      </c>
      <c r="BC836" t="s" s="0">
        <v>81</v>
      </c>
      <c r="BD836" t="s" s="0">
        <v>81</v>
      </c>
      <c r="BE836" t="s" s="0">
        <v>81</v>
      </c>
      <c r="BF836" t="s" s="0">
        <v>81</v>
      </c>
      <c r="BG836" t="s" s="0">
        <v>81</v>
      </c>
      <c r="BH836" t="s" s="0">
        <v>81</v>
      </c>
      <c r="BI836" t="s" s="0">
        <v>18245</v>
      </c>
      <c r="BJ836" t="s" s="0">
        <v>18246</v>
      </c>
      <c r="BK836" t="s" s="1662">
        <f>HYPERLINK("http://dx.doi.org/10.3389/fradi.2026.1902217","http://dx.doi.org/10.3389/fradi.2026.1902217")</f>
        <v>18247</v>
      </c>
      <c r="BL836" t="s" s="0">
        <v>81</v>
      </c>
      <c r="BM836" t="s" s="0">
        <v>81</v>
      </c>
      <c r="BN836" t="s" s="0">
        <v>316</v>
      </c>
      <c r="BO836" t="s" s="0">
        <v>738</v>
      </c>
      <c r="BP836" t="s" s="0">
        <v>738</v>
      </c>
      <c r="BQ836" t="s" s="0">
        <v>18248</v>
      </c>
      <c r="BR836" t="s" s="0">
        <v>18249</v>
      </c>
      <c r="BS836" t="s" s="0">
        <v>18250</v>
      </c>
      <c r="BT836" t="s" s="1663">
        <f>HYPERLINK("https://www.webofscience.com/wos/woscc/full-record/WOS:001836137900001","View Record in Web of Science")</f>
        <v>114</v>
      </c>
      <c r="BU836" t="s" s="0">
        <v>301</v>
      </c>
      <c r="BV836" t="s" s="0">
        <v>81</v>
      </c>
      <c r="BW836" t="s" s="0">
        <v>81</v>
      </c>
      <c r="BX836" t="s" s="0">
        <v>116</v>
      </c>
    </row>
    <row r="837">
      <c r="A837" t="s" s="0">
        <v>77</v>
      </c>
      <c r="B837" t="s" s="0">
        <v>77</v>
      </c>
      <c r="C837" t="s" s="0">
        <v>156</v>
      </c>
      <c r="D837" t="s" s="0">
        <v>77</v>
      </c>
      <c r="E837" t="s" s="0">
        <v>18251</v>
      </c>
      <c r="F837" t="s" s="0">
        <v>18252</v>
      </c>
      <c r="G837" t="s" s="0">
        <v>18253</v>
      </c>
      <c r="H837" t="s" s="0">
        <v>81</v>
      </c>
      <c r="I837" t="s" s="0">
        <v>238</v>
      </c>
      <c r="J837" t="s" s="0">
        <v>18254</v>
      </c>
      <c r="K837" t="s" s="0">
        <v>18255</v>
      </c>
      <c r="L837" t="s" s="0">
        <v>18256</v>
      </c>
      <c r="M837" t="s" s="0">
        <v>18256</v>
      </c>
      <c r="N837" t="s" s="0">
        <v>18257</v>
      </c>
      <c r="O837" t="s" s="0">
        <v>18258</v>
      </c>
      <c r="P837" t="s" s="0">
        <v>81</v>
      </c>
      <c r="Q837" t="s" s="0">
        <v>87</v>
      </c>
      <c r="R837" t="s" s="0">
        <v>81</v>
      </c>
      <c r="S837" t="s" s="0">
        <v>81</v>
      </c>
      <c r="T837" t="s" s="0">
        <v>81</v>
      </c>
      <c r="U837" t="s" s="0">
        <v>81</v>
      </c>
      <c r="V837" t="s" s="0">
        <v>18259</v>
      </c>
      <c r="W837" t="s" s="0">
        <v>11457</v>
      </c>
      <c r="X837" t="s" s="0">
        <v>81</v>
      </c>
      <c r="Y837" t="s" s="0">
        <v>81</v>
      </c>
      <c r="Z837" t="s" s="0">
        <v>90</v>
      </c>
      <c r="AA837" t="s" s="0">
        <v>91</v>
      </c>
      <c r="AB837" t="s" s="0">
        <v>81</v>
      </c>
      <c r="AC837" t="s" s="0">
        <v>81</v>
      </c>
      <c r="AD837" t="s" s="0">
        <v>81</v>
      </c>
      <c r="AE837" t="s" s="0">
        <v>81</v>
      </c>
      <c r="AF837" t="s" s="0">
        <v>81</v>
      </c>
      <c r="AG837" t="s" s="0">
        <v>18260</v>
      </c>
      <c r="AH837" t="s" s="0">
        <v>18261</v>
      </c>
      <c r="AI837" t="s" s="0">
        <v>81</v>
      </c>
      <c r="AJ837" t="s" s="0">
        <v>81</v>
      </c>
      <c r="AK837" t="s" s="0">
        <v>81</v>
      </c>
      <c r="AL837" t="s" s="0">
        <v>697</v>
      </c>
      <c r="AM837" t="s" s="0">
        <v>234</v>
      </c>
      <c r="AN837" t="s" s="0">
        <v>381</v>
      </c>
      <c r="AO837" t="s" s="0">
        <v>97</v>
      </c>
      <c r="AP837" t="s" s="0">
        <v>104</v>
      </c>
      <c r="AQ837" t="s" s="0">
        <v>212</v>
      </c>
      <c r="AR837" t="s" s="0">
        <v>429</v>
      </c>
      <c r="AS837" t="s" s="0">
        <v>784</v>
      </c>
      <c r="AT837" t="s" s="0">
        <v>81</v>
      </c>
      <c r="AU837" t="s" s="0">
        <v>11461</v>
      </c>
      <c r="AV837" t="s" s="0">
        <v>81</v>
      </c>
      <c r="AW837" t="s" s="0">
        <v>11462</v>
      </c>
      <c r="AX837" t="s" s="0">
        <v>11463</v>
      </c>
      <c r="AY837" t="s" s="0">
        <v>18262</v>
      </c>
      <c r="AZ837" t="s" s="0">
        <v>185</v>
      </c>
      <c r="BA837" t="s" s="0">
        <v>316</v>
      </c>
      <c r="BB837" t="s" s="0">
        <v>175</v>
      </c>
      <c r="BC837" t="s" s="0">
        <v>81</v>
      </c>
      <c r="BD837" t="s" s="0">
        <v>81</v>
      </c>
      <c r="BE837" t="s" s="0">
        <v>81</v>
      </c>
      <c r="BF837" t="s" s="0">
        <v>81</v>
      </c>
      <c r="BG837" t="s" s="0">
        <v>81</v>
      </c>
      <c r="BH837" t="s" s="0">
        <v>81</v>
      </c>
      <c r="BI837" t="s" s="0">
        <v>515</v>
      </c>
      <c r="BJ837" t="s" s="0">
        <v>18263</v>
      </c>
      <c r="BK837" t="s" s="1664">
        <f>HYPERLINK("http://dx.doi.org/10.1007/s42452-024-05848-8","http://dx.doi.org/10.1007/s42452-024-05848-8")</f>
        <v>18264</v>
      </c>
      <c r="BL837" t="s" s="0">
        <v>81</v>
      </c>
      <c r="BM837" t="s" s="0">
        <v>81</v>
      </c>
      <c r="BN837" t="s" s="0">
        <v>104</v>
      </c>
      <c r="BO837" t="s" s="0">
        <v>926</v>
      </c>
      <c r="BP837" t="s" s="0">
        <v>927</v>
      </c>
      <c r="BQ837" t="s" s="0">
        <v>18265</v>
      </c>
      <c r="BR837" t="s" s="0">
        <v>81</v>
      </c>
      <c r="BS837" t="s" s="0">
        <v>18266</v>
      </c>
      <c r="BT837" t="s" s="1665">
        <f>HYPERLINK("https://www.webofscience.com/wos/woscc/full-record/WOS:001197264800006","View Record in Web of Science")</f>
        <v>114</v>
      </c>
      <c r="BU837" t="s" s="0">
        <v>115</v>
      </c>
      <c r="BV837" t="s" s="0">
        <v>81</v>
      </c>
      <c r="BW837" t="s" s="0">
        <v>81</v>
      </c>
      <c r="BX837" t="s" s="0">
        <v>116</v>
      </c>
    </row>
    <row r="838">
      <c r="A838" t="s" s="0">
        <v>77</v>
      </c>
      <c r="B838" t="s" s="0">
        <v>77</v>
      </c>
      <c r="C838" t="s" s="0">
        <v>77</v>
      </c>
      <c r="D838" t="s" s="0">
        <v>77</v>
      </c>
      <c r="E838" t="s" s="0">
        <v>18267</v>
      </c>
      <c r="F838" t="s" s="0">
        <v>18268</v>
      </c>
      <c r="G838" t="s" s="0">
        <v>18269</v>
      </c>
      <c r="H838" t="s" s="0">
        <v>81</v>
      </c>
      <c r="I838" t="s" s="0">
        <v>528</v>
      </c>
      <c r="J838" t="s" s="0">
        <v>18270</v>
      </c>
      <c r="K838" t="s" s="0">
        <v>18271</v>
      </c>
      <c r="L838" t="s" s="0">
        <v>81</v>
      </c>
      <c r="M838" t="s" s="0">
        <v>81</v>
      </c>
      <c r="N838" t="s" s="0">
        <v>81</v>
      </c>
      <c r="O838" t="s" s="0">
        <v>18272</v>
      </c>
      <c r="P838" t="s" s="0">
        <v>18273</v>
      </c>
      <c r="Q838" t="s" s="0">
        <v>87</v>
      </c>
      <c r="R838" t="s" s="0">
        <v>81</v>
      </c>
      <c r="S838" t="s" s="0">
        <v>81</v>
      </c>
      <c r="T838" t="s" s="0">
        <v>81</v>
      </c>
      <c r="U838" t="s" s="0">
        <v>81</v>
      </c>
      <c r="V838" t="s" s="0">
        <v>18274</v>
      </c>
      <c r="W838" t="s" s="0">
        <v>18275</v>
      </c>
      <c r="X838" t="s" s="0">
        <v>81</v>
      </c>
      <c r="Y838" t="s" s="0">
        <v>81</v>
      </c>
      <c r="Z838" t="s" s="0">
        <v>90</v>
      </c>
      <c r="AA838" t="s" s="0">
        <v>1581</v>
      </c>
      <c r="AB838" t="s" s="0">
        <v>81</v>
      </c>
      <c r="AC838" t="s" s="0">
        <v>81</v>
      </c>
      <c r="AD838" t="s" s="0">
        <v>81</v>
      </c>
      <c r="AE838" t="s" s="0">
        <v>81</v>
      </c>
      <c r="AF838" t="s" s="0">
        <v>81</v>
      </c>
      <c r="AG838" t="s" s="0">
        <v>18276</v>
      </c>
      <c r="AH838" t="s" s="0">
        <v>81</v>
      </c>
      <c r="AI838" t="s" s="0">
        <v>18277</v>
      </c>
      <c r="AJ838" t="s" s="0">
        <v>81</v>
      </c>
      <c r="AK838" t="s" s="0">
        <v>81</v>
      </c>
      <c r="AL838" t="s" s="0">
        <v>104</v>
      </c>
      <c r="AM838" t="s" s="0">
        <v>77</v>
      </c>
      <c r="AN838" t="s" s="0">
        <v>77</v>
      </c>
      <c r="AO838" t="s" s="0">
        <v>77</v>
      </c>
      <c r="AP838" t="s" s="0">
        <v>77</v>
      </c>
      <c r="AQ838" t="s" s="0">
        <v>1654</v>
      </c>
      <c r="AR838" t="s" s="0">
        <v>1345</v>
      </c>
      <c r="AS838" t="s" s="0">
        <v>1655</v>
      </c>
      <c r="AT838" t="s" s="0">
        <v>18278</v>
      </c>
      <c r="AU838" t="s" s="0">
        <v>18279</v>
      </c>
      <c r="AV838" t="s" s="0">
        <v>81</v>
      </c>
      <c r="AW838" t="s" s="0">
        <v>18280</v>
      </c>
      <c r="AX838" t="s" s="0">
        <v>18281</v>
      </c>
      <c r="AY838" t="s" s="0">
        <v>81</v>
      </c>
      <c r="AZ838" t="s" s="0">
        <v>103</v>
      </c>
      <c r="BA838" t="s" s="0">
        <v>81</v>
      </c>
      <c r="BB838" t="s" s="0">
        <v>81</v>
      </c>
      <c r="BC838" t="s" s="0">
        <v>81</v>
      </c>
      <c r="BD838" t="s" s="0">
        <v>81</v>
      </c>
      <c r="BE838" t="s" s="0">
        <v>81</v>
      </c>
      <c r="BF838" t="s" s="0">
        <v>81</v>
      </c>
      <c r="BG838" t="s" s="0">
        <v>81</v>
      </c>
      <c r="BH838" t="s" s="0">
        <v>81</v>
      </c>
      <c r="BI838" t="s" s="0">
        <v>81</v>
      </c>
      <c r="BJ838" t="s" s="0">
        <v>18282</v>
      </c>
      <c r="BK838" t="s" s="1666">
        <f>HYPERLINK("http://dx.doi.org/10.1093/inthealth/ihag033","http://dx.doi.org/10.1093/inthealth/ihag033")</f>
        <v>18283</v>
      </c>
      <c r="BL838" t="s" s="0">
        <v>81</v>
      </c>
      <c r="BM838" t="s" s="0">
        <v>948</v>
      </c>
      <c r="BN838" t="s" s="0">
        <v>175</v>
      </c>
      <c r="BO838" t="s" s="0">
        <v>850</v>
      </c>
      <c r="BP838" t="s" s="0">
        <v>850</v>
      </c>
      <c r="BQ838" t="s" s="0">
        <v>18284</v>
      </c>
      <c r="BR838" t="s" s="0">
        <v>18285</v>
      </c>
      <c r="BS838" t="s" s="0">
        <v>18286</v>
      </c>
      <c r="BT838" t="s" s="1667">
        <f>HYPERLINK("https://www.webofscience.com/wos/woscc/full-record/WOS:001733055100001","View Record in Web of Science")</f>
        <v>114</v>
      </c>
      <c r="BU838" t="s" s="0">
        <v>115</v>
      </c>
      <c r="BV838" t="s" s="0">
        <v>81</v>
      </c>
      <c r="BW838" t="s" s="0">
        <v>81</v>
      </c>
      <c r="BX838" t="s" s="0">
        <v>116</v>
      </c>
    </row>
    <row r="839">
      <c r="A839" t="s" s="0">
        <v>77</v>
      </c>
      <c r="B839" t="s" s="0">
        <v>77</v>
      </c>
      <c r="C839" t="s" s="0">
        <v>97</v>
      </c>
      <c r="D839" t="s" s="0">
        <v>77</v>
      </c>
      <c r="E839" t="s" s="0">
        <v>18287</v>
      </c>
      <c r="F839" t="s" s="0">
        <v>18288</v>
      </c>
      <c r="G839" t="s" s="0">
        <v>18289</v>
      </c>
      <c r="H839" t="s" s="0">
        <v>81</v>
      </c>
      <c r="I839" t="s" s="0">
        <v>238</v>
      </c>
      <c r="J839" t="s" s="0">
        <v>18290</v>
      </c>
      <c r="K839" t="s" s="0">
        <v>18291</v>
      </c>
      <c r="L839" t="s" s="0">
        <v>18292</v>
      </c>
      <c r="M839" t="s" s="0">
        <v>18292</v>
      </c>
      <c r="N839" t="s" s="0">
        <v>18293</v>
      </c>
      <c r="O839" t="s" s="0">
        <v>18294</v>
      </c>
      <c r="P839" t="s" s="0">
        <v>18295</v>
      </c>
      <c r="Q839" t="s" s="0">
        <v>87</v>
      </c>
      <c r="R839" t="s" s="0">
        <v>81</v>
      </c>
      <c r="S839" t="s" s="0">
        <v>81</v>
      </c>
      <c r="T839" t="s" s="0">
        <v>81</v>
      </c>
      <c r="U839" t="s" s="0">
        <v>81</v>
      </c>
      <c r="V839" t="s" s="0">
        <v>18296</v>
      </c>
      <c r="W839" t="s" s="0">
        <v>1482</v>
      </c>
      <c r="X839" t="s" s="0">
        <v>81</v>
      </c>
      <c r="Y839" t="s" s="0">
        <v>81</v>
      </c>
      <c r="Z839" t="s" s="0">
        <v>90</v>
      </c>
      <c r="AA839" t="s" s="0">
        <v>91</v>
      </c>
      <c r="AB839" t="s" s="0">
        <v>81</v>
      </c>
      <c r="AC839" t="s" s="0">
        <v>81</v>
      </c>
      <c r="AD839" t="s" s="0">
        <v>81</v>
      </c>
      <c r="AE839" t="s" s="0">
        <v>81</v>
      </c>
      <c r="AF839" t="s" s="0">
        <v>81</v>
      </c>
      <c r="AG839" t="s" s="0">
        <v>18297</v>
      </c>
      <c r="AH839" t="s" s="0">
        <v>81</v>
      </c>
      <c r="AI839" t="s" s="0">
        <v>18298</v>
      </c>
      <c r="AJ839" t="s" s="0">
        <v>18299</v>
      </c>
      <c r="AK839" t="s" s="0">
        <v>81</v>
      </c>
      <c r="AL839" t="s" s="0">
        <v>1442</v>
      </c>
      <c r="AM839" t="s" s="0">
        <v>222</v>
      </c>
      <c r="AN839" t="s" s="0">
        <v>367</v>
      </c>
      <c r="AO839" t="s" s="0">
        <v>234</v>
      </c>
      <c r="AP839" t="s" s="0">
        <v>210</v>
      </c>
      <c r="AQ839" t="s" s="0">
        <v>284</v>
      </c>
      <c r="AR839" t="s" s="0">
        <v>285</v>
      </c>
      <c r="AS839" t="s" s="0">
        <v>286</v>
      </c>
      <c r="AT839" t="s" s="0">
        <v>1487</v>
      </c>
      <c r="AU839" t="s" s="0">
        <v>81</v>
      </c>
      <c r="AV839" t="s" s="0">
        <v>81</v>
      </c>
      <c r="AW839" t="s" s="0">
        <v>1482</v>
      </c>
      <c r="AX839" t="s" s="0">
        <v>1488</v>
      </c>
      <c r="AY839" t="s" s="0">
        <v>18300</v>
      </c>
      <c r="AZ839" t="s" s="0">
        <v>290</v>
      </c>
      <c r="BA839" t="s" s="0">
        <v>104</v>
      </c>
      <c r="BB839" t="s" s="0">
        <v>316</v>
      </c>
      <c r="BC839" t="s" s="0">
        <v>81</v>
      </c>
      <c r="BD839" t="s" s="0">
        <v>81</v>
      </c>
      <c r="BE839" t="s" s="0">
        <v>81</v>
      </c>
      <c r="BF839" t="s" s="0">
        <v>81</v>
      </c>
      <c r="BG839" t="s" s="0">
        <v>81</v>
      </c>
      <c r="BH839" t="s" s="0">
        <v>81</v>
      </c>
      <c r="BI839" t="s" s="0">
        <v>12620</v>
      </c>
      <c r="BJ839" t="s" s="0">
        <v>18301</v>
      </c>
      <c r="BK839" t="s" s="1668">
        <f>HYPERLINK("http://dx.doi.org/10.3390/computers14060238","http://dx.doi.org/10.3390/computers14060238")</f>
        <v>18302</v>
      </c>
      <c r="BL839" t="s" s="0">
        <v>81</v>
      </c>
      <c r="BM839" t="s" s="0">
        <v>81</v>
      </c>
      <c r="BN839" t="s" s="0">
        <v>135</v>
      </c>
      <c r="BO839" t="s" s="0">
        <v>1493</v>
      </c>
      <c r="BP839" t="s" s="0">
        <v>152</v>
      </c>
      <c r="BQ839" t="s" s="0">
        <v>18303</v>
      </c>
      <c r="BR839" t="s" s="0">
        <v>81</v>
      </c>
      <c r="BS839" t="s" s="0">
        <v>18304</v>
      </c>
      <c r="BT839" t="s" s="1669">
        <f>HYPERLINK("https://www.webofscience.com/wos/woscc/full-record/WOS:001514782200001","View Record in Web of Science")</f>
        <v>114</v>
      </c>
      <c r="BU839" t="s" s="0">
        <v>301</v>
      </c>
      <c r="BV839" t="s" s="0">
        <v>81</v>
      </c>
      <c r="BW839" t="s" s="0">
        <v>81</v>
      </c>
      <c r="BX839" t="s" s="0">
        <v>116</v>
      </c>
    </row>
    <row r="840">
      <c r="A840" t="s" s="0">
        <v>77</v>
      </c>
      <c r="B840" t="s" s="0">
        <v>77</v>
      </c>
      <c r="C840" t="s" s="0">
        <v>97</v>
      </c>
      <c r="D840" t="s" s="0">
        <v>77</v>
      </c>
      <c r="E840" t="s" s="0">
        <v>18305</v>
      </c>
      <c r="F840" t="s" s="0">
        <v>18306</v>
      </c>
      <c r="G840" t="s" s="0">
        <v>18307</v>
      </c>
      <c r="H840" t="s" s="0">
        <v>81</v>
      </c>
      <c r="I840" t="s" s="0">
        <v>82</v>
      </c>
      <c r="J840" t="s" s="0">
        <v>18308</v>
      </c>
      <c r="K840" t="s" s="0">
        <v>18309</v>
      </c>
      <c r="L840" t="s" s="0">
        <v>18310</v>
      </c>
      <c r="M840" t="s" s="0">
        <v>18310</v>
      </c>
      <c r="N840" t="s" s="0">
        <v>18311</v>
      </c>
      <c r="O840" t="s" s="0">
        <v>18312</v>
      </c>
      <c r="P840" t="s" s="0">
        <v>18313</v>
      </c>
      <c r="Q840" t="s" s="0">
        <v>87</v>
      </c>
      <c r="R840" t="s" s="0">
        <v>81</v>
      </c>
      <c r="S840" t="s" s="0">
        <v>81</v>
      </c>
      <c r="T840" t="s" s="0">
        <v>81</v>
      </c>
      <c r="U840" t="s" s="0">
        <v>81</v>
      </c>
      <c r="V840" t="s" s="0">
        <v>18314</v>
      </c>
      <c r="W840" t="s" s="0">
        <v>2797</v>
      </c>
      <c r="X840" t="s" s="0">
        <v>81</v>
      </c>
      <c r="Y840" t="s" s="0">
        <v>81</v>
      </c>
      <c r="Z840" t="s" s="0">
        <v>90</v>
      </c>
      <c r="AA840" t="s" s="0">
        <v>91</v>
      </c>
      <c r="AB840" t="s" s="0">
        <v>81</v>
      </c>
      <c r="AC840" t="s" s="0">
        <v>81</v>
      </c>
      <c r="AD840" t="s" s="0">
        <v>81</v>
      </c>
      <c r="AE840" t="s" s="0">
        <v>81</v>
      </c>
      <c r="AF840" t="s" s="0">
        <v>81</v>
      </c>
      <c r="AG840" t="s" s="0">
        <v>18315</v>
      </c>
      <c r="AH840" t="s" s="0">
        <v>18316</v>
      </c>
      <c r="AI840" t="s" s="0">
        <v>18317</v>
      </c>
      <c r="AJ840" t="s" s="0">
        <v>18318</v>
      </c>
      <c r="AK840" t="s" s="0">
        <v>81</v>
      </c>
      <c r="AL840" t="s" s="0">
        <v>9613</v>
      </c>
      <c r="AM840" t="s" s="0">
        <v>234</v>
      </c>
      <c r="AN840" t="s" s="0">
        <v>211</v>
      </c>
      <c r="AO840" t="s" s="0">
        <v>175</v>
      </c>
      <c r="AP840" t="s" s="0">
        <v>234</v>
      </c>
      <c r="AQ840" t="s" s="0">
        <v>284</v>
      </c>
      <c r="AR840" t="s" s="0">
        <v>285</v>
      </c>
      <c r="AS840" t="s" s="0">
        <v>286</v>
      </c>
      <c r="AT840" t="s" s="0">
        <v>81</v>
      </c>
      <c r="AU840" t="s" s="0">
        <v>2801</v>
      </c>
      <c r="AV840" t="s" s="0">
        <v>81</v>
      </c>
      <c r="AW840" t="s" s="0">
        <v>2802</v>
      </c>
      <c r="AX840" t="s" s="0">
        <v>2803</v>
      </c>
      <c r="AY840" t="s" s="0">
        <v>18319</v>
      </c>
      <c r="AZ840" t="s" s="0">
        <v>290</v>
      </c>
      <c r="BA840" t="s" s="0">
        <v>925</v>
      </c>
      <c r="BB840" t="s" s="0">
        <v>97</v>
      </c>
      <c r="BC840" t="s" s="0">
        <v>81</v>
      </c>
      <c r="BD840" t="s" s="0">
        <v>81</v>
      </c>
      <c r="BE840" t="s" s="0">
        <v>81</v>
      </c>
      <c r="BF840" t="s" s="0">
        <v>81</v>
      </c>
      <c r="BG840" t="s" s="0">
        <v>81</v>
      </c>
      <c r="BH840" t="s" s="0">
        <v>81</v>
      </c>
      <c r="BI840" t="s" s="0">
        <v>18320</v>
      </c>
      <c r="BJ840" t="s" s="0">
        <v>18321</v>
      </c>
      <c r="BK840" t="s" s="1670">
        <f>HYPERLINK("http://dx.doi.org/10.3390/app16010277","http://dx.doi.org/10.3390/app16010277")</f>
        <v>18322</v>
      </c>
      <c r="BL840" t="s" s="0">
        <v>81</v>
      </c>
      <c r="BM840" t="s" s="0">
        <v>81</v>
      </c>
      <c r="BN840" t="s" s="0">
        <v>343</v>
      </c>
      <c r="BO840" t="s" s="0">
        <v>2807</v>
      </c>
      <c r="BP840" t="s" s="0">
        <v>2808</v>
      </c>
      <c r="BQ840" t="s" s="0">
        <v>18323</v>
      </c>
      <c r="BR840" t="s" s="0">
        <v>81</v>
      </c>
      <c r="BS840" t="s" s="0">
        <v>18324</v>
      </c>
      <c r="BT840" t="s" s="1671">
        <f>HYPERLINK("https://www.webofscience.com/wos/woscc/full-record/WOS:001657239500001","View Record in Web of Science")</f>
        <v>114</v>
      </c>
      <c r="BU840" t="s" s="0">
        <v>301</v>
      </c>
      <c r="BV840" t="s" s="0">
        <v>81</v>
      </c>
      <c r="BW840" t="s" s="0">
        <v>81</v>
      </c>
      <c r="BX840" t="s" s="0">
        <v>116</v>
      </c>
    </row>
    <row r="841">
      <c r="A841" t="s" s="0">
        <v>77</v>
      </c>
      <c r="B841" t="s" s="0">
        <v>77</v>
      </c>
      <c r="C841" t="s" s="0">
        <v>156</v>
      </c>
      <c r="D841" t="s" s="0">
        <v>77</v>
      </c>
      <c r="E841" t="s" s="0">
        <v>18325</v>
      </c>
      <c r="F841" t="s" s="0">
        <v>18326</v>
      </c>
      <c r="G841" t="s" s="0">
        <v>18327</v>
      </c>
      <c r="H841" t="s" s="0">
        <v>81</v>
      </c>
      <c r="I841" t="s" s="0">
        <v>528</v>
      </c>
      <c r="J841" t="s" s="0">
        <v>18328</v>
      </c>
      <c r="K841" t="s" s="0">
        <v>18329</v>
      </c>
      <c r="L841" t="s" s="0">
        <v>9140</v>
      </c>
      <c r="M841" t="s" s="0">
        <v>9141</v>
      </c>
      <c r="N841" t="s" s="0">
        <v>18330</v>
      </c>
      <c r="O841" t="s" s="0">
        <v>18331</v>
      </c>
      <c r="P841" t="s" s="0">
        <v>15970</v>
      </c>
      <c r="Q841" t="s" s="0">
        <v>87</v>
      </c>
      <c r="R841" t="s" s="0">
        <v>81</v>
      </c>
      <c r="S841" t="s" s="0">
        <v>81</v>
      </c>
      <c r="T841" t="s" s="0">
        <v>81</v>
      </c>
      <c r="U841" t="s" s="0">
        <v>81</v>
      </c>
      <c r="V841" t="s" s="0">
        <v>18332</v>
      </c>
      <c r="W841" t="s" s="0">
        <v>18333</v>
      </c>
      <c r="X841" t="s" s="0">
        <v>81</v>
      </c>
      <c r="Y841" t="s" s="0">
        <v>81</v>
      </c>
      <c r="Z841" t="s" s="0">
        <v>90</v>
      </c>
      <c r="AA841" t="s" s="0">
        <v>91</v>
      </c>
      <c r="AB841" t="s" s="0">
        <v>81</v>
      </c>
      <c r="AC841" t="s" s="0">
        <v>81</v>
      </c>
      <c r="AD841" t="s" s="0">
        <v>81</v>
      </c>
      <c r="AE841" t="s" s="0">
        <v>81</v>
      </c>
      <c r="AF841" t="s" s="0">
        <v>81</v>
      </c>
      <c r="AG841" t="s" s="0">
        <v>18334</v>
      </c>
      <c r="AH841" t="s" s="0">
        <v>4100</v>
      </c>
      <c r="AI841" t="s" s="0">
        <v>18335</v>
      </c>
      <c r="AJ841" t="s" s="0">
        <v>18336</v>
      </c>
      <c r="AK841" t="s" s="0">
        <v>81</v>
      </c>
      <c r="AL841" t="s" s="0">
        <v>398</v>
      </c>
      <c r="AM841" t="s" s="0">
        <v>381</v>
      </c>
      <c r="AN841" t="s" s="0">
        <v>211</v>
      </c>
      <c r="AO841" t="s" s="0">
        <v>133</v>
      </c>
      <c r="AP841" t="s" s="0">
        <v>234</v>
      </c>
      <c r="AQ841" t="s" s="0">
        <v>726</v>
      </c>
      <c r="AR841" t="s" s="0">
        <v>727</v>
      </c>
      <c r="AS841" t="s" s="0">
        <v>728</v>
      </c>
      <c r="AT841" t="s" s="0">
        <v>18337</v>
      </c>
      <c r="AU841" t="s" s="0">
        <v>18338</v>
      </c>
      <c r="AV841" t="s" s="0">
        <v>81</v>
      </c>
      <c r="AW841" t="s" s="0">
        <v>18339</v>
      </c>
      <c r="AX841" t="s" s="0">
        <v>18340</v>
      </c>
      <c r="AY841" t="s" s="0">
        <v>948</v>
      </c>
      <c r="AZ841" t="s" s="0">
        <v>103</v>
      </c>
      <c r="BA841" t="s" s="0">
        <v>5626</v>
      </c>
      <c r="BB841" t="s" s="0">
        <v>175</v>
      </c>
      <c r="BC841" t="s" s="0">
        <v>81</v>
      </c>
      <c r="BD841" t="s" s="0">
        <v>81</v>
      </c>
      <c r="BE841" t="s" s="0">
        <v>81</v>
      </c>
      <c r="BF841" t="s" s="0">
        <v>81</v>
      </c>
      <c r="BG841" t="s" s="0">
        <v>18341</v>
      </c>
      <c r="BH841" t="s" s="0">
        <v>18342</v>
      </c>
      <c r="BI841" t="s" s="0">
        <v>81</v>
      </c>
      <c r="BJ841" t="s" s="0">
        <v>18343</v>
      </c>
      <c r="BK841" t="s" s="1672">
        <f>HYPERLINK("http://dx.doi.org/10.1111/jan.70082","http://dx.doi.org/10.1111/jan.70082")</f>
        <v>18344</v>
      </c>
      <c r="BL841" t="s" s="0">
        <v>81</v>
      </c>
      <c r="BM841" t="s" s="0">
        <v>733</v>
      </c>
      <c r="BN841" t="s" s="0">
        <v>191</v>
      </c>
      <c r="BO841" t="s" s="0">
        <v>5034</v>
      </c>
      <c r="BP841" t="s" s="0">
        <v>5034</v>
      </c>
      <c r="BQ841" t="s" s="0">
        <v>18345</v>
      </c>
      <c r="BR841" t="s" s="0">
        <v>18346</v>
      </c>
      <c r="BS841" t="s" s="0">
        <v>18347</v>
      </c>
      <c r="BT841" t="s" s="1673">
        <f>HYPERLINK("https://www.webofscience.com/wos/woscc/full-record/WOS:001531969700001","View Record in Web of Science")</f>
        <v>114</v>
      </c>
      <c r="BU841" t="s" s="0">
        <v>81</v>
      </c>
      <c r="BV841" t="s" s="0">
        <v>81</v>
      </c>
      <c r="BW841" t="s" s="0">
        <v>81</v>
      </c>
      <c r="BX841" t="s" s="0">
        <v>116</v>
      </c>
    </row>
    <row r="842">
      <c r="A842" t="s" s="0">
        <v>77</v>
      </c>
      <c r="B842" t="s" s="0">
        <v>77</v>
      </c>
      <c r="C842" t="s" s="0">
        <v>175</v>
      </c>
      <c r="D842" t="s" s="0">
        <v>77</v>
      </c>
      <c r="E842" t="s" s="0">
        <v>18348</v>
      </c>
      <c r="F842" t="s" s="0">
        <v>18349</v>
      </c>
      <c r="G842" t="s" s="0">
        <v>18350</v>
      </c>
      <c r="H842" t="s" s="0">
        <v>81</v>
      </c>
      <c r="I842" t="s" s="0">
        <v>82</v>
      </c>
      <c r="J842" t="s" s="0">
        <v>18351</v>
      </c>
      <c r="K842" t="s" s="0">
        <v>18352</v>
      </c>
      <c r="L842" t="s" s="0">
        <v>81</v>
      </c>
      <c r="M842" t="s" s="0">
        <v>81</v>
      </c>
      <c r="N842" t="s" s="0">
        <v>81</v>
      </c>
      <c r="O842" t="s" s="0">
        <v>18353</v>
      </c>
      <c r="P842" t="s" s="0">
        <v>18354</v>
      </c>
      <c r="Q842" t="s" s="0">
        <v>87</v>
      </c>
      <c r="R842" t="s" s="0">
        <v>81</v>
      </c>
      <c r="S842" t="s" s="0">
        <v>81</v>
      </c>
      <c r="T842" t="s" s="0">
        <v>81</v>
      </c>
      <c r="U842" t="s" s="0">
        <v>81</v>
      </c>
      <c r="V842" t="s" s="0">
        <v>18355</v>
      </c>
      <c r="W842" t="s" s="0">
        <v>6057</v>
      </c>
      <c r="X842" t="s" s="0">
        <v>81</v>
      </c>
      <c r="Y842" t="s" s="0">
        <v>81</v>
      </c>
      <c r="Z842" t="s" s="0">
        <v>90</v>
      </c>
      <c r="AA842" t="s" s="0">
        <v>91</v>
      </c>
      <c r="AB842" t="s" s="0">
        <v>81</v>
      </c>
      <c r="AC842" t="s" s="0">
        <v>81</v>
      </c>
      <c r="AD842" t="s" s="0">
        <v>81</v>
      </c>
      <c r="AE842" t="s" s="0">
        <v>81</v>
      </c>
      <c r="AF842" t="s" s="0">
        <v>81</v>
      </c>
      <c r="AG842" t="s" s="0">
        <v>18356</v>
      </c>
      <c r="AH842" t="s" s="0">
        <v>81</v>
      </c>
      <c r="AI842" t="s" s="0">
        <v>18357</v>
      </c>
      <c r="AJ842" t="s" s="0">
        <v>18358</v>
      </c>
      <c r="AK842" t="s" s="0">
        <v>81</v>
      </c>
      <c r="AL842" t="s" s="0">
        <v>1635</v>
      </c>
      <c r="AM842" t="s" s="0">
        <v>543</v>
      </c>
      <c r="AN842" t="s" s="0">
        <v>1883</v>
      </c>
      <c r="AO842" t="s" s="0">
        <v>11438</v>
      </c>
      <c r="AP842" t="s" s="0">
        <v>9127</v>
      </c>
      <c r="AQ842" t="s" s="0">
        <v>3061</v>
      </c>
      <c r="AR842" t="s" s="0">
        <v>3062</v>
      </c>
      <c r="AS842" t="s" s="0">
        <v>3063</v>
      </c>
      <c r="AT842" t="s" s="0">
        <v>6061</v>
      </c>
      <c r="AU842" t="s" s="0">
        <v>81</v>
      </c>
      <c r="AV842" t="s" s="0">
        <v>81</v>
      </c>
      <c r="AW842" t="s" s="0">
        <v>6062</v>
      </c>
      <c r="AX842" t="s" s="0">
        <v>6063</v>
      </c>
      <c r="AY842" t="s" s="0">
        <v>290</v>
      </c>
      <c r="AZ842" t="s" s="0">
        <v>290</v>
      </c>
      <c r="BA842" t="s" s="0">
        <v>191</v>
      </c>
      <c r="BB842" t="s" s="0">
        <v>81</v>
      </c>
      <c r="BC842" t="s" s="0">
        <v>81</v>
      </c>
      <c r="BD842" t="s" s="0">
        <v>81</v>
      </c>
      <c r="BE842" t="s" s="0">
        <v>81</v>
      </c>
      <c r="BF842" t="s" s="0">
        <v>81</v>
      </c>
      <c r="BG842" t="s" s="0">
        <v>81</v>
      </c>
      <c r="BH842" t="s" s="0">
        <v>81</v>
      </c>
      <c r="BI842" t="s" s="0">
        <v>18359</v>
      </c>
      <c r="BJ842" t="s" s="0">
        <v>18360</v>
      </c>
      <c r="BK842" t="s" s="1674">
        <f>HYPERLINK("http://dx.doi.org/10.2196/74947","http://dx.doi.org/10.2196/74947")</f>
        <v>18361</v>
      </c>
      <c r="BL842" t="s" s="0">
        <v>81</v>
      </c>
      <c r="BM842" t="s" s="0">
        <v>81</v>
      </c>
      <c r="BN842" t="s" s="0">
        <v>367</v>
      </c>
      <c r="BO842" t="s" s="0">
        <v>6067</v>
      </c>
      <c r="BP842" t="s" s="0">
        <v>6068</v>
      </c>
      <c r="BQ842" t="s" s="0">
        <v>18362</v>
      </c>
      <c r="BR842" t="s" s="0">
        <v>18363</v>
      </c>
      <c r="BS842" t="s" s="0">
        <v>18364</v>
      </c>
      <c r="BT842" t="s" s="1675">
        <f>HYPERLINK("https://www.webofscience.com/wos/woscc/full-record/WOS:001574347900001","View Record in Web of Science")</f>
        <v>114</v>
      </c>
      <c r="BU842" t="s" s="0">
        <v>301</v>
      </c>
      <c r="BV842" t="s" s="0">
        <v>2886</v>
      </c>
      <c r="BW842" t="s" s="0">
        <v>2887</v>
      </c>
      <c r="BX842" t="s" s="0">
        <v>116</v>
      </c>
    </row>
    <row r="843">
      <c r="A843" t="s" s="0">
        <v>77</v>
      </c>
      <c r="B843" t="s" s="0">
        <v>77</v>
      </c>
      <c r="C843" t="s" s="0">
        <v>196</v>
      </c>
      <c r="D843" t="s" s="0">
        <v>77</v>
      </c>
      <c r="E843" t="s" s="0">
        <v>18365</v>
      </c>
      <c r="F843" t="s" s="0">
        <v>18366</v>
      </c>
      <c r="G843" t="s" s="0">
        <v>18367</v>
      </c>
      <c r="H843" t="s" s="0">
        <v>81</v>
      </c>
      <c r="I843" t="s" s="0">
        <v>82</v>
      </c>
      <c r="J843" t="s" s="0">
        <v>18368</v>
      </c>
      <c r="K843" t="s" s="0">
        <v>18369</v>
      </c>
      <c r="L843" t="s" s="0">
        <v>18370</v>
      </c>
      <c r="M843" t="s" s="0">
        <v>18370</v>
      </c>
      <c r="N843" t="s" s="0">
        <v>18371</v>
      </c>
      <c r="O843" t="s" s="0">
        <v>18372</v>
      </c>
      <c r="P843" t="s" s="0">
        <v>18373</v>
      </c>
      <c r="Q843" t="s" s="0">
        <v>87</v>
      </c>
      <c r="R843" t="s" s="0">
        <v>81</v>
      </c>
      <c r="S843" t="s" s="0">
        <v>81</v>
      </c>
      <c r="T843" t="s" s="0">
        <v>81</v>
      </c>
      <c r="U843" t="s" s="0">
        <v>81</v>
      </c>
      <c r="V843" t="s" s="0">
        <v>18374</v>
      </c>
      <c r="W843" t="s" s="0">
        <v>5983</v>
      </c>
      <c r="X843" t="s" s="0">
        <v>81</v>
      </c>
      <c r="Y843" t="s" s="0">
        <v>81</v>
      </c>
      <c r="Z843" t="s" s="0">
        <v>90</v>
      </c>
      <c r="AA843" t="s" s="0">
        <v>91</v>
      </c>
      <c r="AB843" t="s" s="0">
        <v>81</v>
      </c>
      <c r="AC843" t="s" s="0">
        <v>81</v>
      </c>
      <c r="AD843" t="s" s="0">
        <v>81</v>
      </c>
      <c r="AE843" t="s" s="0">
        <v>81</v>
      </c>
      <c r="AF843" t="s" s="0">
        <v>81</v>
      </c>
      <c r="AG843" t="s" s="0">
        <v>18375</v>
      </c>
      <c r="AH843" t="s" s="0">
        <v>18376</v>
      </c>
      <c r="AI843" t="s" s="0">
        <v>18377</v>
      </c>
      <c r="AJ843" t="s" s="0">
        <v>18378</v>
      </c>
      <c r="AK843" t="s" s="0">
        <v>81</v>
      </c>
      <c r="AL843" t="s" s="0">
        <v>914</v>
      </c>
      <c r="AM843" t="s" s="0">
        <v>486</v>
      </c>
      <c r="AN843" t="s" s="0">
        <v>104</v>
      </c>
      <c r="AO843" t="s" s="0">
        <v>156</v>
      </c>
      <c r="AP843" t="s" s="0">
        <v>316</v>
      </c>
      <c r="AQ843" t="s" s="0">
        <v>212</v>
      </c>
      <c r="AR843" t="s" s="0">
        <v>429</v>
      </c>
      <c r="AS843" t="s" s="0">
        <v>784</v>
      </c>
      <c r="AT843" t="s" s="0">
        <v>5987</v>
      </c>
      <c r="AU843" t="s" s="0">
        <v>5988</v>
      </c>
      <c r="AV843" t="s" s="0">
        <v>81</v>
      </c>
      <c r="AW843" t="s" s="0">
        <v>5989</v>
      </c>
      <c r="AX843" t="s" s="0">
        <v>5990</v>
      </c>
      <c r="AY843" t="s" s="0">
        <v>2108</v>
      </c>
      <c r="AZ843" t="s" s="0">
        <v>103</v>
      </c>
      <c r="BA843" t="s" s="0">
        <v>664</v>
      </c>
      <c r="BB843" t="s" s="0">
        <v>97</v>
      </c>
      <c r="BC843" t="s" s="0">
        <v>81</v>
      </c>
      <c r="BD843" t="s" s="0">
        <v>81</v>
      </c>
      <c r="BE843" t="s" s="0">
        <v>81</v>
      </c>
      <c r="BF843" t="s" s="0">
        <v>81</v>
      </c>
      <c r="BG843" t="s" s="0">
        <v>316</v>
      </c>
      <c r="BH843" t="s" s="0">
        <v>485</v>
      </c>
      <c r="BI843" t="s" s="0">
        <v>81</v>
      </c>
      <c r="BJ843" t="s" s="0">
        <v>18379</v>
      </c>
      <c r="BK843" t="s" s="1676">
        <f>HYPERLINK("http://dx.doi.org/10.1007/s10278-025-01493-8","http://dx.doi.org/10.1007/s10278-025-01493-8")</f>
        <v>18380</v>
      </c>
      <c r="BL843" t="s" s="0">
        <v>81</v>
      </c>
      <c r="BM843" t="s" s="0">
        <v>2502</v>
      </c>
      <c r="BN843" t="s" s="0">
        <v>104</v>
      </c>
      <c r="BO843" t="s" s="0">
        <v>738</v>
      </c>
      <c r="BP843" t="s" s="0">
        <v>738</v>
      </c>
      <c r="BQ843" t="s" s="0">
        <v>18381</v>
      </c>
      <c r="BR843" t="s" s="0">
        <v>18382</v>
      </c>
      <c r="BS843" t="s" s="0">
        <v>18383</v>
      </c>
      <c r="BT843" t="s" s="1677">
        <f>HYPERLINK("https://www.webofscience.com/wos/woscc/full-record/WOS:001461713100001","View Record in Web of Science")</f>
        <v>114</v>
      </c>
      <c r="BU843" t="s" s="0">
        <v>155</v>
      </c>
      <c r="BV843" t="s" s="0">
        <v>81</v>
      </c>
      <c r="BW843" t="s" s="0">
        <v>81</v>
      </c>
      <c r="BX843" t="s" s="0">
        <v>116</v>
      </c>
    </row>
    <row r="844">
      <c r="A844" t="s" s="0">
        <v>77</v>
      </c>
      <c r="B844" t="s" s="0">
        <v>77</v>
      </c>
      <c r="C844" t="s" s="0">
        <v>133</v>
      </c>
      <c r="D844" t="s" s="0">
        <v>77</v>
      </c>
      <c r="E844" t="s" s="0">
        <v>18384</v>
      </c>
      <c r="F844" t="s" s="0">
        <v>18385</v>
      </c>
      <c r="G844" t="s" s="0">
        <v>18386</v>
      </c>
      <c r="H844" t="s" s="0">
        <v>81</v>
      </c>
      <c r="I844" t="s" s="0">
        <v>82</v>
      </c>
      <c r="J844" t="s" s="0">
        <v>18387</v>
      </c>
      <c r="K844" t="s" s="0">
        <v>18388</v>
      </c>
      <c r="L844" t="s" s="0">
        <v>81</v>
      </c>
      <c r="M844" t="s" s="0">
        <v>81</v>
      </c>
      <c r="N844" t="s" s="0">
        <v>81</v>
      </c>
      <c r="O844" t="s" s="0">
        <v>18389</v>
      </c>
      <c r="P844" t="s" s="0">
        <v>18390</v>
      </c>
      <c r="Q844" t="s" s="0">
        <v>87</v>
      </c>
      <c r="R844" t="s" s="0">
        <v>81</v>
      </c>
      <c r="S844" t="s" s="0">
        <v>81</v>
      </c>
      <c r="T844" t="s" s="0">
        <v>81</v>
      </c>
      <c r="U844" t="s" s="0">
        <v>81</v>
      </c>
      <c r="V844" t="s" s="0">
        <v>18391</v>
      </c>
      <c r="W844" t="s" s="0">
        <v>279</v>
      </c>
      <c r="X844" t="s" s="0">
        <v>81</v>
      </c>
      <c r="Y844" t="s" s="0">
        <v>81</v>
      </c>
      <c r="Z844" t="s" s="0">
        <v>90</v>
      </c>
      <c r="AA844" t="s" s="0">
        <v>91</v>
      </c>
      <c r="AB844" t="s" s="0">
        <v>81</v>
      </c>
      <c r="AC844" t="s" s="0">
        <v>81</v>
      </c>
      <c r="AD844" t="s" s="0">
        <v>81</v>
      </c>
      <c r="AE844" t="s" s="0">
        <v>81</v>
      </c>
      <c r="AF844" t="s" s="0">
        <v>81</v>
      </c>
      <c r="AG844" t="s" s="0">
        <v>18392</v>
      </c>
      <c r="AH844" t="s" s="0">
        <v>81</v>
      </c>
      <c r="AI844" t="s" s="0">
        <v>18393</v>
      </c>
      <c r="AJ844" t="s" s="0">
        <v>81</v>
      </c>
      <c r="AK844" t="s" s="0">
        <v>81</v>
      </c>
      <c r="AL844" t="s" s="0">
        <v>1912</v>
      </c>
      <c r="AM844" t="s" s="0">
        <v>295</v>
      </c>
      <c r="AN844" t="s" s="0">
        <v>109</v>
      </c>
      <c r="AO844" t="s" s="0">
        <v>97</v>
      </c>
      <c r="AP844" t="s" s="0">
        <v>295</v>
      </c>
      <c r="AQ844" t="s" s="0">
        <v>284</v>
      </c>
      <c r="AR844" t="s" s="0">
        <v>285</v>
      </c>
      <c r="AS844" t="s" s="0">
        <v>286</v>
      </c>
      <c r="AT844" t="s" s="0">
        <v>81</v>
      </c>
      <c r="AU844" t="s" s="0">
        <v>287</v>
      </c>
      <c r="AV844" t="s" s="0">
        <v>81</v>
      </c>
      <c r="AW844" t="s" s="0">
        <v>279</v>
      </c>
      <c r="AX844" t="s" s="0">
        <v>288</v>
      </c>
      <c r="AY844" t="s" s="0">
        <v>4409</v>
      </c>
      <c r="AZ844" t="s" s="0">
        <v>185</v>
      </c>
      <c r="BA844" t="s" s="0">
        <v>104</v>
      </c>
      <c r="BB844" t="s" s="0">
        <v>133</v>
      </c>
      <c r="BC844" t="s" s="0">
        <v>81</v>
      </c>
      <c r="BD844" t="s" s="0">
        <v>81</v>
      </c>
      <c r="BE844" t="s" s="0">
        <v>81</v>
      </c>
      <c r="BF844" t="s" s="0">
        <v>81</v>
      </c>
      <c r="BG844" t="s" s="0">
        <v>81</v>
      </c>
      <c r="BH844" t="s" s="0">
        <v>81</v>
      </c>
      <c r="BI844" t="s" s="0">
        <v>18394</v>
      </c>
      <c r="BJ844" t="s" s="0">
        <v>18395</v>
      </c>
      <c r="BK844" t="s" s="1678">
        <f>HYPERLINK("http://dx.doi.org/10.3390/diagnostics14050543","http://dx.doi.org/10.3390/diagnostics14050543")</f>
        <v>18396</v>
      </c>
      <c r="BL844" t="s" s="0">
        <v>81</v>
      </c>
      <c r="BM844" t="s" s="0">
        <v>81</v>
      </c>
      <c r="BN844" t="s" s="0">
        <v>485</v>
      </c>
      <c r="BO844" t="s" s="0">
        <v>296</v>
      </c>
      <c r="BP844" t="s" s="0">
        <v>297</v>
      </c>
      <c r="BQ844" t="s" s="0">
        <v>18397</v>
      </c>
      <c r="BR844" t="s" s="0">
        <v>18398</v>
      </c>
      <c r="BS844" t="s" s="0">
        <v>18399</v>
      </c>
      <c r="BT844" t="s" s="1679">
        <f>HYPERLINK("https://www.webofscience.com/wos/woscc/full-record/WOS:001182885200001","View Record in Web of Science")</f>
        <v>114</v>
      </c>
      <c r="BU844" t="s" s="0">
        <v>301</v>
      </c>
      <c r="BV844" t="s" s="0">
        <v>81</v>
      </c>
      <c r="BW844" t="s" s="0">
        <v>81</v>
      </c>
      <c r="BX844" t="s" s="0">
        <v>116</v>
      </c>
    </row>
    <row r="845">
      <c r="A845" t="s" s="0">
        <v>77</v>
      </c>
      <c r="B845" t="s" s="0">
        <v>77</v>
      </c>
      <c r="C845" t="s" s="0">
        <v>261</v>
      </c>
      <c r="D845" t="s" s="0">
        <v>97</v>
      </c>
      <c r="E845" t="s" s="0">
        <v>18400</v>
      </c>
      <c r="F845" t="s" s="0">
        <v>18401</v>
      </c>
      <c r="G845" t="s" s="0">
        <v>18402</v>
      </c>
      <c r="H845" t="s" s="0">
        <v>81</v>
      </c>
      <c r="I845" t="s" s="0">
        <v>82</v>
      </c>
      <c r="J845" t="s" s="0">
        <v>18403</v>
      </c>
      <c r="K845" t="s" s="0">
        <v>18404</v>
      </c>
      <c r="L845" t="s" s="0">
        <v>81</v>
      </c>
      <c r="M845" t="s" s="0">
        <v>81</v>
      </c>
      <c r="N845" t="s" s="0">
        <v>81</v>
      </c>
      <c r="O845" t="s" s="0">
        <v>18405</v>
      </c>
      <c r="P845" t="s" s="0">
        <v>18406</v>
      </c>
      <c r="Q845" t="s" s="0">
        <v>87</v>
      </c>
      <c r="R845" t="s" s="0">
        <v>81</v>
      </c>
      <c r="S845" t="s" s="0">
        <v>81</v>
      </c>
      <c r="T845" t="s" s="0">
        <v>81</v>
      </c>
      <c r="U845" t="s" s="0">
        <v>81</v>
      </c>
      <c r="V845" t="s" s="0">
        <v>18407</v>
      </c>
      <c r="W845" t="s" s="0">
        <v>5243</v>
      </c>
      <c r="X845" t="s" s="0">
        <v>81</v>
      </c>
      <c r="Y845" t="s" s="0">
        <v>81</v>
      </c>
      <c r="Z845" t="s" s="0">
        <v>90</v>
      </c>
      <c r="AA845" t="s" s="0">
        <v>91</v>
      </c>
      <c r="AB845" t="s" s="0">
        <v>81</v>
      </c>
      <c r="AC845" t="s" s="0">
        <v>81</v>
      </c>
      <c r="AD845" t="s" s="0">
        <v>81</v>
      </c>
      <c r="AE845" t="s" s="0">
        <v>81</v>
      </c>
      <c r="AF845" t="s" s="0">
        <v>81</v>
      </c>
      <c r="AG845" t="s" s="0">
        <v>18408</v>
      </c>
      <c r="AH845" t="s" s="0">
        <v>18409</v>
      </c>
      <c r="AI845" t="s" s="0">
        <v>18410</v>
      </c>
      <c r="AJ845" t="s" s="0">
        <v>18411</v>
      </c>
      <c r="AK845" t="s" s="0">
        <v>81</v>
      </c>
      <c r="AL845" t="s" s="0">
        <v>2878</v>
      </c>
      <c r="AM845" t="s" s="0">
        <v>1049</v>
      </c>
      <c r="AN845" t="s" s="0">
        <v>1511</v>
      </c>
      <c r="AO845" t="s" s="0">
        <v>135</v>
      </c>
      <c r="AP845" t="s" s="0">
        <v>2258</v>
      </c>
      <c r="AQ845" t="s" s="0">
        <v>136</v>
      </c>
      <c r="AR845" t="s" s="0">
        <v>137</v>
      </c>
      <c r="AS845" t="s" s="0">
        <v>138</v>
      </c>
      <c r="AT845" t="s" s="0">
        <v>5248</v>
      </c>
      <c r="AU845" t="s" s="0">
        <v>5249</v>
      </c>
      <c r="AV845" t="s" s="0">
        <v>81</v>
      </c>
      <c r="AW845" t="s" s="0">
        <v>5250</v>
      </c>
      <c r="AX845" t="s" s="0">
        <v>5251</v>
      </c>
      <c r="AY845" t="s" s="0">
        <v>4409</v>
      </c>
      <c r="AZ845" t="s" s="0">
        <v>185</v>
      </c>
      <c r="BA845" t="s" s="0">
        <v>18412</v>
      </c>
      <c r="BB845" t="s" s="0">
        <v>81</v>
      </c>
      <c r="BC845" t="s" s="0">
        <v>81</v>
      </c>
      <c r="BD845" t="s" s="0">
        <v>81</v>
      </c>
      <c r="BE845" t="s" s="0">
        <v>81</v>
      </c>
      <c r="BF845" t="s" s="0">
        <v>81</v>
      </c>
      <c r="BG845" t="s" s="0">
        <v>81</v>
      </c>
      <c r="BH845" t="s" s="0">
        <v>81</v>
      </c>
      <c r="BI845" t="s" s="0">
        <v>18413</v>
      </c>
      <c r="BJ845" t="s" s="0">
        <v>18414</v>
      </c>
      <c r="BK845" t="s" s="1680">
        <f>HYPERLINK("http://dx.doi.org/10.1016/j.artmed.2024.102769","http://dx.doi.org/10.1016/j.artmed.2024.102769")</f>
        <v>18415</v>
      </c>
      <c r="BL845" t="s" s="0">
        <v>81</v>
      </c>
      <c r="BM845" t="s" s="0">
        <v>6722</v>
      </c>
      <c r="BN845" t="s" s="0">
        <v>134</v>
      </c>
      <c r="BO845" t="s" s="0">
        <v>5256</v>
      </c>
      <c r="BP845" t="s" s="0">
        <v>3235</v>
      </c>
      <c r="BQ845" t="s" s="0">
        <v>18416</v>
      </c>
      <c r="BR845" t="s" s="0">
        <v>18417</v>
      </c>
      <c r="BS845" t="s" s="0">
        <v>18418</v>
      </c>
      <c r="BT845" t="s" s="1681">
        <f>HYPERLINK("https://www.webofscience.com/wos/woscc/full-record/WOS:001169820600001","View Record in Web of Science")</f>
        <v>114</v>
      </c>
      <c r="BU845" t="s" s="0">
        <v>155</v>
      </c>
      <c r="BV845" t="s" s="0">
        <v>81</v>
      </c>
      <c r="BW845" t="s" s="0">
        <v>81</v>
      </c>
      <c r="BX845" t="s" s="0">
        <v>116</v>
      </c>
    </row>
    <row r="846">
      <c r="A846" t="s" s="0">
        <v>77</v>
      </c>
      <c r="B846" t="s" s="0">
        <v>77</v>
      </c>
      <c r="C846" t="s" s="0">
        <v>97</v>
      </c>
      <c r="D846" t="s" s="0">
        <v>77</v>
      </c>
      <c r="E846" t="s" s="0">
        <v>18419</v>
      </c>
      <c r="F846" t="s" s="0">
        <v>18420</v>
      </c>
      <c r="G846" t="s" s="0">
        <v>18421</v>
      </c>
      <c r="H846" t="s" s="0">
        <v>81</v>
      </c>
      <c r="I846" t="s" s="0">
        <v>82</v>
      </c>
      <c r="J846" t="s" s="0">
        <v>18422</v>
      </c>
      <c r="K846" t="s" s="0">
        <v>18423</v>
      </c>
      <c r="L846" t="s" s="0">
        <v>81</v>
      </c>
      <c r="M846" t="s" s="0">
        <v>81</v>
      </c>
      <c r="N846" t="s" s="0">
        <v>81</v>
      </c>
      <c r="O846" t="s" s="0">
        <v>18424</v>
      </c>
      <c r="P846" t="s" s="0">
        <v>18425</v>
      </c>
      <c r="Q846" t="s" s="0">
        <v>87</v>
      </c>
      <c r="R846" t="s" s="0">
        <v>81</v>
      </c>
      <c r="S846" t="s" s="0">
        <v>81</v>
      </c>
      <c r="T846" t="s" s="0">
        <v>81</v>
      </c>
      <c r="U846" t="s" s="0">
        <v>81</v>
      </c>
      <c r="V846" t="s" s="0">
        <v>18426</v>
      </c>
      <c r="W846" t="s" s="0">
        <v>4142</v>
      </c>
      <c r="X846" t="s" s="0">
        <v>81</v>
      </c>
      <c r="Y846" t="s" s="0">
        <v>81</v>
      </c>
      <c r="Z846" t="s" s="0">
        <v>90</v>
      </c>
      <c r="AA846" t="s" s="0">
        <v>91</v>
      </c>
      <c r="AB846" t="s" s="0">
        <v>81</v>
      </c>
      <c r="AC846" t="s" s="0">
        <v>81</v>
      </c>
      <c r="AD846" t="s" s="0">
        <v>81</v>
      </c>
      <c r="AE846" t="s" s="0">
        <v>81</v>
      </c>
      <c r="AF846" t="s" s="0">
        <v>81</v>
      </c>
      <c r="AG846" t="s" s="0">
        <v>18427</v>
      </c>
      <c r="AH846" t="s" s="0">
        <v>18428</v>
      </c>
      <c r="AI846" t="s" s="0">
        <v>18429</v>
      </c>
      <c r="AJ846" t="s" s="0">
        <v>18430</v>
      </c>
      <c r="AK846" t="s" s="0">
        <v>81</v>
      </c>
      <c r="AL846" t="s" s="0">
        <v>544</v>
      </c>
      <c r="AM846" t="s" s="0">
        <v>542</v>
      </c>
      <c r="AN846" t="s" s="0">
        <v>1442</v>
      </c>
      <c r="AO846" t="s" s="0">
        <v>134</v>
      </c>
      <c r="AP846" t="s" s="0">
        <v>96</v>
      </c>
      <c r="AQ846" t="s" s="0">
        <v>212</v>
      </c>
      <c r="AR846" t="s" s="0">
        <v>213</v>
      </c>
      <c r="AS846" t="s" s="0">
        <v>214</v>
      </c>
      <c r="AT846" t="s" s="0">
        <v>4145</v>
      </c>
      <c r="AU846" t="s" s="0">
        <v>4146</v>
      </c>
      <c r="AV846" t="s" s="0">
        <v>81</v>
      </c>
      <c r="AW846" t="s" s="0">
        <v>4147</v>
      </c>
      <c r="AX846" t="s" s="0">
        <v>4148</v>
      </c>
      <c r="AY846" t="s" s="0">
        <v>557</v>
      </c>
      <c r="AZ846" t="s" s="0">
        <v>260</v>
      </c>
      <c r="BA846" t="s" s="0">
        <v>109</v>
      </c>
      <c r="BB846" t="s" s="0">
        <v>97</v>
      </c>
      <c r="BC846" t="s" s="0">
        <v>4172</v>
      </c>
      <c r="BD846" t="s" s="0">
        <v>81</v>
      </c>
      <c r="BE846" t="s" s="0">
        <v>81</v>
      </c>
      <c r="BF846" t="s" s="0">
        <v>81</v>
      </c>
      <c r="BG846" t="s" s="0">
        <v>890</v>
      </c>
      <c r="BH846" t="s" s="0">
        <v>398</v>
      </c>
      <c r="BI846" t="s" s="0">
        <v>81</v>
      </c>
      <c r="BJ846" t="s" s="0">
        <v>18431</v>
      </c>
      <c r="BK846" t="s" s="1682">
        <f>HYPERLINK("http://dx.doi.org/10.1007/s10796-022-10336-8","http://dx.doi.org/10.1007/s10796-022-10336-8")</f>
        <v>18432</v>
      </c>
      <c r="BL846" t="s" s="0">
        <v>81</v>
      </c>
      <c r="BM846" t="s" s="0">
        <v>5575</v>
      </c>
      <c r="BN846" t="s" s="0">
        <v>228</v>
      </c>
      <c r="BO846" t="s" s="0">
        <v>4151</v>
      </c>
      <c r="BP846" t="s" s="0">
        <v>152</v>
      </c>
      <c r="BQ846" t="s" s="0">
        <v>18433</v>
      </c>
      <c r="BR846" t="s" s="0">
        <v>81</v>
      </c>
      <c r="BS846" t="s" s="0">
        <v>18434</v>
      </c>
      <c r="BT846" t="s" s="1683">
        <f>HYPERLINK("https://www.webofscience.com/wos/woscc/full-record/WOS:000863200600001","View Record in Web of Science")</f>
        <v>114</v>
      </c>
      <c r="BU846" t="s" s="0">
        <v>81</v>
      </c>
      <c r="BV846" t="s" s="0">
        <v>81</v>
      </c>
      <c r="BW846" t="s" s="0">
        <v>81</v>
      </c>
      <c r="BX846" t="s" s="0">
        <v>116</v>
      </c>
    </row>
    <row r="847">
      <c r="A847" t="s" s="0">
        <v>77</v>
      </c>
      <c r="B847" t="s" s="0">
        <v>77</v>
      </c>
      <c r="C847" t="s" s="0">
        <v>77</v>
      </c>
      <c r="D847" t="s" s="0">
        <v>77</v>
      </c>
      <c r="E847" t="s" s="0">
        <v>18435</v>
      </c>
      <c r="F847" t="s" s="0">
        <v>18436</v>
      </c>
      <c r="G847" t="s" s="0">
        <v>18437</v>
      </c>
      <c r="H847" t="s" s="0">
        <v>81</v>
      </c>
      <c r="I847" t="s" s="0">
        <v>82</v>
      </c>
      <c r="J847" t="s" s="0">
        <v>18438</v>
      </c>
      <c r="K847" t="s" s="0">
        <v>18439</v>
      </c>
      <c r="L847" t="s" s="0">
        <v>18440</v>
      </c>
      <c r="M847" t="s" s="0">
        <v>18441</v>
      </c>
      <c r="N847" t="s" s="0">
        <v>18442</v>
      </c>
      <c r="O847" t="s" s="0">
        <v>18443</v>
      </c>
      <c r="P847" t="s" s="0">
        <v>18444</v>
      </c>
      <c r="Q847" t="s" s="0">
        <v>87</v>
      </c>
      <c r="R847" t="s" s="0">
        <v>81</v>
      </c>
      <c r="S847" t="s" s="0">
        <v>81</v>
      </c>
      <c r="T847" t="s" s="0">
        <v>81</v>
      </c>
      <c r="U847" t="s" s="0">
        <v>81</v>
      </c>
      <c r="V847" t="s" s="0">
        <v>18445</v>
      </c>
      <c r="W847" t="s" s="0">
        <v>18446</v>
      </c>
      <c r="X847" t="s" s="0">
        <v>81</v>
      </c>
      <c r="Y847" t="s" s="0">
        <v>81</v>
      </c>
      <c r="Z847" t="s" s="0">
        <v>90</v>
      </c>
      <c r="AA847" t="s" s="0">
        <v>91</v>
      </c>
      <c r="AB847" t="s" s="0">
        <v>81</v>
      </c>
      <c r="AC847" t="s" s="0">
        <v>81</v>
      </c>
      <c r="AD847" t="s" s="0">
        <v>81</v>
      </c>
      <c r="AE847" t="s" s="0">
        <v>81</v>
      </c>
      <c r="AF847" t="s" s="0">
        <v>81</v>
      </c>
      <c r="AG847" t="s" s="0">
        <v>18447</v>
      </c>
      <c r="AH847" t="s" s="0">
        <v>18448</v>
      </c>
      <c r="AI847" t="s" s="0">
        <v>18449</v>
      </c>
      <c r="AJ847" t="s" s="0">
        <v>81</v>
      </c>
      <c r="AK847" t="s" s="0">
        <v>81</v>
      </c>
      <c r="AL847" t="s" s="0">
        <v>2422</v>
      </c>
      <c r="AM847" t="s" s="0">
        <v>77</v>
      </c>
      <c r="AN847" t="s" s="0">
        <v>77</v>
      </c>
      <c r="AO847" t="s" s="0">
        <v>97</v>
      </c>
      <c r="AP847" t="s" s="0">
        <v>97</v>
      </c>
      <c r="AQ847" t="s" s="0">
        <v>665</v>
      </c>
      <c r="AR847" t="s" s="0">
        <v>546</v>
      </c>
      <c r="AS847" t="s" s="0">
        <v>666</v>
      </c>
      <c r="AT847" t="s" s="0">
        <v>81</v>
      </c>
      <c r="AU847" t="s" s="0">
        <v>18450</v>
      </c>
      <c r="AV847" t="s" s="0">
        <v>81</v>
      </c>
      <c r="AW847" t="s" s="0">
        <v>18451</v>
      </c>
      <c r="AX847" t="s" s="0">
        <v>18452</v>
      </c>
      <c r="AY847" t="s" s="0">
        <v>2857</v>
      </c>
      <c r="AZ847" t="s" s="0">
        <v>103</v>
      </c>
      <c r="BA847" t="s" s="0">
        <v>135</v>
      </c>
      <c r="BB847" t="s" s="0">
        <v>97</v>
      </c>
      <c r="BC847" t="s" s="0">
        <v>81</v>
      </c>
      <c r="BD847" t="s" s="0">
        <v>81</v>
      </c>
      <c r="BE847" t="s" s="0">
        <v>81</v>
      </c>
      <c r="BF847" t="s" s="0">
        <v>81</v>
      </c>
      <c r="BG847" t="s" s="0">
        <v>81</v>
      </c>
      <c r="BH847" t="s" s="0">
        <v>81</v>
      </c>
      <c r="BI847" t="s" s="0">
        <v>18453</v>
      </c>
      <c r="BJ847" t="s" s="0">
        <v>18454</v>
      </c>
      <c r="BK847" t="s" s="1684">
        <f>HYPERLINK("http://dx.doi.org/10.1186/s12984-026-01997-6","http://dx.doi.org/10.1186/s12984-026-01997-6")</f>
        <v>18455</v>
      </c>
      <c r="BL847" t="s" s="0">
        <v>81</v>
      </c>
      <c r="BM847" t="s" s="0">
        <v>948</v>
      </c>
      <c r="BN847" t="s" s="0">
        <v>104</v>
      </c>
      <c r="BO847" t="s" s="0">
        <v>18456</v>
      </c>
      <c r="BP847" t="s" s="0">
        <v>18457</v>
      </c>
      <c r="BQ847" t="s" s="0">
        <v>18458</v>
      </c>
      <c r="BR847" t="s" s="0">
        <v>18459</v>
      </c>
      <c r="BS847" t="s" s="0">
        <v>18460</v>
      </c>
      <c r="BT847" t="s" s="1685">
        <f>HYPERLINK("https://www.webofscience.com/wos/woscc/full-record/WOS:001792195200004","View Record in Web of Science")</f>
        <v>114</v>
      </c>
      <c r="BU847" t="s" s="0">
        <v>6488</v>
      </c>
      <c r="BV847" t="s" s="0">
        <v>81</v>
      </c>
      <c r="BW847" t="s" s="0">
        <v>81</v>
      </c>
      <c r="BX847" t="s" s="0">
        <v>116</v>
      </c>
    </row>
    <row r="848">
      <c r="A848" t="s" s="0">
        <v>77</v>
      </c>
      <c r="B848" t="s" s="0">
        <v>77</v>
      </c>
      <c r="C848" t="s" s="0">
        <v>77</v>
      </c>
      <c r="D848" t="s" s="0">
        <v>77</v>
      </c>
      <c r="E848" t="s" s="0">
        <v>18461</v>
      </c>
      <c r="F848" t="s" s="0">
        <v>18462</v>
      </c>
      <c r="G848" t="s" s="0">
        <v>18463</v>
      </c>
      <c r="H848" t="s" s="0">
        <v>81</v>
      </c>
      <c r="I848" t="s" s="0">
        <v>238</v>
      </c>
      <c r="J848" t="s" s="0">
        <v>18464</v>
      </c>
      <c r="K848" t="s" s="0">
        <v>18465</v>
      </c>
      <c r="L848" t="s" s="0">
        <v>18466</v>
      </c>
      <c r="M848" t="s" s="0">
        <v>18467</v>
      </c>
      <c r="N848" t="s" s="0">
        <v>18468</v>
      </c>
      <c r="O848" t="s" s="0">
        <v>18469</v>
      </c>
      <c r="P848" t="s" s="0">
        <v>18470</v>
      </c>
      <c r="Q848" t="s" s="0">
        <v>87</v>
      </c>
      <c r="R848" t="s" s="0">
        <v>81</v>
      </c>
      <c r="S848" t="s" s="0">
        <v>81</v>
      </c>
      <c r="T848" t="s" s="0">
        <v>81</v>
      </c>
      <c r="U848" t="s" s="0">
        <v>81</v>
      </c>
      <c r="V848" t="s" s="0">
        <v>18471</v>
      </c>
      <c r="W848" t="s" s="0">
        <v>18472</v>
      </c>
      <c r="X848" t="s" s="0">
        <v>81</v>
      </c>
      <c r="Y848" t="s" s="0">
        <v>81</v>
      </c>
      <c r="Z848" t="s" s="0">
        <v>90</v>
      </c>
      <c r="AA848" t="s" s="0">
        <v>91</v>
      </c>
      <c r="AB848" t="s" s="0">
        <v>81</v>
      </c>
      <c r="AC848" t="s" s="0">
        <v>81</v>
      </c>
      <c r="AD848" t="s" s="0">
        <v>81</v>
      </c>
      <c r="AE848" t="s" s="0">
        <v>81</v>
      </c>
      <c r="AF848" t="s" s="0">
        <v>81</v>
      </c>
      <c r="AG848" t="s" s="0">
        <v>18473</v>
      </c>
      <c r="AH848" t="s" s="0">
        <v>18474</v>
      </c>
      <c r="AI848" t="s" s="0">
        <v>18475</v>
      </c>
      <c r="AJ848" t="s" s="0">
        <v>18476</v>
      </c>
      <c r="AK848" t="s" s="0">
        <v>81</v>
      </c>
      <c r="AL848" t="s" s="0">
        <v>343</v>
      </c>
      <c r="AM848" t="s" s="0">
        <v>196</v>
      </c>
      <c r="AN848" t="s" s="0">
        <v>196</v>
      </c>
      <c r="AO848" t="s" s="0">
        <v>77</v>
      </c>
      <c r="AP848" t="s" s="0">
        <v>211</v>
      </c>
      <c r="AQ848" t="s" s="0">
        <v>3016</v>
      </c>
      <c r="AR848" t="s" s="0">
        <v>546</v>
      </c>
      <c r="AS848" t="s" s="0">
        <v>3017</v>
      </c>
      <c r="AT848" t="s" s="0">
        <v>81</v>
      </c>
      <c r="AU848" t="s" s="0">
        <v>18477</v>
      </c>
      <c r="AV848" t="s" s="0">
        <v>81</v>
      </c>
      <c r="AW848" t="s" s="0">
        <v>18478</v>
      </c>
      <c r="AX848" t="s" s="0">
        <v>18479</v>
      </c>
      <c r="AY848" t="s" s="0">
        <v>289</v>
      </c>
      <c r="AZ848" t="s" s="0">
        <v>290</v>
      </c>
      <c r="BA848" t="s" s="0">
        <v>324</v>
      </c>
      <c r="BB848" t="s" s="0">
        <v>97</v>
      </c>
      <c r="BC848" t="s" s="0">
        <v>81</v>
      </c>
      <c r="BD848" t="s" s="0">
        <v>81</v>
      </c>
      <c r="BE848" t="s" s="0">
        <v>81</v>
      </c>
      <c r="BF848" t="s" s="0">
        <v>81</v>
      </c>
      <c r="BG848" t="s" s="0">
        <v>18480</v>
      </c>
      <c r="BH848" t="s" s="0">
        <v>18481</v>
      </c>
      <c r="BI848" t="s" s="0">
        <v>81</v>
      </c>
      <c r="BJ848" t="s" s="0">
        <v>18482</v>
      </c>
      <c r="BK848" t="s" s="1686">
        <f>HYPERLINK("http://dx.doi.org/10.1007/s40670-024-02181-y","http://dx.doi.org/10.1007/s40670-024-02181-y")</f>
        <v>18483</v>
      </c>
      <c r="BL848" t="s" s="0">
        <v>81</v>
      </c>
      <c r="BM848" t="s" s="0">
        <v>6550</v>
      </c>
      <c r="BN848" t="s" s="0">
        <v>134</v>
      </c>
      <c r="BO848" t="s" s="0">
        <v>6067</v>
      </c>
      <c r="BP848" t="s" s="0">
        <v>6068</v>
      </c>
      <c r="BQ848" t="s" s="0">
        <v>18484</v>
      </c>
      <c r="BR848" t="s" s="0">
        <v>18485</v>
      </c>
      <c r="BS848" t="s" s="0">
        <v>18486</v>
      </c>
      <c r="BT848" t="s" s="1687">
        <f>HYPERLINK("https://www.webofscience.com/wos/woscc/full-record/WOS:001322417400002","View Record in Web of Science")</f>
        <v>114</v>
      </c>
      <c r="BU848" t="s" s="0">
        <v>3140</v>
      </c>
      <c r="BV848" t="s" s="0">
        <v>81</v>
      </c>
      <c r="BW848" t="s" s="0">
        <v>81</v>
      </c>
      <c r="BX848" t="s" s="0">
        <v>116</v>
      </c>
    </row>
    <row r="849">
      <c r="A849" t="s" s="0">
        <v>77</v>
      </c>
      <c r="B849" t="s" s="0">
        <v>77</v>
      </c>
      <c r="C849" t="s" s="0">
        <v>77</v>
      </c>
      <c r="D849" t="s" s="0">
        <v>77</v>
      </c>
      <c r="E849" t="s" s="0">
        <v>18487</v>
      </c>
      <c r="F849" t="s" s="0">
        <v>18488</v>
      </c>
      <c r="G849" t="s" s="0">
        <v>18489</v>
      </c>
      <c r="H849" t="s" s="0">
        <v>81</v>
      </c>
      <c r="I849" t="s" s="0">
        <v>238</v>
      </c>
      <c r="J849" t="s" s="0">
        <v>18490</v>
      </c>
      <c r="K849" t="s" s="0">
        <v>18491</v>
      </c>
      <c r="L849" t="s" s="0">
        <v>18492</v>
      </c>
      <c r="M849" t="s" s="0">
        <v>18492</v>
      </c>
      <c r="N849" t="s" s="0">
        <v>18493</v>
      </c>
      <c r="O849" t="s" s="0">
        <v>18494</v>
      </c>
      <c r="P849" t="s" s="0">
        <v>18495</v>
      </c>
      <c r="Q849" t="s" s="0">
        <v>87</v>
      </c>
      <c r="R849" t="s" s="0">
        <v>81</v>
      </c>
      <c r="S849" t="s" s="0">
        <v>81</v>
      </c>
      <c r="T849" t="s" s="0">
        <v>81</v>
      </c>
      <c r="U849" t="s" s="0">
        <v>81</v>
      </c>
      <c r="V849" t="s" s="0">
        <v>18496</v>
      </c>
      <c r="W849" t="s" s="0">
        <v>5713</v>
      </c>
      <c r="X849" t="s" s="0">
        <v>81</v>
      </c>
      <c r="Y849" t="s" s="0">
        <v>81</v>
      </c>
      <c r="Z849" t="s" s="0">
        <v>90</v>
      </c>
      <c r="AA849" t="s" s="0">
        <v>91</v>
      </c>
      <c r="AB849" t="s" s="0">
        <v>81</v>
      </c>
      <c r="AC849" t="s" s="0">
        <v>81</v>
      </c>
      <c r="AD849" t="s" s="0">
        <v>81</v>
      </c>
      <c r="AE849" t="s" s="0">
        <v>81</v>
      </c>
      <c r="AF849" t="s" s="0">
        <v>81</v>
      </c>
      <c r="AG849" t="s" s="0">
        <v>18497</v>
      </c>
      <c r="AH849" t="s" s="0">
        <v>81</v>
      </c>
      <c r="AI849" t="s" s="0">
        <v>18498</v>
      </c>
      <c r="AJ849" t="s" s="0">
        <v>18499</v>
      </c>
      <c r="AK849" t="s" s="0">
        <v>81</v>
      </c>
      <c r="AL849" t="s" s="0">
        <v>1635</v>
      </c>
      <c r="AM849" t="s" s="0">
        <v>234</v>
      </c>
      <c r="AN849" t="s" s="0">
        <v>381</v>
      </c>
      <c r="AO849" t="s" s="0">
        <v>175</v>
      </c>
      <c r="AP849" t="s" s="0">
        <v>381</v>
      </c>
      <c r="AQ849" t="s" s="0">
        <v>284</v>
      </c>
      <c r="AR849" t="s" s="0">
        <v>285</v>
      </c>
      <c r="AS849" t="s" s="0">
        <v>286</v>
      </c>
      <c r="AT849" t="s" s="0">
        <v>81</v>
      </c>
      <c r="AU849" t="s" s="0">
        <v>5717</v>
      </c>
      <c r="AV849" t="s" s="0">
        <v>81</v>
      </c>
      <c r="AW849" t="s" s="0">
        <v>5713</v>
      </c>
      <c r="AX849" t="s" s="0">
        <v>5718</v>
      </c>
      <c r="AY849" t="s" s="0">
        <v>6826</v>
      </c>
      <c r="AZ849" t="s" s="0">
        <v>290</v>
      </c>
      <c r="BA849" t="s" s="0">
        <v>925</v>
      </c>
      <c r="BB849" t="s" s="0">
        <v>133</v>
      </c>
      <c r="BC849" t="s" s="0">
        <v>81</v>
      </c>
      <c r="BD849" t="s" s="0">
        <v>81</v>
      </c>
      <c r="BE849" t="s" s="0">
        <v>81</v>
      </c>
      <c r="BF849" t="s" s="0">
        <v>81</v>
      </c>
      <c r="BG849" t="s" s="0">
        <v>81</v>
      </c>
      <c r="BH849" t="s" s="0">
        <v>81</v>
      </c>
      <c r="BI849" t="s" s="0">
        <v>18500</v>
      </c>
      <c r="BJ849" t="s" s="0">
        <v>18501</v>
      </c>
      <c r="BK849" t="s" s="1688">
        <f>HYPERLINK("http://dx.doi.org/10.3390/info16050358","http://dx.doi.org/10.3390/info16050358")</f>
        <v>18502</v>
      </c>
      <c r="BL849" t="s" s="0">
        <v>81</v>
      </c>
      <c r="BM849" t="s" s="0">
        <v>81</v>
      </c>
      <c r="BN849" t="s" s="0">
        <v>485</v>
      </c>
      <c r="BO849" t="s" s="0">
        <v>5722</v>
      </c>
      <c r="BP849" t="s" s="0">
        <v>152</v>
      </c>
      <c r="BQ849" t="s" s="0">
        <v>18503</v>
      </c>
      <c r="BR849" t="s" s="0">
        <v>81</v>
      </c>
      <c r="BS849" t="s" s="0">
        <v>18504</v>
      </c>
      <c r="BT849" t="s" s="1689">
        <f>HYPERLINK("https://www.webofscience.com/wos/woscc/full-record/WOS:001496953600001","View Record in Web of Science")</f>
        <v>114</v>
      </c>
      <c r="BU849" t="s" s="0">
        <v>301</v>
      </c>
      <c r="BV849" t="s" s="0">
        <v>81</v>
      </c>
      <c r="BW849" t="s" s="0">
        <v>81</v>
      </c>
      <c r="BX849" t="s" s="0">
        <v>116</v>
      </c>
    </row>
    <row r="850">
      <c r="A850" t="s" s="0">
        <v>77</v>
      </c>
      <c r="B850" t="s" s="0">
        <v>77</v>
      </c>
      <c r="C850" t="s" s="0">
        <v>77</v>
      </c>
      <c r="D850" t="s" s="0">
        <v>77</v>
      </c>
      <c r="E850" t="s" s="0">
        <v>18505</v>
      </c>
      <c r="F850" t="s" s="0">
        <v>18506</v>
      </c>
      <c r="G850" t="s" s="0">
        <v>18507</v>
      </c>
      <c r="H850" t="s" s="0">
        <v>81</v>
      </c>
      <c r="I850" t="s" s="0">
        <v>82</v>
      </c>
      <c r="J850" t="s" s="0">
        <v>18508</v>
      </c>
      <c r="K850" t="s" s="0">
        <v>18509</v>
      </c>
      <c r="L850" t="s" s="0">
        <v>18510</v>
      </c>
      <c r="M850" t="s" s="0">
        <v>18511</v>
      </c>
      <c r="N850" t="s" s="0">
        <v>18512</v>
      </c>
      <c r="O850" t="s" s="0">
        <v>18513</v>
      </c>
      <c r="P850" t="s" s="0">
        <v>18514</v>
      </c>
      <c r="Q850" t="s" s="0">
        <v>87</v>
      </c>
      <c r="R850" t="s" s="0">
        <v>81</v>
      </c>
      <c r="S850" t="s" s="0">
        <v>81</v>
      </c>
      <c r="T850" t="s" s="0">
        <v>81</v>
      </c>
      <c r="U850" t="s" s="0">
        <v>81</v>
      </c>
      <c r="V850" t="s" s="0">
        <v>18515</v>
      </c>
      <c r="W850" t="s" s="0">
        <v>3058</v>
      </c>
      <c r="X850" t="s" s="0">
        <v>81</v>
      </c>
      <c r="Y850" t="s" s="0">
        <v>81</v>
      </c>
      <c r="Z850" t="s" s="0">
        <v>90</v>
      </c>
      <c r="AA850" t="s" s="0">
        <v>91</v>
      </c>
      <c r="AB850" t="s" s="0">
        <v>81</v>
      </c>
      <c r="AC850" t="s" s="0">
        <v>81</v>
      </c>
      <c r="AD850" t="s" s="0">
        <v>81</v>
      </c>
      <c r="AE850" t="s" s="0">
        <v>81</v>
      </c>
      <c r="AF850" t="s" s="0">
        <v>81</v>
      </c>
      <c r="AG850" t="s" s="0">
        <v>18516</v>
      </c>
      <c r="AH850" t="s" s="0">
        <v>81</v>
      </c>
      <c r="AI850" t="s" s="0">
        <v>18517</v>
      </c>
      <c r="AJ850" t="s" s="0">
        <v>18518</v>
      </c>
      <c r="AK850" t="s" s="0">
        <v>81</v>
      </c>
      <c r="AL850" t="s" s="0">
        <v>819</v>
      </c>
      <c r="AM850" t="s" s="0">
        <v>175</v>
      </c>
      <c r="AN850" t="s" s="0">
        <v>175</v>
      </c>
      <c r="AO850" t="s" s="0">
        <v>316</v>
      </c>
      <c r="AP850" t="s" s="0">
        <v>316</v>
      </c>
      <c r="AQ850" t="s" s="0">
        <v>3061</v>
      </c>
      <c r="AR850" t="s" s="0">
        <v>3062</v>
      </c>
      <c r="AS850" t="s" s="0">
        <v>3063</v>
      </c>
      <c r="AT850" t="s" s="0">
        <v>3064</v>
      </c>
      <c r="AU850" t="s" s="0">
        <v>3065</v>
      </c>
      <c r="AV850" t="s" s="0">
        <v>81</v>
      </c>
      <c r="AW850" t="s" s="0">
        <v>3066</v>
      </c>
      <c r="AX850" t="s" s="0">
        <v>3067</v>
      </c>
      <c r="AY850" t="s" s="0">
        <v>12814</v>
      </c>
      <c r="AZ850" t="s" s="0">
        <v>103</v>
      </c>
      <c r="BA850" t="s" s="0">
        <v>176</v>
      </c>
      <c r="BB850" t="s" s="0">
        <v>81</v>
      </c>
      <c r="BC850" t="s" s="0">
        <v>81</v>
      </c>
      <c r="BD850" t="s" s="0">
        <v>81</v>
      </c>
      <c r="BE850" t="s" s="0">
        <v>81</v>
      </c>
      <c r="BF850" t="s" s="0">
        <v>81</v>
      </c>
      <c r="BG850" t="s" s="0">
        <v>81</v>
      </c>
      <c r="BH850" t="s" s="0">
        <v>81</v>
      </c>
      <c r="BI850" t="s" s="0">
        <v>18519</v>
      </c>
      <c r="BJ850" t="s" s="0">
        <v>18520</v>
      </c>
      <c r="BK850" t="s" s="1690">
        <f>HYPERLINK("http://dx.doi.org/10.2196/80342","http://dx.doi.org/10.2196/80342")</f>
        <v>18521</v>
      </c>
      <c r="BL850" t="s" s="0">
        <v>81</v>
      </c>
      <c r="BM850" t="s" s="0">
        <v>81</v>
      </c>
      <c r="BN850" t="s" s="0">
        <v>222</v>
      </c>
      <c r="BO850" t="s" s="0">
        <v>792</v>
      </c>
      <c r="BP850" t="s" s="0">
        <v>792</v>
      </c>
      <c r="BQ850" t="s" s="0">
        <v>18522</v>
      </c>
      <c r="BR850" t="s" s="0">
        <v>18523</v>
      </c>
      <c r="BS850" t="s" s="0">
        <v>18524</v>
      </c>
      <c r="BT850" t="s" s="1691">
        <f>HYPERLINK("https://www.webofscience.com/wos/woscc/full-record/WOS:001682179600004","View Record in Web of Science")</f>
        <v>114</v>
      </c>
      <c r="BU850" t="s" s="0">
        <v>301</v>
      </c>
      <c r="BV850" t="s" s="0">
        <v>81</v>
      </c>
      <c r="BW850" t="s" s="0">
        <v>81</v>
      </c>
      <c r="BX850" t="s" s="0">
        <v>116</v>
      </c>
    </row>
    <row r="851">
      <c r="A851" t="s" s="0">
        <v>77</v>
      </c>
      <c r="B851" t="s" s="0">
        <v>77</v>
      </c>
      <c r="C851" t="s" s="0">
        <v>97</v>
      </c>
      <c r="D851" t="s" s="0">
        <v>77</v>
      </c>
      <c r="E851" t="s" s="0">
        <v>18525</v>
      </c>
      <c r="F851" t="s" s="0">
        <v>18526</v>
      </c>
      <c r="G851" t="s" s="0">
        <v>18527</v>
      </c>
      <c r="H851" t="s" s="0">
        <v>81</v>
      </c>
      <c r="I851" t="s" s="0">
        <v>82</v>
      </c>
      <c r="J851" t="s" s="0">
        <v>18528</v>
      </c>
      <c r="K851" t="s" s="0">
        <v>18529</v>
      </c>
      <c r="L851" t="s" s="0">
        <v>81</v>
      </c>
      <c r="M851" t="s" s="0">
        <v>81</v>
      </c>
      <c r="N851" t="s" s="0">
        <v>81</v>
      </c>
      <c r="O851" t="s" s="0">
        <v>18530</v>
      </c>
      <c r="P851" t="s" s="0">
        <v>18531</v>
      </c>
      <c r="Q851" t="s" s="0">
        <v>87</v>
      </c>
      <c r="R851" t="s" s="0">
        <v>81</v>
      </c>
      <c r="S851" t="s" s="0">
        <v>81</v>
      </c>
      <c r="T851" t="s" s="0">
        <v>81</v>
      </c>
      <c r="U851" t="s" s="0">
        <v>81</v>
      </c>
      <c r="V851" t="s" s="0">
        <v>18532</v>
      </c>
      <c r="W851" t="s" s="0">
        <v>9259</v>
      </c>
      <c r="X851" t="s" s="0">
        <v>81</v>
      </c>
      <c r="Y851" t="s" s="0">
        <v>81</v>
      </c>
      <c r="Z851" t="s" s="0">
        <v>90</v>
      </c>
      <c r="AA851" t="s" s="0">
        <v>91</v>
      </c>
      <c r="AB851" t="s" s="0">
        <v>81</v>
      </c>
      <c r="AC851" t="s" s="0">
        <v>81</v>
      </c>
      <c r="AD851" t="s" s="0">
        <v>81</v>
      </c>
      <c r="AE851" t="s" s="0">
        <v>81</v>
      </c>
      <c r="AF851" t="s" s="0">
        <v>81</v>
      </c>
      <c r="AG851" t="s" s="0">
        <v>18533</v>
      </c>
      <c r="AH851" t="s" s="0">
        <v>18534</v>
      </c>
      <c r="AI851" t="s" s="0">
        <v>81</v>
      </c>
      <c r="AJ851" t="s" s="0">
        <v>81</v>
      </c>
      <c r="AK851" t="s" s="0">
        <v>81</v>
      </c>
      <c r="AL851" t="s" s="0">
        <v>398</v>
      </c>
      <c r="AM851" t="s" s="0">
        <v>156</v>
      </c>
      <c r="AN851" t="s" s="0">
        <v>156</v>
      </c>
      <c r="AO851" t="s" s="0">
        <v>77</v>
      </c>
      <c r="AP851" t="s" s="0">
        <v>316</v>
      </c>
      <c r="AQ851" t="s" s="0">
        <v>284</v>
      </c>
      <c r="AR851" t="s" s="0">
        <v>285</v>
      </c>
      <c r="AS851" t="s" s="0">
        <v>286</v>
      </c>
      <c r="AT851" t="s" s="0">
        <v>81</v>
      </c>
      <c r="AU851" t="s" s="0">
        <v>9263</v>
      </c>
      <c r="AV851" t="s" s="0">
        <v>81</v>
      </c>
      <c r="AW851" t="s" s="0">
        <v>9264</v>
      </c>
      <c r="AX851" t="s" s="0">
        <v>3693</v>
      </c>
      <c r="AY851" t="s" s="0">
        <v>6826</v>
      </c>
      <c r="AZ851" t="s" s="0">
        <v>290</v>
      </c>
      <c r="BA851" t="s" s="0">
        <v>486</v>
      </c>
      <c r="BB851" t="s" s="0">
        <v>261</v>
      </c>
      <c r="BC851" t="s" s="0">
        <v>81</v>
      </c>
      <c r="BD851" t="s" s="0">
        <v>81</v>
      </c>
      <c r="BE851" t="s" s="0">
        <v>81</v>
      </c>
      <c r="BF851" t="s" s="0">
        <v>81</v>
      </c>
      <c r="BG851" t="s" s="0">
        <v>81</v>
      </c>
      <c r="BH851" t="s" s="0">
        <v>81</v>
      </c>
      <c r="BI851" t="s" s="0">
        <v>18535</v>
      </c>
      <c r="BJ851" t="s" s="0">
        <v>18536</v>
      </c>
      <c r="BK851" t="s" s="1692">
        <f>HYPERLINK("http://dx.doi.org/10.3390/math13091465","http://dx.doi.org/10.3390/math13091465")</f>
        <v>18537</v>
      </c>
      <c r="BL851" t="s" s="0">
        <v>81</v>
      </c>
      <c r="BM851" t="s" s="0">
        <v>81</v>
      </c>
      <c r="BN851" t="s" s="0">
        <v>109</v>
      </c>
      <c r="BO851" t="s" s="0">
        <v>3693</v>
      </c>
      <c r="BP851" t="s" s="0">
        <v>3693</v>
      </c>
      <c r="BQ851" t="s" s="0">
        <v>18538</v>
      </c>
      <c r="BR851" t="s" s="0">
        <v>81</v>
      </c>
      <c r="BS851" t="s" s="0">
        <v>18539</v>
      </c>
      <c r="BT851" t="s" s="1693">
        <f>HYPERLINK("https://www.webofscience.com/wos/woscc/full-record/WOS:001486375800001","View Record in Web of Science")</f>
        <v>114</v>
      </c>
      <c r="BU851" t="s" s="0">
        <v>301</v>
      </c>
      <c r="BV851" t="s" s="0">
        <v>81</v>
      </c>
      <c r="BW851" t="s" s="0">
        <v>81</v>
      </c>
      <c r="BX851" t="s" s="0">
        <v>116</v>
      </c>
    </row>
    <row r="852">
      <c r="A852" t="s" s="0">
        <v>77</v>
      </c>
      <c r="B852" t="s" s="0">
        <v>77</v>
      </c>
      <c r="C852" t="s" s="0">
        <v>77</v>
      </c>
      <c r="D852" t="s" s="0">
        <v>77</v>
      </c>
      <c r="E852" t="s" s="0">
        <v>18540</v>
      </c>
      <c r="F852" t="s" s="0">
        <v>18541</v>
      </c>
      <c r="G852" t="s" s="0">
        <v>18542</v>
      </c>
      <c r="H852" t="s" s="0">
        <v>81</v>
      </c>
      <c r="I852" t="s" s="0">
        <v>528</v>
      </c>
      <c r="J852" t="s" s="0">
        <v>18543</v>
      </c>
      <c r="K852" t="s" s="0">
        <v>18544</v>
      </c>
      <c r="L852" t="s" s="0">
        <v>81</v>
      </c>
      <c r="M852" t="s" s="0">
        <v>81</v>
      </c>
      <c r="N852" t="s" s="0">
        <v>81</v>
      </c>
      <c r="O852" t="s" s="0">
        <v>18545</v>
      </c>
      <c r="P852" t="s" s="0">
        <v>18546</v>
      </c>
      <c r="Q852" t="s" s="0">
        <v>87</v>
      </c>
      <c r="R852" t="s" s="0">
        <v>81</v>
      </c>
      <c r="S852" t="s" s="0">
        <v>81</v>
      </c>
      <c r="T852" t="s" s="0">
        <v>81</v>
      </c>
      <c r="U852" t="s" s="0">
        <v>81</v>
      </c>
      <c r="V852" t="s" s="0">
        <v>18547</v>
      </c>
      <c r="W852" t="s" s="0">
        <v>660</v>
      </c>
      <c r="X852" t="s" s="0">
        <v>81</v>
      </c>
      <c r="Y852" t="s" s="0">
        <v>81</v>
      </c>
      <c r="Z852" t="s" s="0">
        <v>90</v>
      </c>
      <c r="AA852" t="s" s="0">
        <v>91</v>
      </c>
      <c r="AB852" t="s" s="0">
        <v>81</v>
      </c>
      <c r="AC852" t="s" s="0">
        <v>81</v>
      </c>
      <c r="AD852" t="s" s="0">
        <v>81</v>
      </c>
      <c r="AE852" t="s" s="0">
        <v>81</v>
      </c>
      <c r="AF852" t="s" s="0">
        <v>81</v>
      </c>
      <c r="AG852" t="s" s="0">
        <v>18548</v>
      </c>
      <c r="AH852" t="s" s="0">
        <v>18549</v>
      </c>
      <c r="AI852" t="s" s="0">
        <v>81</v>
      </c>
      <c r="AJ852" t="s" s="0">
        <v>81</v>
      </c>
      <c r="AK852" t="s" s="0">
        <v>81</v>
      </c>
      <c r="AL852" t="s" s="0">
        <v>5626</v>
      </c>
      <c r="AM852" t="s" s="0">
        <v>77</v>
      </c>
      <c r="AN852" t="s" s="0">
        <v>77</v>
      </c>
      <c r="AO852" t="s" s="0">
        <v>97</v>
      </c>
      <c r="AP852" t="s" s="0">
        <v>97</v>
      </c>
      <c r="AQ852" t="s" s="0">
        <v>665</v>
      </c>
      <c r="AR852" t="s" s="0">
        <v>546</v>
      </c>
      <c r="AS852" t="s" s="0">
        <v>666</v>
      </c>
      <c r="AT852" t="s" s="0">
        <v>667</v>
      </c>
      <c r="AU852" t="s" s="0">
        <v>81</v>
      </c>
      <c r="AV852" t="s" s="0">
        <v>81</v>
      </c>
      <c r="AW852" t="s" s="0">
        <v>668</v>
      </c>
      <c r="AX852" t="s" s="0">
        <v>669</v>
      </c>
      <c r="AY852" t="s" s="0">
        <v>9430</v>
      </c>
      <c r="AZ852" t="s" s="0">
        <v>103</v>
      </c>
      <c r="BA852" t="s" s="0">
        <v>671</v>
      </c>
      <c r="BB852" t="s" s="0">
        <v>97</v>
      </c>
      <c r="BC852" t="s" s="0">
        <v>81</v>
      </c>
      <c r="BD852" t="s" s="0">
        <v>81</v>
      </c>
      <c r="BE852" t="s" s="0">
        <v>81</v>
      </c>
      <c r="BF852" t="s" s="0">
        <v>81</v>
      </c>
      <c r="BG852" t="s" s="0">
        <v>81</v>
      </c>
      <c r="BH852" t="s" s="0">
        <v>81</v>
      </c>
      <c r="BI852" t="s" s="0">
        <v>18412</v>
      </c>
      <c r="BJ852" t="s" s="0">
        <v>18550</v>
      </c>
      <c r="BK852" t="s" s="1694">
        <f>HYPERLINK("http://dx.doi.org/10.1186/s12910-026-01474-8","http://dx.doi.org/10.1186/s12910-026-01474-8")</f>
        <v>18551</v>
      </c>
      <c r="BL852" t="s" s="0">
        <v>81</v>
      </c>
      <c r="BM852" t="s" s="0">
        <v>81</v>
      </c>
      <c r="BN852" t="s" s="0">
        <v>134</v>
      </c>
      <c r="BO852" t="s" s="0">
        <v>676</v>
      </c>
      <c r="BP852" t="s" s="0">
        <v>677</v>
      </c>
      <c r="BQ852" t="s" s="0">
        <v>18552</v>
      </c>
      <c r="BR852" t="s" s="0">
        <v>18553</v>
      </c>
      <c r="BS852" t="s" s="0">
        <v>18554</v>
      </c>
      <c r="BT852" t="s" s="1695">
        <f>HYPERLINK("https://www.webofscience.com/wos/woscc/full-record/WOS:001838730200001","View Record in Web of Science")</f>
        <v>114</v>
      </c>
      <c r="BU852" t="s" s="0">
        <v>301</v>
      </c>
      <c r="BV852" t="s" s="0">
        <v>81</v>
      </c>
      <c r="BW852" t="s" s="0">
        <v>81</v>
      </c>
      <c r="BX852" t="s" s="0">
        <v>116</v>
      </c>
    </row>
    <row r="853">
      <c r="A853" t="s" s="0">
        <v>77</v>
      </c>
      <c r="B853" t="s" s="0">
        <v>77</v>
      </c>
      <c r="C853" t="s" s="0">
        <v>77</v>
      </c>
      <c r="D853" t="s" s="0">
        <v>77</v>
      </c>
      <c r="E853" t="s" s="0">
        <v>18555</v>
      </c>
      <c r="F853" t="s" s="0">
        <v>18556</v>
      </c>
      <c r="G853" t="s" s="0">
        <v>18557</v>
      </c>
      <c r="H853" t="s" s="0">
        <v>81</v>
      </c>
      <c r="I853" t="s" s="0">
        <v>238</v>
      </c>
      <c r="J853" t="s" s="0">
        <v>18558</v>
      </c>
      <c r="K853" t="s" s="0">
        <v>14812</v>
      </c>
      <c r="L853" t="s" s="0">
        <v>81</v>
      </c>
      <c r="M853" t="s" s="0">
        <v>81</v>
      </c>
      <c r="N853" t="s" s="0">
        <v>81</v>
      </c>
      <c r="O853" t="s" s="0">
        <v>18559</v>
      </c>
      <c r="P853" t="s" s="0">
        <v>14814</v>
      </c>
      <c r="Q853" t="s" s="0">
        <v>87</v>
      </c>
      <c r="R853" t="s" s="0">
        <v>81</v>
      </c>
      <c r="S853" t="s" s="0">
        <v>81</v>
      </c>
      <c r="T853" t="s" s="0">
        <v>81</v>
      </c>
      <c r="U853" t="s" s="0">
        <v>81</v>
      </c>
      <c r="V853" t="s" s="0">
        <v>18560</v>
      </c>
      <c r="W853" t="s" s="0">
        <v>886</v>
      </c>
      <c r="X853" t="s" s="0">
        <v>81</v>
      </c>
      <c r="Y853" t="s" s="0">
        <v>81</v>
      </c>
      <c r="Z853" t="s" s="0">
        <v>90</v>
      </c>
      <c r="AA853" t="s" s="0">
        <v>91</v>
      </c>
      <c r="AB853" t="s" s="0">
        <v>81</v>
      </c>
      <c r="AC853" t="s" s="0">
        <v>81</v>
      </c>
      <c r="AD853" t="s" s="0">
        <v>81</v>
      </c>
      <c r="AE853" t="s" s="0">
        <v>81</v>
      </c>
      <c r="AF853" t="s" s="0">
        <v>81</v>
      </c>
      <c r="AG853" t="s" s="0">
        <v>18561</v>
      </c>
      <c r="AH853" t="s" s="0">
        <v>81</v>
      </c>
      <c r="AI853" t="s" s="0">
        <v>18562</v>
      </c>
      <c r="AJ853" t="s" s="0">
        <v>81</v>
      </c>
      <c r="AK853" t="s" s="0">
        <v>81</v>
      </c>
      <c r="AL853" t="s" s="0">
        <v>486</v>
      </c>
      <c r="AM853" t="s" s="0">
        <v>77</v>
      </c>
      <c r="AN853" t="s" s="0">
        <v>77</v>
      </c>
      <c r="AO853" t="s" s="0">
        <v>133</v>
      </c>
      <c r="AP853" t="s" s="0">
        <v>133</v>
      </c>
      <c r="AQ853" t="s" s="0">
        <v>368</v>
      </c>
      <c r="AR853" t="s" s="0">
        <v>369</v>
      </c>
      <c r="AS853" t="s" s="0">
        <v>370</v>
      </c>
      <c r="AT853" t="s" s="0">
        <v>81</v>
      </c>
      <c r="AU853" t="s" s="0">
        <v>891</v>
      </c>
      <c r="AV853" t="s" s="0">
        <v>81</v>
      </c>
      <c r="AW853" t="s" s="0">
        <v>892</v>
      </c>
      <c r="AX853" t="s" s="0">
        <v>893</v>
      </c>
      <c r="AY853" t="s" s="0">
        <v>1836</v>
      </c>
      <c r="AZ853" t="s" s="0">
        <v>103</v>
      </c>
      <c r="BA853" t="s" s="0">
        <v>261</v>
      </c>
      <c r="BB853" t="s" s="0">
        <v>81</v>
      </c>
      <c r="BC853" t="s" s="0">
        <v>81</v>
      </c>
      <c r="BD853" t="s" s="0">
        <v>81</v>
      </c>
      <c r="BE853" t="s" s="0">
        <v>81</v>
      </c>
      <c r="BF853" t="s" s="0">
        <v>81</v>
      </c>
      <c r="BG853" t="s" s="0">
        <v>81</v>
      </c>
      <c r="BH853" t="s" s="0">
        <v>81</v>
      </c>
      <c r="BI853" t="s" s="0">
        <v>18563</v>
      </c>
      <c r="BJ853" t="s" s="0">
        <v>18564</v>
      </c>
      <c r="BK853" t="s" s="1696">
        <f>HYPERLINK("http://dx.doi.org/10.3389/frai.2026.1768696","http://dx.doi.org/10.3389/frai.2026.1768696")</f>
        <v>18565</v>
      </c>
      <c r="BL853" t="s" s="0">
        <v>81</v>
      </c>
      <c r="BM853" t="s" s="0">
        <v>81</v>
      </c>
      <c r="BN853" t="s" s="0">
        <v>234</v>
      </c>
      <c r="BO853" t="s" s="0">
        <v>898</v>
      </c>
      <c r="BP853" t="s" s="0">
        <v>152</v>
      </c>
      <c r="BQ853" t="s" s="0">
        <v>18566</v>
      </c>
      <c r="BR853" t="s" s="0">
        <v>18567</v>
      </c>
      <c r="BS853" t="s" s="0">
        <v>18568</v>
      </c>
      <c r="BT853" t="s" s="1697">
        <f>HYPERLINK("https://www.webofscience.com/wos/woscc/full-record/WOS:001718316300001","View Record in Web of Science")</f>
        <v>114</v>
      </c>
      <c r="BU853" t="s" s="0">
        <v>301</v>
      </c>
      <c r="BV853" t="s" s="0">
        <v>81</v>
      </c>
      <c r="BW853" t="s" s="0">
        <v>81</v>
      </c>
      <c r="BX853" t="s" s="0">
        <v>116</v>
      </c>
    </row>
    <row r="854">
      <c r="A854" t="s" s="0">
        <v>77</v>
      </c>
      <c r="B854" t="s" s="0">
        <v>77</v>
      </c>
      <c r="C854" t="s" s="0">
        <v>97</v>
      </c>
      <c r="D854" t="s" s="0">
        <v>77</v>
      </c>
      <c r="E854" t="s" s="0">
        <v>18569</v>
      </c>
      <c r="F854" t="s" s="0">
        <v>18570</v>
      </c>
      <c r="G854" t="s" s="0">
        <v>18571</v>
      </c>
      <c r="H854" t="s" s="0">
        <v>81</v>
      </c>
      <c r="I854" t="s" s="0">
        <v>238</v>
      </c>
      <c r="J854" t="s" s="0">
        <v>18572</v>
      </c>
      <c r="K854" t="s" s="0">
        <v>18573</v>
      </c>
      <c r="L854" t="s" s="0">
        <v>81</v>
      </c>
      <c r="M854" t="s" s="0">
        <v>81</v>
      </c>
      <c r="N854" t="s" s="0">
        <v>81</v>
      </c>
      <c r="O854" t="s" s="0">
        <v>18574</v>
      </c>
      <c r="P854" t="s" s="0">
        <v>18575</v>
      </c>
      <c r="Q854" t="s" s="0">
        <v>87</v>
      </c>
      <c r="R854" t="s" s="0">
        <v>81</v>
      </c>
      <c r="S854" t="s" s="0">
        <v>81</v>
      </c>
      <c r="T854" t="s" s="0">
        <v>81</v>
      </c>
      <c r="U854" t="s" s="0">
        <v>81</v>
      </c>
      <c r="V854" t="s" s="0">
        <v>18576</v>
      </c>
      <c r="W854" t="s" s="0">
        <v>18577</v>
      </c>
      <c r="X854" t="s" s="0">
        <v>81</v>
      </c>
      <c r="Y854" t="s" s="0">
        <v>81</v>
      </c>
      <c r="Z854" t="s" s="0">
        <v>90</v>
      </c>
      <c r="AA854" t="s" s="0">
        <v>91</v>
      </c>
      <c r="AB854" t="s" s="0">
        <v>81</v>
      </c>
      <c r="AC854" t="s" s="0">
        <v>81</v>
      </c>
      <c r="AD854" t="s" s="0">
        <v>81</v>
      </c>
      <c r="AE854" t="s" s="0">
        <v>81</v>
      </c>
      <c r="AF854" t="s" s="0">
        <v>81</v>
      </c>
      <c r="AG854" t="s" s="0">
        <v>18578</v>
      </c>
      <c r="AH854" t="s" s="0">
        <v>18579</v>
      </c>
      <c r="AI854" t="s" s="0">
        <v>81</v>
      </c>
      <c r="AJ854" t="s" s="0">
        <v>81</v>
      </c>
      <c r="AK854" t="s" s="0">
        <v>81</v>
      </c>
      <c r="AL854" t="s" s="0">
        <v>1116</v>
      </c>
      <c r="AM854" t="s" s="0">
        <v>133</v>
      </c>
      <c r="AN854" t="s" s="0">
        <v>381</v>
      </c>
      <c r="AO854" t="s" s="0">
        <v>316</v>
      </c>
      <c r="AP854" t="s" s="0">
        <v>434</v>
      </c>
      <c r="AQ854" t="s" s="0">
        <v>136</v>
      </c>
      <c r="AR854" t="s" s="0">
        <v>137</v>
      </c>
      <c r="AS854" t="s" s="0">
        <v>138</v>
      </c>
      <c r="AT854" t="s" s="0">
        <v>81</v>
      </c>
      <c r="AU854" t="s" s="0">
        <v>18580</v>
      </c>
      <c r="AV854" t="s" s="0">
        <v>81</v>
      </c>
      <c r="AW854" t="s" s="0">
        <v>18581</v>
      </c>
      <c r="AX854" t="s" s="0">
        <v>18582</v>
      </c>
      <c r="AY854" t="s" s="0">
        <v>2353</v>
      </c>
      <c r="AZ854" t="s" s="0">
        <v>290</v>
      </c>
      <c r="BA854" t="s" s="0">
        <v>133</v>
      </c>
      <c r="BB854" t="s" s="0">
        <v>156</v>
      </c>
      <c r="BC854" t="s" s="0">
        <v>81</v>
      </c>
      <c r="BD854" t="s" s="0">
        <v>81</v>
      </c>
      <c r="BE854" t="s" s="0">
        <v>81</v>
      </c>
      <c r="BF854" t="s" s="0">
        <v>81</v>
      </c>
      <c r="BG854" t="s" s="0">
        <v>81</v>
      </c>
      <c r="BH854" t="s" s="0">
        <v>81</v>
      </c>
      <c r="BI854" t="s" s="0">
        <v>18583</v>
      </c>
      <c r="BJ854" t="s" s="0">
        <v>18584</v>
      </c>
      <c r="BK854" t="s" s="1698">
        <f>HYPERLINK("http://dx.doi.org/10.1016/j.digbus.2025.100145","http://dx.doi.org/10.1016/j.digbus.2025.100145")</f>
        <v>18585</v>
      </c>
      <c r="BL854" t="s" s="0">
        <v>81</v>
      </c>
      <c r="BM854" t="s" s="0">
        <v>1029</v>
      </c>
      <c r="BN854" t="s" s="0">
        <v>291</v>
      </c>
      <c r="BO854" t="s" s="0">
        <v>18586</v>
      </c>
      <c r="BP854" t="s" s="0">
        <v>326</v>
      </c>
      <c r="BQ854" t="s" s="0">
        <v>18587</v>
      </c>
      <c r="BR854" t="s" s="0">
        <v>81</v>
      </c>
      <c r="BS854" t="s" s="0">
        <v>18588</v>
      </c>
      <c r="BT854" t="s" s="1699">
        <f>HYPERLINK("https://www.webofscience.com/wos/woscc/full-record/WOS:001559613800001","View Record in Web of Science")</f>
        <v>114</v>
      </c>
      <c r="BU854" t="s" s="0">
        <v>301</v>
      </c>
      <c r="BV854" t="s" s="0">
        <v>81</v>
      </c>
      <c r="BW854" t="s" s="0">
        <v>81</v>
      </c>
      <c r="BX854" t="s" s="0">
        <v>116</v>
      </c>
    </row>
    <row r="855">
      <c r="A855" t="s" s="0">
        <v>77</v>
      </c>
      <c r="B855" t="s" s="0">
        <v>77</v>
      </c>
      <c r="C855" t="s" s="0">
        <v>77</v>
      </c>
      <c r="D855" t="s" s="0">
        <v>77</v>
      </c>
      <c r="E855" t="s" s="0">
        <v>18589</v>
      </c>
      <c r="F855" t="s" s="0">
        <v>18590</v>
      </c>
      <c r="G855" t="s" s="0">
        <v>18591</v>
      </c>
      <c r="H855" t="s" s="0">
        <v>81</v>
      </c>
      <c r="I855" t="s" s="0">
        <v>238</v>
      </c>
      <c r="J855" t="s" s="0">
        <v>18592</v>
      </c>
      <c r="K855" t="s" s="0">
        <v>81</v>
      </c>
      <c r="L855" t="s" s="0">
        <v>81</v>
      </c>
      <c r="M855" t="s" s="0">
        <v>81</v>
      </c>
      <c r="N855" t="s" s="0">
        <v>81</v>
      </c>
      <c r="O855" t="s" s="0">
        <v>18593</v>
      </c>
      <c r="P855" t="s" s="0">
        <v>18594</v>
      </c>
      <c r="Q855" t="s" s="0">
        <v>87</v>
      </c>
      <c r="R855" t="s" s="0">
        <v>81</v>
      </c>
      <c r="S855" t="s" s="0">
        <v>81</v>
      </c>
      <c r="T855" t="s" s="0">
        <v>81</v>
      </c>
      <c r="U855" t="s" s="0">
        <v>81</v>
      </c>
      <c r="V855" t="s" s="0">
        <v>18595</v>
      </c>
      <c r="W855" t="s" s="0">
        <v>18596</v>
      </c>
      <c r="X855" t="s" s="0">
        <v>81</v>
      </c>
      <c r="Y855" t="s" s="0">
        <v>81</v>
      </c>
      <c r="Z855" t="s" s="0">
        <v>90</v>
      </c>
      <c r="AA855" t="s" s="0">
        <v>91</v>
      </c>
      <c r="AB855" t="s" s="0">
        <v>81</v>
      </c>
      <c r="AC855" t="s" s="0">
        <v>81</v>
      </c>
      <c r="AD855" t="s" s="0">
        <v>81</v>
      </c>
      <c r="AE855" t="s" s="0">
        <v>81</v>
      </c>
      <c r="AF855" t="s" s="0">
        <v>81</v>
      </c>
      <c r="AG855" t="s" s="0">
        <v>18597</v>
      </c>
      <c r="AH855" t="s" s="0">
        <v>81</v>
      </c>
      <c r="AI855" t="s" s="0">
        <v>18598</v>
      </c>
      <c r="AJ855" t="s" s="0">
        <v>18599</v>
      </c>
      <c r="AK855" t="s" s="0">
        <v>81</v>
      </c>
      <c r="AL855" t="s" s="0">
        <v>542</v>
      </c>
      <c r="AM855" t="s" s="0">
        <v>77</v>
      </c>
      <c r="AN855" t="s" s="0">
        <v>77</v>
      </c>
      <c r="AO855" t="s" s="0">
        <v>316</v>
      </c>
      <c r="AP855" t="s" s="0">
        <v>104</v>
      </c>
      <c r="AQ855" t="s" s="0">
        <v>18600</v>
      </c>
      <c r="AR855" t="s" s="0">
        <v>4329</v>
      </c>
      <c r="AS855" t="s" s="0">
        <v>18601</v>
      </c>
      <c r="AT855" t="s" s="0">
        <v>18602</v>
      </c>
      <c r="AU855" t="s" s="0">
        <v>81</v>
      </c>
      <c r="AV855" t="s" s="0">
        <v>81</v>
      </c>
      <c r="AW855" t="s" s="0">
        <v>18603</v>
      </c>
      <c r="AX855" t="s" s="0">
        <v>18604</v>
      </c>
      <c r="AY855" t="s" s="0">
        <v>18605</v>
      </c>
      <c r="AZ855" t="s" s="0">
        <v>290</v>
      </c>
      <c r="BA855" t="s" s="0">
        <v>671</v>
      </c>
      <c r="BB855" t="s" s="0">
        <v>156</v>
      </c>
      <c r="BC855" t="s" s="0">
        <v>81</v>
      </c>
      <c r="BD855" t="s" s="0">
        <v>81</v>
      </c>
      <c r="BE855" t="s" s="0">
        <v>81</v>
      </c>
      <c r="BF855" t="s" s="0">
        <v>81</v>
      </c>
      <c r="BG855" t="s" s="0">
        <v>8768</v>
      </c>
      <c r="BH855" t="s" s="0">
        <v>18606</v>
      </c>
      <c r="BI855" t="s" s="0">
        <v>81</v>
      </c>
      <c r="BJ855" t="s" s="0">
        <v>18607</v>
      </c>
      <c r="BK855" t="s" s="1700">
        <f>HYPERLINK("http://dx.doi.org/10.25253/99.2025272.16","http://dx.doi.org/10.25253/99.2025272.16")</f>
        <v>18608</v>
      </c>
      <c r="BL855" t="s" s="0">
        <v>81</v>
      </c>
      <c r="BM855" t="s" s="0">
        <v>81</v>
      </c>
      <c r="BN855" t="s" s="0">
        <v>874</v>
      </c>
      <c r="BO855" t="s" s="0">
        <v>18609</v>
      </c>
      <c r="BP855" t="s" s="0">
        <v>9624</v>
      </c>
      <c r="BQ855" t="s" s="0">
        <v>18610</v>
      </c>
      <c r="BR855" t="s" s="0">
        <v>81</v>
      </c>
      <c r="BS855" t="s" s="0">
        <v>18611</v>
      </c>
      <c r="BT855" t="s" s="1701">
        <f>HYPERLINK("https://www.webofscience.com/wos/woscc/full-record/WOS:001552074400016","View Record in Web of Science")</f>
        <v>114</v>
      </c>
      <c r="BU855" t="s" s="0">
        <v>81</v>
      </c>
      <c r="BV855" t="s" s="0">
        <v>81</v>
      </c>
      <c r="BW855" t="s" s="0">
        <v>81</v>
      </c>
      <c r="BX855" t="s" s="0">
        <v>116</v>
      </c>
    </row>
    <row r="856">
      <c r="A856" t="s" s="0">
        <v>77</v>
      </c>
      <c r="B856" t="s" s="0">
        <v>77</v>
      </c>
      <c r="C856" t="s" s="0">
        <v>77</v>
      </c>
      <c r="D856" t="s" s="0">
        <v>77</v>
      </c>
      <c r="E856" t="s" s="0">
        <v>18612</v>
      </c>
      <c r="F856" t="s" s="0">
        <v>18613</v>
      </c>
      <c r="G856" t="s" s="0">
        <v>18614</v>
      </c>
      <c r="H856" t="s" s="0">
        <v>81</v>
      </c>
      <c r="I856" t="s" s="0">
        <v>238</v>
      </c>
      <c r="J856" t="s" s="0">
        <v>18615</v>
      </c>
      <c r="K856" t="s" s="0">
        <v>18616</v>
      </c>
      <c r="L856" t="s" s="0">
        <v>18617</v>
      </c>
      <c r="M856" t="s" s="0">
        <v>18618</v>
      </c>
      <c r="N856" t="s" s="0">
        <v>18619</v>
      </c>
      <c r="O856" t="s" s="0">
        <v>18620</v>
      </c>
      <c r="P856" t="s" s="0">
        <v>18621</v>
      </c>
      <c r="Q856" t="s" s="0">
        <v>87</v>
      </c>
      <c r="R856" t="s" s="0">
        <v>81</v>
      </c>
      <c r="S856" t="s" s="0">
        <v>81</v>
      </c>
      <c r="T856" t="s" s="0">
        <v>81</v>
      </c>
      <c r="U856" t="s" s="0">
        <v>81</v>
      </c>
      <c r="V856" t="s" s="0">
        <v>18622</v>
      </c>
      <c r="W856" t="s" s="0">
        <v>13256</v>
      </c>
      <c r="X856" t="s" s="0">
        <v>81</v>
      </c>
      <c r="Y856" t="s" s="0">
        <v>81</v>
      </c>
      <c r="Z856" t="s" s="0">
        <v>90</v>
      </c>
      <c r="AA856" t="s" s="0">
        <v>91</v>
      </c>
      <c r="AB856" t="s" s="0">
        <v>81</v>
      </c>
      <c r="AC856" t="s" s="0">
        <v>81</v>
      </c>
      <c r="AD856" t="s" s="0">
        <v>81</v>
      </c>
      <c r="AE856" t="s" s="0">
        <v>81</v>
      </c>
      <c r="AF856" t="s" s="0">
        <v>81</v>
      </c>
      <c r="AG856" t="s" s="0">
        <v>18623</v>
      </c>
      <c r="AH856" t="s" s="0">
        <v>18624</v>
      </c>
      <c r="AI856" t="s" s="0">
        <v>18625</v>
      </c>
      <c r="AJ856" t="s" s="0">
        <v>18626</v>
      </c>
      <c r="AK856" t="s" s="0">
        <v>81</v>
      </c>
      <c r="AL856" t="s" s="0">
        <v>1374</v>
      </c>
      <c r="AM856" t="s" s="0">
        <v>234</v>
      </c>
      <c r="AN856" t="s" s="0">
        <v>234</v>
      </c>
      <c r="AO856" t="s" s="0">
        <v>196</v>
      </c>
      <c r="AP856" t="s" s="0">
        <v>211</v>
      </c>
      <c r="AQ856" t="s" s="0">
        <v>3061</v>
      </c>
      <c r="AR856" t="s" s="0">
        <v>3062</v>
      </c>
      <c r="AS856" t="s" s="0">
        <v>3063</v>
      </c>
      <c r="AT856" t="s" s="0">
        <v>81</v>
      </c>
      <c r="AU856" t="s" s="0">
        <v>13260</v>
      </c>
      <c r="AV856" t="s" s="0">
        <v>81</v>
      </c>
      <c r="AW856" t="s" s="0">
        <v>13256</v>
      </c>
      <c r="AX856" t="s" s="0">
        <v>13256</v>
      </c>
      <c r="AY856" t="s" s="0">
        <v>290</v>
      </c>
      <c r="AZ856" t="s" s="0">
        <v>290</v>
      </c>
      <c r="BA856" t="s" s="0">
        <v>175</v>
      </c>
      <c r="BB856" t="s" s="0">
        <v>81</v>
      </c>
      <c r="BC856" t="s" s="0">
        <v>81</v>
      </c>
      <c r="BD856" t="s" s="0">
        <v>81</v>
      </c>
      <c r="BE856" t="s" s="0">
        <v>81</v>
      </c>
      <c r="BF856" t="s" s="0">
        <v>81</v>
      </c>
      <c r="BG856" t="s" s="0">
        <v>81</v>
      </c>
      <c r="BH856" t="s" s="0">
        <v>81</v>
      </c>
      <c r="BI856" t="s" s="0">
        <v>18627</v>
      </c>
      <c r="BJ856" t="s" s="0">
        <v>18628</v>
      </c>
      <c r="BK856" t="s" s="1702">
        <f>HYPERLINK("http://dx.doi.org/10.2196/50781","http://dx.doi.org/10.2196/50781")</f>
        <v>18629</v>
      </c>
      <c r="BL856" t="s" s="0">
        <v>81</v>
      </c>
      <c r="BM856" t="s" s="0">
        <v>81</v>
      </c>
      <c r="BN856" t="s" s="0">
        <v>104</v>
      </c>
      <c r="BO856" t="s" s="0">
        <v>792</v>
      </c>
      <c r="BP856" t="s" s="0">
        <v>792</v>
      </c>
      <c r="BQ856" t="s" s="0">
        <v>18630</v>
      </c>
      <c r="BR856" t="s" s="0">
        <v>18631</v>
      </c>
      <c r="BS856" t="s" s="0">
        <v>18632</v>
      </c>
      <c r="BT856" t="s" s="1703">
        <f>HYPERLINK("https://www.webofscience.com/wos/woscc/full-record/WOS:001488678000002","View Record in Web of Science")</f>
        <v>114</v>
      </c>
      <c r="BU856" t="s" s="0">
        <v>270</v>
      </c>
      <c r="BV856" t="s" s="0">
        <v>81</v>
      </c>
      <c r="BW856" t="s" s="0">
        <v>81</v>
      </c>
      <c r="BX856" t="s" s="0">
        <v>116</v>
      </c>
    </row>
    <row r="857">
      <c r="A857" t="s" s="0">
        <v>77</v>
      </c>
      <c r="B857" t="s" s="0">
        <v>77</v>
      </c>
      <c r="C857" t="s" s="0">
        <v>77</v>
      </c>
      <c r="D857" t="s" s="0">
        <v>77</v>
      </c>
      <c r="E857" t="s" s="0">
        <v>18633</v>
      </c>
      <c r="F857" t="s" s="0">
        <v>18634</v>
      </c>
      <c r="G857" t="s" s="0">
        <v>18635</v>
      </c>
      <c r="H857" t="s" s="0">
        <v>81</v>
      </c>
      <c r="I857" t="s" s="0">
        <v>82</v>
      </c>
      <c r="J857" t="s" s="0">
        <v>18636</v>
      </c>
      <c r="K857" t="s" s="0">
        <v>18637</v>
      </c>
      <c r="L857" t="s" s="0">
        <v>81</v>
      </c>
      <c r="M857" t="s" s="0">
        <v>81</v>
      </c>
      <c r="N857" t="s" s="0">
        <v>81</v>
      </c>
      <c r="O857" t="s" s="0">
        <v>18638</v>
      </c>
      <c r="P857" t="s" s="0">
        <v>18639</v>
      </c>
      <c r="Q857" t="s" s="0">
        <v>87</v>
      </c>
      <c r="R857" t="s" s="0">
        <v>81</v>
      </c>
      <c r="S857" t="s" s="0">
        <v>81</v>
      </c>
      <c r="T857" t="s" s="0">
        <v>81</v>
      </c>
      <c r="U857" t="s" s="0">
        <v>81</v>
      </c>
      <c r="V857" t="s" s="0">
        <v>18640</v>
      </c>
      <c r="W857" t="s" s="0">
        <v>9118</v>
      </c>
      <c r="X857" t="s" s="0">
        <v>81</v>
      </c>
      <c r="Y857" t="s" s="0">
        <v>81</v>
      </c>
      <c r="Z857" t="s" s="0">
        <v>90</v>
      </c>
      <c r="AA857" t="s" s="0">
        <v>91</v>
      </c>
      <c r="AB857" t="s" s="0">
        <v>81</v>
      </c>
      <c r="AC857" t="s" s="0">
        <v>81</v>
      </c>
      <c r="AD857" t="s" s="0">
        <v>81</v>
      </c>
      <c r="AE857" t="s" s="0">
        <v>81</v>
      </c>
      <c r="AF857" t="s" s="0">
        <v>81</v>
      </c>
      <c r="AG857" t="s" s="0">
        <v>18641</v>
      </c>
      <c r="AH857" t="s" s="0">
        <v>81</v>
      </c>
      <c r="AI857" t="s" s="0">
        <v>81</v>
      </c>
      <c r="AJ857" t="s" s="0">
        <v>81</v>
      </c>
      <c r="AK857" t="s" s="0">
        <v>81</v>
      </c>
      <c r="AL857" t="s" s="0">
        <v>4754</v>
      </c>
      <c r="AM857" t="s" s="0">
        <v>77</v>
      </c>
      <c r="AN857" t="s" s="0">
        <v>77</v>
      </c>
      <c r="AO857" t="s" s="0">
        <v>77</v>
      </c>
      <c r="AP857" t="s" s="0">
        <v>77</v>
      </c>
      <c r="AQ857" t="s" s="0">
        <v>136</v>
      </c>
      <c r="AR857" t="s" s="0">
        <v>137</v>
      </c>
      <c r="AS857" t="s" s="0">
        <v>138</v>
      </c>
      <c r="AT857" t="s" s="0">
        <v>9123</v>
      </c>
      <c r="AU857" t="s" s="0">
        <v>9124</v>
      </c>
      <c r="AV857" t="s" s="0">
        <v>81</v>
      </c>
      <c r="AW857" t="s" s="0">
        <v>9125</v>
      </c>
      <c r="AX857" t="s" s="0">
        <v>9126</v>
      </c>
      <c r="AY857" t="s" s="0">
        <v>2301</v>
      </c>
      <c r="AZ857" t="s" s="0">
        <v>103</v>
      </c>
      <c r="BA857" t="s" s="0">
        <v>12881</v>
      </c>
      <c r="BB857" t="s" s="0">
        <v>81</v>
      </c>
      <c r="BC857" t="s" s="0">
        <v>81</v>
      </c>
      <c r="BD857" t="s" s="0">
        <v>81</v>
      </c>
      <c r="BE857" t="s" s="0">
        <v>81</v>
      </c>
      <c r="BF857" t="s" s="0">
        <v>81</v>
      </c>
      <c r="BG857" t="s" s="0">
        <v>81</v>
      </c>
      <c r="BH857" t="s" s="0">
        <v>81</v>
      </c>
      <c r="BI857" t="s" s="0">
        <v>18642</v>
      </c>
      <c r="BJ857" t="s" s="0">
        <v>18643</v>
      </c>
      <c r="BK857" t="s" s="1704">
        <f>HYPERLINK("http://dx.doi.org/10.1016/j.imavis.2026.106059","http://dx.doi.org/10.1016/j.imavis.2026.106059")</f>
        <v>18644</v>
      </c>
      <c r="BL857" t="s" s="0">
        <v>81</v>
      </c>
      <c r="BM857" t="s" s="0">
        <v>81</v>
      </c>
      <c r="BN857" t="s" s="0">
        <v>134</v>
      </c>
      <c r="BO857" t="s" s="0">
        <v>9131</v>
      </c>
      <c r="BP857" t="s" s="0">
        <v>9132</v>
      </c>
      <c r="BQ857" t="s" s="0">
        <v>18645</v>
      </c>
      <c r="BR857" t="s" s="0">
        <v>81</v>
      </c>
      <c r="BS857" t="s" s="0">
        <v>18646</v>
      </c>
      <c r="BT857" t="s" s="1705">
        <f>HYPERLINK("https://www.webofscience.com/wos/woscc/full-record/WOS:001827970900001","View Record in Web of Science")</f>
        <v>114</v>
      </c>
      <c r="BU857" t="s" s="0">
        <v>81</v>
      </c>
      <c r="BV857" t="s" s="0">
        <v>81</v>
      </c>
      <c r="BW857" t="s" s="0">
        <v>81</v>
      </c>
      <c r="BX857" t="s" s="0">
        <v>116</v>
      </c>
    </row>
    <row r="858">
      <c r="A858" t="s" s="0">
        <v>77</v>
      </c>
      <c r="B858" t="s" s="0">
        <v>77</v>
      </c>
      <c r="C858" t="s" s="0">
        <v>97</v>
      </c>
      <c r="D858" t="s" s="0">
        <v>77</v>
      </c>
      <c r="E858" t="s" s="0">
        <v>18647</v>
      </c>
      <c r="F858" t="s" s="0">
        <v>18648</v>
      </c>
      <c r="G858" t="s" s="0">
        <v>18649</v>
      </c>
      <c r="H858" t="s" s="0">
        <v>81</v>
      </c>
      <c r="I858" t="s" s="0">
        <v>82</v>
      </c>
      <c r="J858" t="s" s="0">
        <v>18650</v>
      </c>
      <c r="K858" t="s" s="0">
        <v>18651</v>
      </c>
      <c r="L858" t="s" s="0">
        <v>81</v>
      </c>
      <c r="M858" t="s" s="0">
        <v>81</v>
      </c>
      <c r="N858" t="s" s="0">
        <v>81</v>
      </c>
      <c r="O858" t="s" s="0">
        <v>18652</v>
      </c>
      <c r="P858" t="s" s="0">
        <v>18653</v>
      </c>
      <c r="Q858" t="s" s="0">
        <v>87</v>
      </c>
      <c r="R858" t="s" s="0">
        <v>81</v>
      </c>
      <c r="S858" t="s" s="0">
        <v>81</v>
      </c>
      <c r="T858" t="s" s="0">
        <v>81</v>
      </c>
      <c r="U858" t="s" s="0">
        <v>81</v>
      </c>
      <c r="V858" t="s" s="0">
        <v>18654</v>
      </c>
      <c r="W858" t="s" s="0">
        <v>1855</v>
      </c>
      <c r="X858" t="s" s="0">
        <v>81</v>
      </c>
      <c r="Y858" t="s" s="0">
        <v>81</v>
      </c>
      <c r="Z858" t="s" s="0">
        <v>90</v>
      </c>
      <c r="AA858" t="s" s="0">
        <v>91</v>
      </c>
      <c r="AB858" t="s" s="0">
        <v>81</v>
      </c>
      <c r="AC858" t="s" s="0">
        <v>81</v>
      </c>
      <c r="AD858" t="s" s="0">
        <v>81</v>
      </c>
      <c r="AE858" t="s" s="0">
        <v>81</v>
      </c>
      <c r="AF858" t="s" s="0">
        <v>81</v>
      </c>
      <c r="AG858" t="s" s="0">
        <v>18655</v>
      </c>
      <c r="AH858" t="s" s="0">
        <v>81</v>
      </c>
      <c r="AI858" t="s" s="0">
        <v>18656</v>
      </c>
      <c r="AJ858" t="s" s="0">
        <v>18657</v>
      </c>
      <c r="AK858" t="s" s="0">
        <v>81</v>
      </c>
      <c r="AL858" t="s" s="0">
        <v>3518</v>
      </c>
      <c r="AM858" t="s" s="0">
        <v>175</v>
      </c>
      <c r="AN858" t="s" s="0">
        <v>316</v>
      </c>
      <c r="AO858" t="s" s="0">
        <v>175</v>
      </c>
      <c r="AP858" t="s" s="0">
        <v>191</v>
      </c>
      <c r="AQ858" t="s" s="0">
        <v>136</v>
      </c>
      <c r="AR858" t="s" s="0">
        <v>137</v>
      </c>
      <c r="AS858" t="s" s="0">
        <v>138</v>
      </c>
      <c r="AT858" t="s" s="0">
        <v>1860</v>
      </c>
      <c r="AU858" t="s" s="0">
        <v>1861</v>
      </c>
      <c r="AV858" t="s" s="0">
        <v>81</v>
      </c>
      <c r="AW858" t="s" s="0">
        <v>1862</v>
      </c>
      <c r="AX858" t="s" s="0">
        <v>1863</v>
      </c>
      <c r="AY858" t="s" s="0">
        <v>894</v>
      </c>
      <c r="AZ858" t="s" s="0">
        <v>290</v>
      </c>
      <c r="BA858" t="s" s="0">
        <v>18658</v>
      </c>
      <c r="BB858" t="s" s="0">
        <v>81</v>
      </c>
      <c r="BC858" t="s" s="0">
        <v>81</v>
      </c>
      <c r="BD858" t="s" s="0">
        <v>145</v>
      </c>
      <c r="BE858" t="s" s="0">
        <v>81</v>
      </c>
      <c r="BF858" t="s" s="0">
        <v>81</v>
      </c>
      <c r="BG858" t="s" s="0">
        <v>81</v>
      </c>
      <c r="BH858" t="s" s="0">
        <v>81</v>
      </c>
      <c r="BI858" t="s" s="0">
        <v>18659</v>
      </c>
      <c r="BJ858" t="s" s="0">
        <v>18660</v>
      </c>
      <c r="BK858" t="s" s="1706">
        <f>HYPERLINK("http://dx.doi.org/10.1016/j.knosys.2025.114402","http://dx.doi.org/10.1016/j.knosys.2025.114402")</f>
        <v>18661</v>
      </c>
      <c r="BL858" t="s" s="0">
        <v>81</v>
      </c>
      <c r="BM858" t="s" s="0">
        <v>578</v>
      </c>
      <c r="BN858" t="s" s="0">
        <v>222</v>
      </c>
      <c r="BO858" t="s" s="0">
        <v>409</v>
      </c>
      <c r="BP858" t="s" s="0">
        <v>152</v>
      </c>
      <c r="BQ858" t="s" s="0">
        <v>18662</v>
      </c>
      <c r="BR858" t="s" s="0">
        <v>81</v>
      </c>
      <c r="BS858" t="s" s="0">
        <v>18663</v>
      </c>
      <c r="BT858" t="s" s="1707">
        <f>HYPERLINK("https://www.webofscience.com/wos/woscc/full-record/WOS:001567008200001","View Record in Web of Science")</f>
        <v>114</v>
      </c>
      <c r="BU858" t="s" s="0">
        <v>81</v>
      </c>
      <c r="BV858" t="s" s="0">
        <v>81</v>
      </c>
      <c r="BW858" t="s" s="0">
        <v>81</v>
      </c>
      <c r="BX858" t="s" s="0">
        <v>116</v>
      </c>
    </row>
    <row r="859">
      <c r="A859" t="s" s="0">
        <v>77</v>
      </c>
      <c r="B859" t="s" s="0">
        <v>77</v>
      </c>
      <c r="C859" t="s" s="0">
        <v>77</v>
      </c>
      <c r="D859" t="s" s="0">
        <v>77</v>
      </c>
      <c r="E859" t="s" s="0">
        <v>18664</v>
      </c>
      <c r="F859" t="s" s="0">
        <v>18665</v>
      </c>
      <c r="G859" t="s" s="0">
        <v>18666</v>
      </c>
      <c r="H859" t="s" s="0">
        <v>81</v>
      </c>
      <c r="I859" t="s" s="0">
        <v>528</v>
      </c>
      <c r="J859" t="s" s="0">
        <v>18667</v>
      </c>
      <c r="K859" t="s" s="0">
        <v>18668</v>
      </c>
      <c r="L859" t="s" s="0">
        <v>18669</v>
      </c>
      <c r="M859" t="s" s="0">
        <v>18669</v>
      </c>
      <c r="N859" t="s" s="0">
        <v>7004</v>
      </c>
      <c r="O859" t="s" s="0">
        <v>18670</v>
      </c>
      <c r="P859" t="s" s="0">
        <v>81</v>
      </c>
      <c r="Q859" t="s" s="0">
        <v>87</v>
      </c>
      <c r="R859" t="s" s="0">
        <v>81</v>
      </c>
      <c r="S859" t="s" s="0">
        <v>81</v>
      </c>
      <c r="T859" t="s" s="0">
        <v>81</v>
      </c>
      <c r="U859" t="s" s="0">
        <v>81</v>
      </c>
      <c r="V859" t="s" s="0">
        <v>18671</v>
      </c>
      <c r="W859" t="s" s="0">
        <v>18672</v>
      </c>
      <c r="X859" t="s" s="0">
        <v>81</v>
      </c>
      <c r="Y859" t="s" s="0">
        <v>81</v>
      </c>
      <c r="Z859" t="s" s="0">
        <v>90</v>
      </c>
      <c r="AA859" t="s" s="0">
        <v>91</v>
      </c>
      <c r="AB859" t="s" s="0">
        <v>81</v>
      </c>
      <c r="AC859" t="s" s="0">
        <v>81</v>
      </c>
      <c r="AD859" t="s" s="0">
        <v>81</v>
      </c>
      <c r="AE859" t="s" s="0">
        <v>81</v>
      </c>
      <c r="AF859" t="s" s="0">
        <v>81</v>
      </c>
      <c r="AG859" t="s" s="0">
        <v>18673</v>
      </c>
      <c r="AH859" t="s" s="0">
        <v>81</v>
      </c>
      <c r="AI859" t="s" s="0">
        <v>81</v>
      </c>
      <c r="AJ859" t="s" s="0">
        <v>81</v>
      </c>
      <c r="AK859" t="s" s="0">
        <v>81</v>
      </c>
      <c r="AL859" t="s" s="0">
        <v>508</v>
      </c>
      <c r="AM859" t="s" s="0">
        <v>77</v>
      </c>
      <c r="AN859" t="s" s="0">
        <v>77</v>
      </c>
      <c r="AO859" t="s" s="0">
        <v>77</v>
      </c>
      <c r="AP859" t="s" s="0">
        <v>77</v>
      </c>
      <c r="AQ859" t="s" s="0">
        <v>665</v>
      </c>
      <c r="AR859" t="s" s="0">
        <v>546</v>
      </c>
      <c r="AS859" t="s" s="0">
        <v>666</v>
      </c>
      <c r="AT859" t="s" s="0">
        <v>81</v>
      </c>
      <c r="AU859" t="s" s="0">
        <v>18674</v>
      </c>
      <c r="AV859" t="s" s="0">
        <v>81</v>
      </c>
      <c r="AW859" t="s" s="0">
        <v>18675</v>
      </c>
      <c r="AX859" t="s" s="0">
        <v>18676</v>
      </c>
      <c r="AY859" t="s" s="0">
        <v>18677</v>
      </c>
      <c r="AZ859" t="s" s="0">
        <v>103</v>
      </c>
      <c r="BA859" t="s" s="0">
        <v>191</v>
      </c>
      <c r="BB859" t="s" s="0">
        <v>97</v>
      </c>
      <c r="BC859" t="s" s="0">
        <v>81</v>
      </c>
      <c r="BD859" t="s" s="0">
        <v>81</v>
      </c>
      <c r="BE859" t="s" s="0">
        <v>81</v>
      </c>
      <c r="BF859" t="s" s="0">
        <v>81</v>
      </c>
      <c r="BG859" t="s" s="0">
        <v>81</v>
      </c>
      <c r="BH859" t="s" s="0">
        <v>81</v>
      </c>
      <c r="BI859" t="s" s="0">
        <v>696</v>
      </c>
      <c r="BJ859" t="s" s="0">
        <v>18678</v>
      </c>
      <c r="BK859" t="s" s="1708">
        <f>HYPERLINK("http://dx.doi.org/10.1186/s41073-026-00245-8","http://dx.doi.org/10.1186/s41073-026-00245-8")</f>
        <v>18679</v>
      </c>
      <c r="BL859" t="s" s="0">
        <v>81</v>
      </c>
      <c r="BM859" t="s" s="0">
        <v>81</v>
      </c>
      <c r="BN859" t="s" s="0">
        <v>222</v>
      </c>
      <c r="BO859" t="s" s="0">
        <v>18680</v>
      </c>
      <c r="BP859" t="s" s="0">
        <v>18681</v>
      </c>
      <c r="BQ859" t="s" s="0">
        <v>18682</v>
      </c>
      <c r="BR859" t="s" s="0">
        <v>81</v>
      </c>
      <c r="BS859" t="s" s="0">
        <v>18683</v>
      </c>
      <c r="BT859" t="s" s="1709">
        <f>HYPERLINK("https://www.webofscience.com/wos/woscc/full-record/WOS:001852182100001","View Record in Web of Science")</f>
        <v>114</v>
      </c>
      <c r="BU859" t="s" s="0">
        <v>115</v>
      </c>
      <c r="BV859" t="s" s="0">
        <v>81</v>
      </c>
      <c r="BW859" t="s" s="0">
        <v>81</v>
      </c>
      <c r="BX859" t="s" s="0">
        <v>116</v>
      </c>
    </row>
    <row r="860">
      <c r="A860" t="s" s="0">
        <v>77</v>
      </c>
      <c r="B860" t="s" s="0">
        <v>77</v>
      </c>
      <c r="C860" t="s" s="0">
        <v>77</v>
      </c>
      <c r="D860" t="s" s="0">
        <v>77</v>
      </c>
      <c r="E860" t="s" s="0">
        <v>18684</v>
      </c>
      <c r="F860" t="s" s="0">
        <v>18685</v>
      </c>
      <c r="G860" t="s" s="0">
        <v>18686</v>
      </c>
      <c r="H860" t="s" s="0">
        <v>81</v>
      </c>
      <c r="I860" t="s" s="0">
        <v>82</v>
      </c>
      <c r="J860" t="s" s="0">
        <v>18687</v>
      </c>
      <c r="K860" t="s" s="0">
        <v>18688</v>
      </c>
      <c r="L860" t="s" s="0">
        <v>81</v>
      </c>
      <c r="M860" t="s" s="0">
        <v>81</v>
      </c>
      <c r="N860" t="s" s="0">
        <v>81</v>
      </c>
      <c r="O860" t="s" s="0">
        <v>18689</v>
      </c>
      <c r="P860" t="s" s="0">
        <v>7501</v>
      </c>
      <c r="Q860" t="s" s="0">
        <v>87</v>
      </c>
      <c r="R860" t="s" s="0">
        <v>81</v>
      </c>
      <c r="S860" t="s" s="0">
        <v>81</v>
      </c>
      <c r="T860" t="s" s="0">
        <v>81</v>
      </c>
      <c r="U860" t="s" s="0">
        <v>81</v>
      </c>
      <c r="V860" t="s" s="0">
        <v>18690</v>
      </c>
      <c r="W860" t="s" s="0">
        <v>18691</v>
      </c>
      <c r="X860" t="s" s="0">
        <v>81</v>
      </c>
      <c r="Y860" t="s" s="0">
        <v>81</v>
      </c>
      <c r="Z860" t="s" s="0">
        <v>90</v>
      </c>
      <c r="AA860" t="s" s="0">
        <v>91</v>
      </c>
      <c r="AB860" t="s" s="0">
        <v>81</v>
      </c>
      <c r="AC860" t="s" s="0">
        <v>81</v>
      </c>
      <c r="AD860" t="s" s="0">
        <v>81</v>
      </c>
      <c r="AE860" t="s" s="0">
        <v>81</v>
      </c>
      <c r="AF860" t="s" s="0">
        <v>81</v>
      </c>
      <c r="AG860" t="s" s="0">
        <v>18692</v>
      </c>
      <c r="AH860" t="s" s="0">
        <v>81</v>
      </c>
      <c r="AI860" t="s" s="0">
        <v>18693</v>
      </c>
      <c r="AJ860" t="s" s="0">
        <v>81</v>
      </c>
      <c r="AK860" t="s" s="0">
        <v>81</v>
      </c>
      <c r="AL860" t="s" s="0">
        <v>344</v>
      </c>
      <c r="AM860" t="s" s="0">
        <v>77</v>
      </c>
      <c r="AN860" t="s" s="0">
        <v>77</v>
      </c>
      <c r="AO860" t="s" s="0">
        <v>77</v>
      </c>
      <c r="AP860" t="s" s="0">
        <v>77</v>
      </c>
      <c r="AQ860" t="s" s="0">
        <v>136</v>
      </c>
      <c r="AR860" t="s" s="0">
        <v>137</v>
      </c>
      <c r="AS860" t="s" s="0">
        <v>138</v>
      </c>
      <c r="AT860" t="s" s="0">
        <v>18694</v>
      </c>
      <c r="AU860" t="s" s="0">
        <v>18695</v>
      </c>
      <c r="AV860" t="s" s="0">
        <v>81</v>
      </c>
      <c r="AW860" t="s" s="0">
        <v>18696</v>
      </c>
      <c r="AX860" t="s" s="0">
        <v>18697</v>
      </c>
      <c r="AY860" t="s" s="0">
        <v>18698</v>
      </c>
      <c r="AZ860" t="s" s="0">
        <v>103</v>
      </c>
      <c r="BA860" t="s" s="0">
        <v>14571</v>
      </c>
      <c r="BB860" t="s" s="0">
        <v>81</v>
      </c>
      <c r="BC860" t="s" s="0">
        <v>81</v>
      </c>
      <c r="BD860" t="s" s="0">
        <v>81</v>
      </c>
      <c r="BE860" t="s" s="0">
        <v>81</v>
      </c>
      <c r="BF860" t="s" s="0">
        <v>81</v>
      </c>
      <c r="BG860" t="s" s="0">
        <v>81</v>
      </c>
      <c r="BH860" t="s" s="0">
        <v>81</v>
      </c>
      <c r="BI860" t="s" s="0">
        <v>18699</v>
      </c>
      <c r="BJ860" t="s" s="0">
        <v>18700</v>
      </c>
      <c r="BK860" t="s" s="1710">
        <f>HYPERLINK("http://dx.doi.org/10.1016/j.future.2026.108649","http://dx.doi.org/10.1016/j.future.2026.108649")</f>
        <v>18701</v>
      </c>
      <c r="BL860" t="s" s="0">
        <v>81</v>
      </c>
      <c r="BM860" t="s" s="0">
        <v>849</v>
      </c>
      <c r="BN860" t="s" s="0">
        <v>261</v>
      </c>
      <c r="BO860" t="s" s="0">
        <v>1895</v>
      </c>
      <c r="BP860" t="s" s="0">
        <v>152</v>
      </c>
      <c r="BQ860" t="s" s="0">
        <v>18702</v>
      </c>
      <c r="BR860" t="s" s="0">
        <v>81</v>
      </c>
      <c r="BS860" t="s" s="0">
        <v>18703</v>
      </c>
      <c r="BT860" t="s" s="1711">
        <f>HYPERLINK("https://www.webofscience.com/wos/woscc/full-record/WOS:001808731800001","View Record in Web of Science")</f>
        <v>114</v>
      </c>
      <c r="BU860" t="s" s="0">
        <v>81</v>
      </c>
      <c r="BV860" t="s" s="0">
        <v>81</v>
      </c>
      <c r="BW860" t="s" s="0">
        <v>81</v>
      </c>
      <c r="BX860" t="s" s="0">
        <v>116</v>
      </c>
    </row>
    <row r="861">
      <c r="A861" t="s" s="0">
        <v>77</v>
      </c>
      <c r="B861" t="s" s="0">
        <v>77</v>
      </c>
      <c r="C861" t="s" s="0">
        <v>156</v>
      </c>
      <c r="D861" t="s" s="0">
        <v>77</v>
      </c>
      <c r="E861" t="s" s="0">
        <v>18704</v>
      </c>
      <c r="F861" t="s" s="0">
        <v>18705</v>
      </c>
      <c r="G861" t="s" s="0">
        <v>18706</v>
      </c>
      <c r="H861" t="s" s="0">
        <v>81</v>
      </c>
      <c r="I861" t="s" s="0">
        <v>82</v>
      </c>
      <c r="J861" t="s" s="0">
        <v>6331</v>
      </c>
      <c r="K861" t="s" s="0">
        <v>18707</v>
      </c>
      <c r="L861" t="s" s="0">
        <v>81</v>
      </c>
      <c r="M861" t="s" s="0">
        <v>81</v>
      </c>
      <c r="N861" t="s" s="0">
        <v>81</v>
      </c>
      <c r="O861" t="s" s="0">
        <v>18708</v>
      </c>
      <c r="P861" t="s" s="0">
        <v>18709</v>
      </c>
      <c r="Q861" t="s" s="0">
        <v>87</v>
      </c>
      <c r="R861" t="s" s="0">
        <v>81</v>
      </c>
      <c r="S861" t="s" s="0">
        <v>81</v>
      </c>
      <c r="T861" t="s" s="0">
        <v>81</v>
      </c>
      <c r="U861" t="s" s="0">
        <v>81</v>
      </c>
      <c r="V861" t="s" s="0">
        <v>18710</v>
      </c>
      <c r="W861" t="s" s="0">
        <v>1369</v>
      </c>
      <c r="X861" t="s" s="0">
        <v>81</v>
      </c>
      <c r="Y861" t="s" s="0">
        <v>81</v>
      </c>
      <c r="Z861" t="s" s="0">
        <v>90</v>
      </c>
      <c r="AA861" t="s" s="0">
        <v>91</v>
      </c>
      <c r="AB861" t="s" s="0">
        <v>81</v>
      </c>
      <c r="AC861" t="s" s="0">
        <v>81</v>
      </c>
      <c r="AD861" t="s" s="0">
        <v>81</v>
      </c>
      <c r="AE861" t="s" s="0">
        <v>81</v>
      </c>
      <c r="AF861" t="s" s="0">
        <v>81</v>
      </c>
      <c r="AG861" t="s" s="0">
        <v>18711</v>
      </c>
      <c r="AH861" t="s" s="0">
        <v>18712</v>
      </c>
      <c r="AI861" t="s" s="0">
        <v>754</v>
      </c>
      <c r="AJ861" t="s" s="0">
        <v>18713</v>
      </c>
      <c r="AK861" t="s" s="0">
        <v>81</v>
      </c>
      <c r="AL861" t="s" s="0">
        <v>405</v>
      </c>
      <c r="AM861" t="s" s="0">
        <v>135</v>
      </c>
      <c r="AN861" t="s" s="0">
        <v>434</v>
      </c>
      <c r="AO861" t="s" s="0">
        <v>97</v>
      </c>
      <c r="AP861" t="s" s="0">
        <v>291</v>
      </c>
      <c r="AQ861" t="s" s="0">
        <v>284</v>
      </c>
      <c r="AR861" t="s" s="0">
        <v>285</v>
      </c>
      <c r="AS861" t="s" s="0">
        <v>286</v>
      </c>
      <c r="AT861" t="s" s="0">
        <v>81</v>
      </c>
      <c r="AU861" t="s" s="0">
        <v>1375</v>
      </c>
      <c r="AV861" t="s" s="0">
        <v>81</v>
      </c>
      <c r="AW861" t="s" s="0">
        <v>1369</v>
      </c>
      <c r="AX861" t="s" s="0">
        <v>1376</v>
      </c>
      <c r="AY861" t="s" s="0">
        <v>557</v>
      </c>
      <c r="AZ861" t="s" s="0">
        <v>260</v>
      </c>
      <c r="BA861" t="s" s="0">
        <v>291</v>
      </c>
      <c r="BB861" t="s" s="0">
        <v>196</v>
      </c>
      <c r="BC861" t="s" s="0">
        <v>81</v>
      </c>
      <c r="BD861" t="s" s="0">
        <v>81</v>
      </c>
      <c r="BE861" t="s" s="0">
        <v>81</v>
      </c>
      <c r="BF861" t="s" s="0">
        <v>81</v>
      </c>
      <c r="BG861" t="s" s="0">
        <v>81</v>
      </c>
      <c r="BH861" t="s" s="0">
        <v>81</v>
      </c>
      <c r="BI861" t="s" s="0">
        <v>18714</v>
      </c>
      <c r="BJ861" t="s" s="0">
        <v>18715</v>
      </c>
      <c r="BK861" t="s" s="1712">
        <f>HYPERLINK("http://dx.doi.org/10.3390/cancers15030966","http://dx.doi.org/10.3390/cancers15030966")</f>
        <v>18716</v>
      </c>
      <c r="BL861" t="s" s="0">
        <v>81</v>
      </c>
      <c r="BM861" t="s" s="0">
        <v>81</v>
      </c>
      <c r="BN861" t="s" s="0">
        <v>295</v>
      </c>
      <c r="BO861" t="s" s="0">
        <v>1380</v>
      </c>
      <c r="BP861" t="s" s="0">
        <v>1380</v>
      </c>
      <c r="BQ861" t="s" s="0">
        <v>18717</v>
      </c>
      <c r="BR861" t="s" s="0">
        <v>18718</v>
      </c>
      <c r="BS861" t="s" s="0">
        <v>18719</v>
      </c>
      <c r="BT861" t="s" s="1713">
        <f>HYPERLINK("https://www.webofscience.com/wos/woscc/full-record/WOS:000929248300001","View Record in Web of Science")</f>
        <v>114</v>
      </c>
      <c r="BU861" t="s" s="0">
        <v>301</v>
      </c>
      <c r="BV861" t="s" s="0">
        <v>81</v>
      </c>
      <c r="BW861" t="s" s="0">
        <v>81</v>
      </c>
      <c r="BX861" t="s" s="0">
        <v>116</v>
      </c>
    </row>
    <row r="862">
      <c r="A862" t="s" s="0">
        <v>77</v>
      </c>
      <c r="B862" t="s" s="0">
        <v>77</v>
      </c>
      <c r="C862" t="s" s="0">
        <v>77</v>
      </c>
      <c r="D862" t="s" s="0">
        <v>77</v>
      </c>
      <c r="E862" t="s" s="0">
        <v>18720</v>
      </c>
      <c r="F862" t="s" s="0">
        <v>18721</v>
      </c>
      <c r="G862" t="s" s="0">
        <v>18722</v>
      </c>
      <c r="H862" t="s" s="0">
        <v>81</v>
      </c>
      <c r="I862" t="s" s="0">
        <v>82</v>
      </c>
      <c r="J862" t="s" s="0">
        <v>18723</v>
      </c>
      <c r="K862" t="s" s="0">
        <v>18724</v>
      </c>
      <c r="L862" t="s" s="0">
        <v>18725</v>
      </c>
      <c r="M862" t="s" s="0">
        <v>18725</v>
      </c>
      <c r="N862" t="s" s="0">
        <v>18726</v>
      </c>
      <c r="O862" t="s" s="0">
        <v>18727</v>
      </c>
      <c r="P862" t="s" s="0">
        <v>18728</v>
      </c>
      <c r="Q862" t="s" s="0">
        <v>87</v>
      </c>
      <c r="R862" t="s" s="0">
        <v>81</v>
      </c>
      <c r="S862" t="s" s="0">
        <v>81</v>
      </c>
      <c r="T862" t="s" s="0">
        <v>81</v>
      </c>
      <c r="U862" t="s" s="0">
        <v>81</v>
      </c>
      <c r="V862" t="s" s="0">
        <v>18729</v>
      </c>
      <c r="W862" t="s" s="0">
        <v>6057</v>
      </c>
      <c r="X862" t="s" s="0">
        <v>81</v>
      </c>
      <c r="Y862" t="s" s="0">
        <v>81</v>
      </c>
      <c r="Z862" t="s" s="0">
        <v>90</v>
      </c>
      <c r="AA862" t="s" s="0">
        <v>91</v>
      </c>
      <c r="AB862" t="s" s="0">
        <v>81</v>
      </c>
      <c r="AC862" t="s" s="0">
        <v>81</v>
      </c>
      <c r="AD862" t="s" s="0">
        <v>81</v>
      </c>
      <c r="AE862" t="s" s="0">
        <v>81</v>
      </c>
      <c r="AF862" t="s" s="0">
        <v>81</v>
      </c>
      <c r="AG862" t="s" s="0">
        <v>18730</v>
      </c>
      <c r="AH862" t="s" s="0">
        <v>81</v>
      </c>
      <c r="AI862" t="s" s="0">
        <v>81</v>
      </c>
      <c r="AJ862" t="s" s="0">
        <v>81</v>
      </c>
      <c r="AK862" t="s" s="0">
        <v>81</v>
      </c>
      <c r="AL862" t="s" s="0">
        <v>508</v>
      </c>
      <c r="AM862" t="s" s="0">
        <v>77</v>
      </c>
      <c r="AN862" t="s" s="0">
        <v>97</v>
      </c>
      <c r="AO862" t="s" s="0">
        <v>196</v>
      </c>
      <c r="AP862" t="s" s="0">
        <v>196</v>
      </c>
      <c r="AQ862" t="s" s="0">
        <v>3061</v>
      </c>
      <c r="AR862" t="s" s="0">
        <v>3062</v>
      </c>
      <c r="AS862" t="s" s="0">
        <v>3063</v>
      </c>
      <c r="AT862" t="s" s="0">
        <v>6061</v>
      </c>
      <c r="AU862" t="s" s="0">
        <v>81</v>
      </c>
      <c r="AV862" t="s" s="0">
        <v>81</v>
      </c>
      <c r="AW862" t="s" s="0">
        <v>6062</v>
      </c>
      <c r="AX862" t="s" s="0">
        <v>6063</v>
      </c>
      <c r="AY862" t="s" s="0">
        <v>103</v>
      </c>
      <c r="AZ862" t="s" s="0">
        <v>103</v>
      </c>
      <c r="BA862" t="s" s="0">
        <v>134</v>
      </c>
      <c r="BB862" t="s" s="0">
        <v>81</v>
      </c>
      <c r="BC862" t="s" s="0">
        <v>81</v>
      </c>
      <c r="BD862" t="s" s="0">
        <v>81</v>
      </c>
      <c r="BE862" t="s" s="0">
        <v>81</v>
      </c>
      <c r="BF862" t="s" s="0">
        <v>81</v>
      </c>
      <c r="BG862" t="s" s="0">
        <v>81</v>
      </c>
      <c r="BH862" t="s" s="0">
        <v>81</v>
      </c>
      <c r="BI862" t="s" s="0">
        <v>18731</v>
      </c>
      <c r="BJ862" t="s" s="0">
        <v>18732</v>
      </c>
      <c r="BK862" t="s" s="1714">
        <f>HYPERLINK("http://dx.doi.org/10.2196/89815","http://dx.doi.org/10.2196/89815")</f>
        <v>18733</v>
      </c>
      <c r="BL862" t="s" s="0">
        <v>81</v>
      </c>
      <c r="BM862" t="s" s="0">
        <v>81</v>
      </c>
      <c r="BN862" t="s" s="0">
        <v>222</v>
      </c>
      <c r="BO862" t="s" s="0">
        <v>6067</v>
      </c>
      <c r="BP862" t="s" s="0">
        <v>6068</v>
      </c>
      <c r="BQ862" t="s" s="0">
        <v>18734</v>
      </c>
      <c r="BR862" t="s" s="0">
        <v>18735</v>
      </c>
      <c r="BS862" t="s" s="0">
        <v>18736</v>
      </c>
      <c r="BT862" t="s" s="1715">
        <f>HYPERLINK("https://www.webofscience.com/wos/woscc/full-record/WOS:001791368500001","View Record in Web of Science")</f>
        <v>114</v>
      </c>
      <c r="BU862" t="s" s="0">
        <v>301</v>
      </c>
      <c r="BV862" t="s" s="0">
        <v>81</v>
      </c>
      <c r="BW862" t="s" s="0">
        <v>81</v>
      </c>
      <c r="BX862" t="s" s="0">
        <v>116</v>
      </c>
    </row>
    <row r="863">
      <c r="A863" t="s" s="0">
        <v>77</v>
      </c>
      <c r="B863" t="s" s="0">
        <v>77</v>
      </c>
      <c r="C863" t="s" s="0">
        <v>77</v>
      </c>
      <c r="D863" t="s" s="0">
        <v>77</v>
      </c>
      <c r="E863" t="s" s="0">
        <v>18737</v>
      </c>
      <c r="F863" t="s" s="0">
        <v>18738</v>
      </c>
      <c r="G863" t="s" s="0">
        <v>18739</v>
      </c>
      <c r="H863" t="s" s="0">
        <v>81</v>
      </c>
      <c r="I863" t="s" s="0">
        <v>238</v>
      </c>
      <c r="J863" t="s" s="0">
        <v>18740</v>
      </c>
      <c r="K863" t="s" s="0">
        <v>18741</v>
      </c>
      <c r="L863" t="s" s="0">
        <v>18742</v>
      </c>
      <c r="M863" t="s" s="0">
        <v>18743</v>
      </c>
      <c r="N863" t="s" s="0">
        <v>335</v>
      </c>
      <c r="O863" t="s" s="0">
        <v>18744</v>
      </c>
      <c r="P863" t="s" s="0">
        <v>18745</v>
      </c>
      <c r="Q863" t="s" s="0">
        <v>87</v>
      </c>
      <c r="R863" t="s" s="0">
        <v>81</v>
      </c>
      <c r="S863" t="s" s="0">
        <v>81</v>
      </c>
      <c r="T863" t="s" s="0">
        <v>81</v>
      </c>
      <c r="U863" t="s" s="0">
        <v>81</v>
      </c>
      <c r="V863" t="s" s="0">
        <v>18746</v>
      </c>
      <c r="W863" t="s" s="0">
        <v>18747</v>
      </c>
      <c r="X863" t="s" s="0">
        <v>81</v>
      </c>
      <c r="Y863" t="s" s="0">
        <v>81</v>
      </c>
      <c r="Z863" t="s" s="0">
        <v>90</v>
      </c>
      <c r="AA863" t="s" s="0">
        <v>1581</v>
      </c>
      <c r="AB863" t="s" s="0">
        <v>81</v>
      </c>
      <c r="AC863" t="s" s="0">
        <v>81</v>
      </c>
      <c r="AD863" t="s" s="0">
        <v>81</v>
      </c>
      <c r="AE863" t="s" s="0">
        <v>81</v>
      </c>
      <c r="AF863" t="s" s="0">
        <v>81</v>
      </c>
      <c r="AG863" t="s" s="0">
        <v>81</v>
      </c>
      <c r="AH863" t="s" s="0">
        <v>81</v>
      </c>
      <c r="AI863" t="s" s="0">
        <v>81</v>
      </c>
      <c r="AJ863" t="s" s="0">
        <v>81</v>
      </c>
      <c r="AK863" t="s" s="0">
        <v>81</v>
      </c>
      <c r="AL863" t="s" s="0">
        <v>486</v>
      </c>
      <c r="AM863" t="s" s="0">
        <v>77</v>
      </c>
      <c r="AN863" t="s" s="0">
        <v>77</v>
      </c>
      <c r="AO863" t="s" s="0">
        <v>77</v>
      </c>
      <c r="AP863" t="s" s="0">
        <v>77</v>
      </c>
      <c r="AQ863" t="s" s="0">
        <v>98</v>
      </c>
      <c r="AR863" t="s" s="0">
        <v>99</v>
      </c>
      <c r="AS863" t="s" s="0">
        <v>100</v>
      </c>
      <c r="AT863" t="s" s="0">
        <v>18748</v>
      </c>
      <c r="AU863" t="s" s="0">
        <v>18749</v>
      </c>
      <c r="AV863" t="s" s="0">
        <v>81</v>
      </c>
      <c r="AW863" t="s" s="0">
        <v>18750</v>
      </c>
      <c r="AX863" t="s" s="0">
        <v>18751</v>
      </c>
      <c r="AY863" t="s" s="0">
        <v>81</v>
      </c>
      <c r="AZ863" t="s" s="0">
        <v>103</v>
      </c>
      <c r="BA863" t="s" s="0">
        <v>81</v>
      </c>
      <c r="BB863" t="s" s="0">
        <v>81</v>
      </c>
      <c r="BC863" t="s" s="0">
        <v>81</v>
      </c>
      <c r="BD863" t="s" s="0">
        <v>81</v>
      </c>
      <c r="BE863" t="s" s="0">
        <v>81</v>
      </c>
      <c r="BF863" t="s" s="0">
        <v>81</v>
      </c>
      <c r="BG863" t="s" s="0">
        <v>81</v>
      </c>
      <c r="BH863" t="s" s="0">
        <v>81</v>
      </c>
      <c r="BI863" t="s" s="0">
        <v>81</v>
      </c>
      <c r="BJ863" t="s" s="0">
        <v>18752</v>
      </c>
      <c r="BK863" t="s" s="1716">
        <f>HYPERLINK("http://dx.doi.org/10.1109/MCOMSTD.2026.3677775","http://dx.doi.org/10.1109/MCOMSTD.2026.3677775")</f>
        <v>18753</v>
      </c>
      <c r="BL863" t="s" s="0">
        <v>81</v>
      </c>
      <c r="BM863" t="s" s="0">
        <v>948</v>
      </c>
      <c r="BN863" t="s" s="0">
        <v>261</v>
      </c>
      <c r="BO863" t="s" s="0">
        <v>1124</v>
      </c>
      <c r="BP863" t="s" s="0">
        <v>1125</v>
      </c>
      <c r="BQ863" t="s" s="0">
        <v>18754</v>
      </c>
      <c r="BR863" t="s" s="0">
        <v>81</v>
      </c>
      <c r="BS863" t="s" s="0">
        <v>18755</v>
      </c>
      <c r="BT863" t="s" s="1717">
        <f>HYPERLINK("https://www.webofscience.com/wos/woscc/full-record/WOS:001737583700001","View Record in Web of Science")</f>
        <v>114</v>
      </c>
      <c r="BU863" t="s" s="0">
        <v>81</v>
      </c>
      <c r="BV863" t="s" s="0">
        <v>81</v>
      </c>
      <c r="BW863" t="s" s="0">
        <v>81</v>
      </c>
      <c r="BX863" t="s" s="0">
        <v>116</v>
      </c>
    </row>
    <row r="864">
      <c r="A864" t="s" s="0">
        <v>77</v>
      </c>
      <c r="B864" t="s" s="0">
        <v>77</v>
      </c>
      <c r="C864" t="s" s="0">
        <v>77</v>
      </c>
      <c r="D864" t="s" s="0">
        <v>77</v>
      </c>
      <c r="E864" t="s" s="0">
        <v>18756</v>
      </c>
      <c r="F864" t="s" s="0">
        <v>18757</v>
      </c>
      <c r="G864" t="s" s="0">
        <v>18758</v>
      </c>
      <c r="H864" t="s" s="0">
        <v>81</v>
      </c>
      <c r="I864" t="s" s="0">
        <v>82</v>
      </c>
      <c r="J864" t="s" s="0">
        <v>18759</v>
      </c>
      <c r="K864" t="s" s="0">
        <v>18760</v>
      </c>
      <c r="L864" t="s" s="0">
        <v>81</v>
      </c>
      <c r="M864" t="s" s="0">
        <v>81</v>
      </c>
      <c r="N864" t="s" s="0">
        <v>81</v>
      </c>
      <c r="O864" t="s" s="0">
        <v>18761</v>
      </c>
      <c r="P864" t="s" s="0">
        <v>18762</v>
      </c>
      <c r="Q864" t="s" s="0">
        <v>87</v>
      </c>
      <c r="R864" t="s" s="0">
        <v>81</v>
      </c>
      <c r="S864" t="s" s="0">
        <v>81</v>
      </c>
      <c r="T864" t="s" s="0">
        <v>81</v>
      </c>
      <c r="U864" t="s" s="0">
        <v>81</v>
      </c>
      <c r="V864" t="s" s="0">
        <v>18763</v>
      </c>
      <c r="W864" t="s" s="0">
        <v>18764</v>
      </c>
      <c r="X864" t="s" s="0">
        <v>81</v>
      </c>
      <c r="Y864" t="s" s="0">
        <v>81</v>
      </c>
      <c r="Z864" t="s" s="0">
        <v>90</v>
      </c>
      <c r="AA864" t="s" s="0">
        <v>91</v>
      </c>
      <c r="AB864" t="s" s="0">
        <v>81</v>
      </c>
      <c r="AC864" t="s" s="0">
        <v>81</v>
      </c>
      <c r="AD864" t="s" s="0">
        <v>81</v>
      </c>
      <c r="AE864" t="s" s="0">
        <v>81</v>
      </c>
      <c r="AF864" t="s" s="0">
        <v>81</v>
      </c>
      <c r="AG864" t="s" s="0">
        <v>18765</v>
      </c>
      <c r="AH864" t="s" s="0">
        <v>81</v>
      </c>
      <c r="AI864" t="s" s="0">
        <v>81</v>
      </c>
      <c r="AJ864" t="s" s="0">
        <v>18766</v>
      </c>
      <c r="AK864" t="s" s="0">
        <v>81</v>
      </c>
      <c r="AL864" t="s" s="0">
        <v>671</v>
      </c>
      <c r="AM864" t="s" s="0">
        <v>77</v>
      </c>
      <c r="AN864" t="s" s="0">
        <v>77</v>
      </c>
      <c r="AO864" t="s" s="0">
        <v>97</v>
      </c>
      <c r="AP864" t="s" s="0">
        <v>97</v>
      </c>
      <c r="AQ864" t="s" s="0">
        <v>726</v>
      </c>
      <c r="AR864" t="s" s="0">
        <v>727</v>
      </c>
      <c r="AS864" t="s" s="0">
        <v>728</v>
      </c>
      <c r="AT864" t="s" s="0">
        <v>18767</v>
      </c>
      <c r="AU864" t="s" s="0">
        <v>18768</v>
      </c>
      <c r="AV864" t="s" s="0">
        <v>81</v>
      </c>
      <c r="AW864" t="s" s="0">
        <v>18769</v>
      </c>
      <c r="AX864" t="s" s="0">
        <v>18770</v>
      </c>
      <c r="AY864" t="s" s="0">
        <v>18771</v>
      </c>
      <c r="AZ864" t="s" s="0">
        <v>103</v>
      </c>
      <c r="BA864" t="s" s="0">
        <v>399</v>
      </c>
      <c r="BB864" t="s" s="0">
        <v>486</v>
      </c>
      <c r="BC864" t="s" s="0">
        <v>81</v>
      </c>
      <c r="BD864" t="s" s="0">
        <v>81</v>
      </c>
      <c r="BE864" t="s" s="0">
        <v>81</v>
      </c>
      <c r="BF864" t="s" s="0">
        <v>81</v>
      </c>
      <c r="BG864" t="s" s="0">
        <v>81</v>
      </c>
      <c r="BH864" t="s" s="0">
        <v>81</v>
      </c>
      <c r="BI864" t="s" s="0">
        <v>18772</v>
      </c>
      <c r="BJ864" t="s" s="0">
        <v>18773</v>
      </c>
      <c r="BK864" t="s" s="1718">
        <f>HYPERLINK("http://dx.doi.org/10.1096/fj.202600019R","http://dx.doi.org/10.1096/fj.202600019R")</f>
        <v>18774</v>
      </c>
      <c r="BL864" t="s" s="0">
        <v>81</v>
      </c>
      <c r="BM864" t="s" s="0">
        <v>81</v>
      </c>
      <c r="BN864" t="s" s="0">
        <v>150</v>
      </c>
      <c r="BO864" t="s" s="0">
        <v>18775</v>
      </c>
      <c r="BP864" t="s" s="0">
        <v>18776</v>
      </c>
      <c r="BQ864" t="s" s="0">
        <v>18777</v>
      </c>
      <c r="BR864" t="s" s="0">
        <v>18778</v>
      </c>
      <c r="BS864" t="s" s="0">
        <v>18779</v>
      </c>
      <c r="BT864" t="s" s="1719">
        <f>HYPERLINK("https://www.webofscience.com/wos/woscc/full-record/WOS:001813915900001","View Record in Web of Science")</f>
        <v>114</v>
      </c>
      <c r="BU864" t="s" s="0">
        <v>81</v>
      </c>
      <c r="BV864" t="s" s="0">
        <v>81</v>
      </c>
      <c r="BW864" t="s" s="0">
        <v>81</v>
      </c>
      <c r="BX864" t="s" s="0">
        <v>116</v>
      </c>
    </row>
    <row r="865">
      <c r="A865" t="s" s="0">
        <v>77</v>
      </c>
      <c r="B865" t="s" s="0">
        <v>77</v>
      </c>
      <c r="C865" t="s" s="0">
        <v>77</v>
      </c>
      <c r="D865" t="s" s="0">
        <v>77</v>
      </c>
      <c r="E865" t="s" s="0">
        <v>18780</v>
      </c>
      <c r="F865" t="s" s="0">
        <v>18781</v>
      </c>
      <c r="G865" t="s" s="0">
        <v>18782</v>
      </c>
      <c r="H865" t="s" s="0">
        <v>81</v>
      </c>
      <c r="I865" t="s" s="0">
        <v>528</v>
      </c>
      <c r="J865" t="s" s="0">
        <v>18783</v>
      </c>
      <c r="K865" t="s" s="0">
        <v>18784</v>
      </c>
      <c r="L865" t="s" s="0">
        <v>81</v>
      </c>
      <c r="M865" t="s" s="0">
        <v>81</v>
      </c>
      <c r="N865" t="s" s="0">
        <v>81</v>
      </c>
      <c r="O865" t="s" s="0">
        <v>18785</v>
      </c>
      <c r="P865" t="s" s="0">
        <v>18786</v>
      </c>
      <c r="Q865" t="s" s="0">
        <v>87</v>
      </c>
      <c r="R865" t="s" s="0">
        <v>81</v>
      </c>
      <c r="S865" t="s" s="0">
        <v>81</v>
      </c>
      <c r="T865" t="s" s="0">
        <v>81</v>
      </c>
      <c r="U865" t="s" s="0">
        <v>81</v>
      </c>
      <c r="V865" t="s" s="0">
        <v>18787</v>
      </c>
      <c r="W865" t="s" s="0">
        <v>18788</v>
      </c>
      <c r="X865" t="s" s="0">
        <v>81</v>
      </c>
      <c r="Y865" t="s" s="0">
        <v>81</v>
      </c>
      <c r="Z865" t="s" s="0">
        <v>90</v>
      </c>
      <c r="AA865" t="s" s="0">
        <v>91</v>
      </c>
      <c r="AB865" t="s" s="0">
        <v>81</v>
      </c>
      <c r="AC865" t="s" s="0">
        <v>81</v>
      </c>
      <c r="AD865" t="s" s="0">
        <v>81</v>
      </c>
      <c r="AE865" t="s" s="0">
        <v>81</v>
      </c>
      <c r="AF865" t="s" s="0">
        <v>81</v>
      </c>
      <c r="AG865" t="s" s="0">
        <v>18789</v>
      </c>
      <c r="AH865" t="s" s="0">
        <v>81</v>
      </c>
      <c r="AI865" t="s" s="0">
        <v>18790</v>
      </c>
      <c r="AJ865" t="s" s="0">
        <v>18791</v>
      </c>
      <c r="AK865" t="s" s="0">
        <v>81</v>
      </c>
      <c r="AL865" t="s" s="0">
        <v>874</v>
      </c>
      <c r="AM865" t="s" s="0">
        <v>133</v>
      </c>
      <c r="AN865" t="s" s="0">
        <v>316</v>
      </c>
      <c r="AO865" t="s" s="0">
        <v>133</v>
      </c>
      <c r="AP865" t="s" s="0">
        <v>316</v>
      </c>
      <c r="AQ865" t="s" s="0">
        <v>665</v>
      </c>
      <c r="AR865" t="s" s="0">
        <v>546</v>
      </c>
      <c r="AS865" t="s" s="0">
        <v>666</v>
      </c>
      <c r="AT865" t="s" s="0">
        <v>81</v>
      </c>
      <c r="AU865" t="s" s="0">
        <v>18792</v>
      </c>
      <c r="AV865" t="s" s="0">
        <v>81</v>
      </c>
      <c r="AW865" t="s" s="0">
        <v>18793</v>
      </c>
      <c r="AX865" t="s" s="0">
        <v>18794</v>
      </c>
      <c r="AY865" t="s" s="0">
        <v>18795</v>
      </c>
      <c r="AZ865" t="s" s="0">
        <v>290</v>
      </c>
      <c r="BA865" t="s" s="0">
        <v>109</v>
      </c>
      <c r="BB865" t="s" s="0">
        <v>97</v>
      </c>
      <c r="BC865" t="s" s="0">
        <v>81</v>
      </c>
      <c r="BD865" t="s" s="0">
        <v>81</v>
      </c>
      <c r="BE865" t="s" s="0">
        <v>81</v>
      </c>
      <c r="BF865" t="s" s="0">
        <v>81</v>
      </c>
      <c r="BG865" t="s" s="0">
        <v>81</v>
      </c>
      <c r="BH865" t="s" s="0">
        <v>81</v>
      </c>
      <c r="BI865" t="s" s="0">
        <v>18796</v>
      </c>
      <c r="BJ865" t="s" s="0">
        <v>18797</v>
      </c>
      <c r="BK865" t="s" s="1720">
        <f>HYPERLINK("http://dx.doi.org/10.1186/s12909-025-07854-9","http://dx.doi.org/10.1186/s12909-025-07854-9")</f>
        <v>18798</v>
      </c>
      <c r="BL865" t="s" s="0">
        <v>81</v>
      </c>
      <c r="BM865" t="s" s="0">
        <v>81</v>
      </c>
      <c r="BN865" t="s" s="0">
        <v>381</v>
      </c>
      <c r="BO865" t="s" s="0">
        <v>18799</v>
      </c>
      <c r="BP865" t="s" s="0">
        <v>6068</v>
      </c>
      <c r="BQ865" t="s" s="0">
        <v>18800</v>
      </c>
      <c r="BR865" t="s" s="0">
        <v>18801</v>
      </c>
      <c r="BS865" t="s" s="0">
        <v>18802</v>
      </c>
      <c r="BT865" t="s" s="1721">
        <f>HYPERLINK("https://www.webofscience.com/wos/woscc/full-record/WOS:001591468500002","View Record in Web of Science")</f>
        <v>114</v>
      </c>
      <c r="BU865" t="s" s="0">
        <v>301</v>
      </c>
      <c r="BV865" t="s" s="0">
        <v>81</v>
      </c>
      <c r="BW865" t="s" s="0">
        <v>81</v>
      </c>
      <c r="BX865" t="s" s="0">
        <v>116</v>
      </c>
    </row>
    <row r="866">
      <c r="A866" t="s" s="0">
        <v>196</v>
      </c>
      <c r="B866" t="s" s="0">
        <v>77</v>
      </c>
      <c r="C866" t="s" s="0">
        <v>133</v>
      </c>
      <c r="D866" t="s" s="0">
        <v>77</v>
      </c>
      <c r="E866" t="s" s="0">
        <v>18803</v>
      </c>
      <c r="F866" t="s" s="0">
        <v>18804</v>
      </c>
      <c r="G866" t="s" s="0">
        <v>18805</v>
      </c>
      <c r="H866" t="s" s="0">
        <v>81</v>
      </c>
      <c r="I866" t="s" s="0">
        <v>82</v>
      </c>
      <c r="J866" t="s" s="0">
        <v>18806</v>
      </c>
      <c r="K866" t="s" s="0">
        <v>18807</v>
      </c>
      <c r="L866" t="s" s="0">
        <v>81</v>
      </c>
      <c r="M866" t="s" s="0">
        <v>81</v>
      </c>
      <c r="N866" t="s" s="0">
        <v>81</v>
      </c>
      <c r="O866" t="s" s="0">
        <v>18808</v>
      </c>
      <c r="P866" t="s" s="0">
        <v>18809</v>
      </c>
      <c r="Q866" t="s" s="0">
        <v>87</v>
      </c>
      <c r="R866" t="s" s="0">
        <v>81</v>
      </c>
      <c r="S866" t="s" s="0">
        <v>81</v>
      </c>
      <c r="T866" t="s" s="0">
        <v>81</v>
      </c>
      <c r="U866" t="s" s="0">
        <v>81</v>
      </c>
      <c r="V866" t="s" s="0">
        <v>18810</v>
      </c>
      <c r="W866" t="s" s="0">
        <v>18811</v>
      </c>
      <c r="X866" t="s" s="0">
        <v>81</v>
      </c>
      <c r="Y866" t="s" s="0">
        <v>81</v>
      </c>
      <c r="Z866" t="s" s="0">
        <v>90</v>
      </c>
      <c r="AA866" t="s" s="0">
        <v>91</v>
      </c>
      <c r="AB866" t="s" s="0">
        <v>81</v>
      </c>
      <c r="AC866" t="s" s="0">
        <v>81</v>
      </c>
      <c r="AD866" t="s" s="0">
        <v>81</v>
      </c>
      <c r="AE866" t="s" s="0">
        <v>81</v>
      </c>
      <c r="AF866" t="s" s="0">
        <v>81</v>
      </c>
      <c r="AG866" t="s" s="0">
        <v>18812</v>
      </c>
      <c r="AH866" t="s" s="0">
        <v>18813</v>
      </c>
      <c r="AI866" t="s" s="0">
        <v>18814</v>
      </c>
      <c r="AJ866" t="s" s="0">
        <v>18815</v>
      </c>
      <c r="AK866" t="s" s="0">
        <v>81</v>
      </c>
      <c r="AL866" t="s" s="0">
        <v>9541</v>
      </c>
      <c r="AM866" t="s" s="0">
        <v>7289</v>
      </c>
      <c r="AN866" t="s" s="0">
        <v>4173</v>
      </c>
      <c r="AO866" t="s" s="0">
        <v>222</v>
      </c>
      <c r="AP866" t="s" s="0">
        <v>6043</v>
      </c>
      <c r="AQ866" t="s" s="0">
        <v>3016</v>
      </c>
      <c r="AR866" t="s" s="0">
        <v>546</v>
      </c>
      <c r="AS866" t="s" s="0">
        <v>11501</v>
      </c>
      <c r="AT866" t="s" s="0">
        <v>18816</v>
      </c>
      <c r="AU866" t="s" s="0">
        <v>18817</v>
      </c>
      <c r="AV866" t="s" s="0">
        <v>81</v>
      </c>
      <c r="AW866" t="s" s="0">
        <v>18818</v>
      </c>
      <c r="AX866" t="s" s="0">
        <v>18819</v>
      </c>
      <c r="AY866" t="s" s="0">
        <v>265</v>
      </c>
      <c r="AZ866" t="s" s="0">
        <v>260</v>
      </c>
      <c r="BA866" t="s" s="0">
        <v>324</v>
      </c>
      <c r="BB866" t="s" s="0">
        <v>381</v>
      </c>
      <c r="BC866" t="s" s="0">
        <v>81</v>
      </c>
      <c r="BD866" t="s" s="0">
        <v>81</v>
      </c>
      <c r="BE866" t="s" s="0">
        <v>81</v>
      </c>
      <c r="BF866" t="s" s="0">
        <v>81</v>
      </c>
      <c r="BG866" t="s" s="0">
        <v>81</v>
      </c>
      <c r="BH866" t="s" s="0">
        <v>81</v>
      </c>
      <c r="BI866" t="s" s="0">
        <v>18820</v>
      </c>
      <c r="BJ866" t="s" s="0">
        <v>18821</v>
      </c>
      <c r="BK866" t="s" s="1722">
        <f>HYPERLINK("http://dx.doi.org/10.1016/j.jksuci.2023.101675","http://dx.doi.org/10.1016/j.jksuci.2023.101675")</f>
        <v>18822</v>
      </c>
      <c r="BL866" t="s" s="0">
        <v>81</v>
      </c>
      <c r="BM866" t="s" s="0">
        <v>2077</v>
      </c>
      <c r="BN866" t="s" s="0">
        <v>135</v>
      </c>
      <c r="BO866" t="s" s="0">
        <v>5722</v>
      </c>
      <c r="BP866" t="s" s="0">
        <v>152</v>
      </c>
      <c r="BQ866" t="s" s="0">
        <v>18823</v>
      </c>
      <c r="BR866" t="s" s="0">
        <v>81</v>
      </c>
      <c r="BS866" t="s" s="0">
        <v>18824</v>
      </c>
      <c r="BT866" t="s" s="1723">
        <f>HYPERLINK("https://www.webofscience.com/wos/woscc/full-record/WOS:001150035400001","View Record in Web of Science")</f>
        <v>114</v>
      </c>
      <c r="BU866" t="s" s="0">
        <v>155</v>
      </c>
      <c r="BV866" t="s" s="0">
        <v>81</v>
      </c>
      <c r="BW866" t="s" s="0">
        <v>81</v>
      </c>
      <c r="BX866" t="s" s="0">
        <v>116</v>
      </c>
    </row>
    <row r="867">
      <c r="A867" t="s" s="0">
        <v>77</v>
      </c>
      <c r="B867" t="s" s="0">
        <v>77</v>
      </c>
      <c r="C867" t="s" s="0">
        <v>97</v>
      </c>
      <c r="D867" t="s" s="0">
        <v>77</v>
      </c>
      <c r="E867" t="s" s="0">
        <v>18825</v>
      </c>
      <c r="F867" t="s" s="0">
        <v>18826</v>
      </c>
      <c r="G867" t="s" s="0">
        <v>18827</v>
      </c>
      <c r="H867" t="s" s="0">
        <v>81</v>
      </c>
      <c r="I867" t="s" s="0">
        <v>82</v>
      </c>
      <c r="J867" t="s" s="0">
        <v>18828</v>
      </c>
      <c r="K867" t="s" s="0">
        <v>18829</v>
      </c>
      <c r="L867" t="s" s="0">
        <v>81</v>
      </c>
      <c r="M867" t="s" s="0">
        <v>81</v>
      </c>
      <c r="N867" t="s" s="0">
        <v>81</v>
      </c>
      <c r="O867" t="s" s="0">
        <v>18830</v>
      </c>
      <c r="P867" t="s" s="0">
        <v>18831</v>
      </c>
      <c r="Q867" t="s" s="0">
        <v>87</v>
      </c>
      <c r="R867" t="s" s="0">
        <v>81</v>
      </c>
      <c r="S867" t="s" s="0">
        <v>81</v>
      </c>
      <c r="T867" t="s" s="0">
        <v>81</v>
      </c>
      <c r="U867" t="s" s="0">
        <v>81</v>
      </c>
      <c r="V867" t="s" s="0">
        <v>18832</v>
      </c>
      <c r="W867" t="s" s="0">
        <v>5983</v>
      </c>
      <c r="X867" t="s" s="0">
        <v>81</v>
      </c>
      <c r="Y867" t="s" s="0">
        <v>81</v>
      </c>
      <c r="Z867" t="s" s="0">
        <v>90</v>
      </c>
      <c r="AA867" t="s" s="0">
        <v>91</v>
      </c>
      <c r="AB867" t="s" s="0">
        <v>81</v>
      </c>
      <c r="AC867" t="s" s="0">
        <v>81</v>
      </c>
      <c r="AD867" t="s" s="0">
        <v>81</v>
      </c>
      <c r="AE867" t="s" s="0">
        <v>81</v>
      </c>
      <c r="AF867" t="s" s="0">
        <v>81</v>
      </c>
      <c r="AG867" t="s" s="0">
        <v>18833</v>
      </c>
      <c r="AH867" t="s" s="0">
        <v>81</v>
      </c>
      <c r="AI867" t="s" s="0">
        <v>18834</v>
      </c>
      <c r="AJ867" t="s" s="0">
        <v>18835</v>
      </c>
      <c r="AK867" t="s" s="0">
        <v>81</v>
      </c>
      <c r="AL867" t="s" s="0">
        <v>697</v>
      </c>
      <c r="AM867" t="s" s="0">
        <v>234</v>
      </c>
      <c r="AN867" t="s" s="0">
        <v>381</v>
      </c>
      <c r="AO867" t="s" s="0">
        <v>156</v>
      </c>
      <c r="AP867" t="s" s="0">
        <v>381</v>
      </c>
      <c r="AQ867" t="s" s="0">
        <v>212</v>
      </c>
      <c r="AR867" t="s" s="0">
        <v>429</v>
      </c>
      <c r="AS867" t="s" s="0">
        <v>784</v>
      </c>
      <c r="AT867" t="s" s="0">
        <v>5987</v>
      </c>
      <c r="AU867" t="s" s="0">
        <v>5988</v>
      </c>
      <c r="AV867" t="s" s="0">
        <v>81</v>
      </c>
      <c r="AW867" t="s" s="0">
        <v>5989</v>
      </c>
      <c r="AX867" t="s" s="0">
        <v>5990</v>
      </c>
      <c r="AY867" t="s" s="0">
        <v>149</v>
      </c>
      <c r="AZ867" t="s" s="0">
        <v>290</v>
      </c>
      <c r="BA867" t="s" s="0">
        <v>174</v>
      </c>
      <c r="BB867" t="s" s="0">
        <v>133</v>
      </c>
      <c r="BC867" t="s" s="0">
        <v>81</v>
      </c>
      <c r="BD867" t="s" s="0">
        <v>81</v>
      </c>
      <c r="BE867" t="s" s="0">
        <v>81</v>
      </c>
      <c r="BF867" t="s" s="0">
        <v>81</v>
      </c>
      <c r="BG867" t="s" s="0">
        <v>18836</v>
      </c>
      <c r="BH867" t="s" s="0">
        <v>18837</v>
      </c>
      <c r="BI867" t="s" s="0">
        <v>81</v>
      </c>
      <c r="BJ867" t="s" s="0">
        <v>18838</v>
      </c>
      <c r="BK867" t="s" s="1724">
        <f>HYPERLINK("http://dx.doi.org/10.1007/s10278-024-01368-4","http://dx.doi.org/10.1007/s10278-024-01368-4")</f>
        <v>18839</v>
      </c>
      <c r="BL867" t="s" s="0">
        <v>81</v>
      </c>
      <c r="BM867" t="s" s="0">
        <v>1029</v>
      </c>
      <c r="BN867" t="s" s="0">
        <v>174</v>
      </c>
      <c r="BO867" t="s" s="0">
        <v>738</v>
      </c>
      <c r="BP867" t="s" s="0">
        <v>738</v>
      </c>
      <c r="BQ867" t="s" s="0">
        <v>18840</v>
      </c>
      <c r="BR867" t="s" s="0">
        <v>18841</v>
      </c>
      <c r="BS867" t="s" s="0">
        <v>18842</v>
      </c>
      <c r="BT867" t="s" s="1725">
        <f>HYPERLINK("https://www.webofscience.com/wos/woscc/full-record/WOS:001391693900001","View Record in Web of Science")</f>
        <v>114</v>
      </c>
      <c r="BU867" t="s" s="0">
        <v>3140</v>
      </c>
      <c r="BV867" t="s" s="0">
        <v>81</v>
      </c>
      <c r="BW867" t="s" s="0">
        <v>81</v>
      </c>
      <c r="BX867" t="s" s="0">
        <v>116</v>
      </c>
    </row>
    <row r="868">
      <c r="A868" t="s" s="0">
        <v>77</v>
      </c>
      <c r="B868" t="s" s="0">
        <v>77</v>
      </c>
      <c r="C868" t="s" s="0">
        <v>77</v>
      </c>
      <c r="D868" t="s" s="0">
        <v>77</v>
      </c>
      <c r="E868" t="s" s="0">
        <v>18843</v>
      </c>
      <c r="F868" t="s" s="0">
        <v>18844</v>
      </c>
      <c r="G868" t="s" s="0">
        <v>18845</v>
      </c>
      <c r="H868" t="s" s="0">
        <v>81</v>
      </c>
      <c r="I868" t="s" s="0">
        <v>589</v>
      </c>
      <c r="J868" t="s" s="0">
        <v>18846</v>
      </c>
      <c r="K868" t="s" s="0">
        <v>18847</v>
      </c>
      <c r="L868" t="s" s="0">
        <v>81</v>
      </c>
      <c r="M868" t="s" s="0">
        <v>81</v>
      </c>
      <c r="N868" t="s" s="0">
        <v>81</v>
      </c>
      <c r="O868" t="s" s="0">
        <v>18848</v>
      </c>
      <c r="P868" t="s" s="0">
        <v>18849</v>
      </c>
      <c r="Q868" t="s" s="0">
        <v>87</v>
      </c>
      <c r="R868" t="s" s="0">
        <v>81</v>
      </c>
      <c r="S868" t="s" s="0">
        <v>81</v>
      </c>
      <c r="T868" t="s" s="0">
        <v>81</v>
      </c>
      <c r="U868" t="s" s="0">
        <v>81</v>
      </c>
      <c r="V868" t="s" s="0">
        <v>18850</v>
      </c>
      <c r="W868" t="s" s="0">
        <v>18851</v>
      </c>
      <c r="X868" t="s" s="0">
        <v>81</v>
      </c>
      <c r="Y868" t="s" s="0">
        <v>81</v>
      </c>
      <c r="Z868" t="s" s="0">
        <v>90</v>
      </c>
      <c r="AA868" t="s" s="0">
        <v>91</v>
      </c>
      <c r="AB868" t="s" s="0">
        <v>81</v>
      </c>
      <c r="AC868" t="s" s="0">
        <v>81</v>
      </c>
      <c r="AD868" t="s" s="0">
        <v>81</v>
      </c>
      <c r="AE868" t="s" s="0">
        <v>81</v>
      </c>
      <c r="AF868" t="s" s="0">
        <v>81</v>
      </c>
      <c r="AG868" t="s" s="0">
        <v>18852</v>
      </c>
      <c r="AH868" t="s" s="0">
        <v>81</v>
      </c>
      <c r="AI868" t="s" s="0">
        <v>18853</v>
      </c>
      <c r="AJ868" t="s" s="0">
        <v>18854</v>
      </c>
      <c r="AK868" t="s" s="0">
        <v>81</v>
      </c>
      <c r="AL868" t="s" s="0">
        <v>1684</v>
      </c>
      <c r="AM868" t="s" s="0">
        <v>156</v>
      </c>
      <c r="AN868" t="s" s="0">
        <v>156</v>
      </c>
      <c r="AO868" t="s" s="0">
        <v>316</v>
      </c>
      <c r="AP868" t="s" s="0">
        <v>104</v>
      </c>
      <c r="AQ868" t="s" s="0">
        <v>1809</v>
      </c>
      <c r="AR868" t="s" s="0">
        <v>1810</v>
      </c>
      <c r="AS868" t="s" s="0">
        <v>1811</v>
      </c>
      <c r="AT868" t="s" s="0">
        <v>18855</v>
      </c>
      <c r="AU868" t="s" s="0">
        <v>18856</v>
      </c>
      <c r="AV868" t="s" s="0">
        <v>81</v>
      </c>
      <c r="AW868" t="s" s="0">
        <v>18857</v>
      </c>
      <c r="AX868" t="s" s="0">
        <v>18858</v>
      </c>
      <c r="AY868" t="s" s="0">
        <v>6101</v>
      </c>
      <c r="AZ868" t="s" s="0">
        <v>103</v>
      </c>
      <c r="BA868" t="s" s="0">
        <v>697</v>
      </c>
      <c r="BB868" t="s" s="0">
        <v>316</v>
      </c>
      <c r="BC868" t="s" s="0">
        <v>81</v>
      </c>
      <c r="BD868" t="s" s="0">
        <v>81</v>
      </c>
      <c r="BE868" t="s" s="0">
        <v>81</v>
      </c>
      <c r="BF868" t="s" s="0">
        <v>81</v>
      </c>
      <c r="BG868" t="s" s="0">
        <v>18859</v>
      </c>
      <c r="BH868" t="s" s="0">
        <v>18860</v>
      </c>
      <c r="BI868" t="s" s="0">
        <v>81</v>
      </c>
      <c r="BJ868" t="s" s="0">
        <v>18861</v>
      </c>
      <c r="BK868" t="s" s="1726">
        <f>HYPERLINK("http://dx.doi.org/10.1177/10963480251391278","http://dx.doi.org/10.1177/10963480251391278")</f>
        <v>18862</v>
      </c>
      <c r="BL868" t="s" s="0">
        <v>81</v>
      </c>
      <c r="BM868" t="s" s="0">
        <v>6101</v>
      </c>
      <c r="BN868" t="s" s="0">
        <v>367</v>
      </c>
      <c r="BO868" t="s" s="0">
        <v>14968</v>
      </c>
      <c r="BP868" t="s" s="0">
        <v>3208</v>
      </c>
      <c r="BQ868" t="s" s="0">
        <v>18863</v>
      </c>
      <c r="BR868" t="s" s="0">
        <v>81</v>
      </c>
      <c r="BS868" t="s" s="0">
        <v>18864</v>
      </c>
      <c r="BT868" t="s" s="1727">
        <f>HYPERLINK("https://www.webofscience.com/wos/woscc/full-record/WOS:001616451900001","View Record in Web of Science")</f>
        <v>114</v>
      </c>
      <c r="BU868" t="s" s="0">
        <v>81</v>
      </c>
      <c r="BV868" t="s" s="0">
        <v>81</v>
      </c>
      <c r="BW868" t="s" s="0">
        <v>81</v>
      </c>
      <c r="BX868" t="s" s="0">
        <v>116</v>
      </c>
    </row>
    <row r="869">
      <c r="A869" t="s" s="0">
        <v>77</v>
      </c>
      <c r="B869" t="s" s="0">
        <v>77</v>
      </c>
      <c r="C869" t="s" s="0">
        <v>77</v>
      </c>
      <c r="D869" t="s" s="0">
        <v>77</v>
      </c>
      <c r="E869" t="s" s="0">
        <v>18865</v>
      </c>
      <c r="F869" t="s" s="0">
        <v>18866</v>
      </c>
      <c r="G869" t="s" s="0">
        <v>18867</v>
      </c>
      <c r="H869" t="s" s="0">
        <v>81</v>
      </c>
      <c r="I869" t="s" s="0">
        <v>82</v>
      </c>
      <c r="J869" t="s" s="0">
        <v>18868</v>
      </c>
      <c r="K869" t="s" s="0">
        <v>18869</v>
      </c>
      <c r="L869" t="s" s="0">
        <v>18870</v>
      </c>
      <c r="M869" t="s" s="0">
        <v>18871</v>
      </c>
      <c r="N869" t="s" s="0">
        <v>18872</v>
      </c>
      <c r="O869" t="s" s="0">
        <v>18873</v>
      </c>
      <c r="P869" t="s" s="0">
        <v>13925</v>
      </c>
      <c r="Q869" t="s" s="0">
        <v>87</v>
      </c>
      <c r="R869" t="s" s="0">
        <v>81</v>
      </c>
      <c r="S869" t="s" s="0">
        <v>81</v>
      </c>
      <c r="T869" t="s" s="0">
        <v>81</v>
      </c>
      <c r="U869" t="s" s="0">
        <v>81</v>
      </c>
      <c r="V869" t="s" s="0">
        <v>18874</v>
      </c>
      <c r="W869" t="s" s="0">
        <v>4668</v>
      </c>
      <c r="X869" t="s" s="0">
        <v>81</v>
      </c>
      <c r="Y869" t="s" s="0">
        <v>81</v>
      </c>
      <c r="Z869" t="s" s="0">
        <v>90</v>
      </c>
      <c r="AA869" t="s" s="0">
        <v>91</v>
      </c>
      <c r="AB869" t="s" s="0">
        <v>81</v>
      </c>
      <c r="AC869" t="s" s="0">
        <v>81</v>
      </c>
      <c r="AD869" t="s" s="0">
        <v>81</v>
      </c>
      <c r="AE869" t="s" s="0">
        <v>81</v>
      </c>
      <c r="AF869" t="s" s="0">
        <v>81</v>
      </c>
      <c r="AG869" t="s" s="0">
        <v>18875</v>
      </c>
      <c r="AH869" t="s" s="0">
        <v>81</v>
      </c>
      <c r="AI869" t="s" s="0">
        <v>18876</v>
      </c>
      <c r="AJ869" t="s" s="0">
        <v>81</v>
      </c>
      <c r="AK869" t="s" s="0">
        <v>81</v>
      </c>
      <c r="AL869" t="s" s="0">
        <v>344</v>
      </c>
      <c r="AM869" t="s" s="0">
        <v>77</v>
      </c>
      <c r="AN869" t="s" s="0">
        <v>77</v>
      </c>
      <c r="AO869" t="s" s="0">
        <v>175</v>
      </c>
      <c r="AP869" t="s" s="0">
        <v>175</v>
      </c>
      <c r="AQ869" t="s" s="0">
        <v>177</v>
      </c>
      <c r="AR869" t="s" s="0">
        <v>178</v>
      </c>
      <c r="AS869" t="s" s="0">
        <v>179</v>
      </c>
      <c r="AT869" t="s" s="0">
        <v>4673</v>
      </c>
      <c r="AU869" t="s" s="0">
        <v>4674</v>
      </c>
      <c r="AV869" t="s" s="0">
        <v>81</v>
      </c>
      <c r="AW869" t="s" s="0">
        <v>4675</v>
      </c>
      <c r="AX869" t="s" s="0">
        <v>4676</v>
      </c>
      <c r="AY869" t="s" s="0">
        <v>5030</v>
      </c>
      <c r="AZ869" t="s" s="0">
        <v>103</v>
      </c>
      <c r="BA869" t="s" s="0">
        <v>602</v>
      </c>
      <c r="BB869" t="s" s="0">
        <v>81</v>
      </c>
      <c r="BC869" t="s" s="0">
        <v>81</v>
      </c>
      <c r="BD869" t="s" s="0">
        <v>97</v>
      </c>
      <c r="BE869" t="s" s="0">
        <v>81</v>
      </c>
      <c r="BF869" t="s" s="0">
        <v>81</v>
      </c>
      <c r="BG869" t="s" s="0">
        <v>81</v>
      </c>
      <c r="BH869" t="s" s="0">
        <v>81</v>
      </c>
      <c r="BI869" t="s" s="0">
        <v>18877</v>
      </c>
      <c r="BJ869" t="s" s="0">
        <v>18878</v>
      </c>
      <c r="BK869" t="s" s="1728">
        <f>HYPERLINK("http://dx.doi.org/10.1016/j.compbiolchem.2026.109086","http://dx.doi.org/10.1016/j.compbiolchem.2026.109086")</f>
        <v>18879</v>
      </c>
      <c r="BL869" t="s" s="0">
        <v>81</v>
      </c>
      <c r="BM869" t="s" s="0">
        <v>81</v>
      </c>
      <c r="BN869" t="s" s="0">
        <v>191</v>
      </c>
      <c r="BO869" t="s" s="0">
        <v>4680</v>
      </c>
      <c r="BP869" t="s" s="0">
        <v>4681</v>
      </c>
      <c r="BQ869" t="s" s="0">
        <v>18880</v>
      </c>
      <c r="BR869" t="s" s="0">
        <v>18881</v>
      </c>
      <c r="BS869" t="s" s="0">
        <v>18882</v>
      </c>
      <c r="BT869" t="s" s="1729">
        <f>HYPERLINK("https://www.webofscience.com/wos/woscc/full-record/WOS:001759939200001","View Record in Web of Science")</f>
        <v>114</v>
      </c>
      <c r="BU869" t="s" s="0">
        <v>81</v>
      </c>
      <c r="BV869" t="s" s="0">
        <v>81</v>
      </c>
      <c r="BW869" t="s" s="0">
        <v>81</v>
      </c>
      <c r="BX869" t="s" s="0">
        <v>116</v>
      </c>
    </row>
    <row r="870">
      <c r="A870" t="s" s="0">
        <v>77</v>
      </c>
      <c r="B870" t="s" s="0">
        <v>77</v>
      </c>
      <c r="C870" t="s" s="0">
        <v>77</v>
      </c>
      <c r="D870" t="s" s="0">
        <v>77</v>
      </c>
      <c r="E870" t="s" s="0">
        <v>18883</v>
      </c>
      <c r="F870" t="s" s="0">
        <v>18884</v>
      </c>
      <c r="G870" t="s" s="0">
        <v>18885</v>
      </c>
      <c r="H870" t="s" s="0">
        <v>81</v>
      </c>
      <c r="I870" t="s" s="0">
        <v>238</v>
      </c>
      <c r="J870" t="s" s="0">
        <v>18886</v>
      </c>
      <c r="K870" t="s" s="0">
        <v>18887</v>
      </c>
      <c r="L870" t="s" s="0">
        <v>81</v>
      </c>
      <c r="M870" t="s" s="0">
        <v>81</v>
      </c>
      <c r="N870" t="s" s="0">
        <v>81</v>
      </c>
      <c r="O870" t="s" s="0">
        <v>18888</v>
      </c>
      <c r="P870" t="s" s="0">
        <v>18889</v>
      </c>
      <c r="Q870" t="s" s="0">
        <v>87</v>
      </c>
      <c r="R870" t="s" s="0">
        <v>81</v>
      </c>
      <c r="S870" t="s" s="0">
        <v>81</v>
      </c>
      <c r="T870" t="s" s="0">
        <v>81</v>
      </c>
      <c r="U870" t="s" s="0">
        <v>81</v>
      </c>
      <c r="V870" t="s" s="0">
        <v>18890</v>
      </c>
      <c r="W870" t="s" s="0">
        <v>18891</v>
      </c>
      <c r="X870" t="s" s="0">
        <v>81</v>
      </c>
      <c r="Y870" t="s" s="0">
        <v>81</v>
      </c>
      <c r="Z870" t="s" s="0">
        <v>90</v>
      </c>
      <c r="AA870" t="s" s="0">
        <v>91</v>
      </c>
      <c r="AB870" t="s" s="0">
        <v>81</v>
      </c>
      <c r="AC870" t="s" s="0">
        <v>81</v>
      </c>
      <c r="AD870" t="s" s="0">
        <v>81</v>
      </c>
      <c r="AE870" t="s" s="0">
        <v>81</v>
      </c>
      <c r="AF870" t="s" s="0">
        <v>81</v>
      </c>
      <c r="AG870" t="s" s="0">
        <v>18892</v>
      </c>
      <c r="AH870" t="s" s="0">
        <v>81</v>
      </c>
      <c r="AI870" t="s" s="0">
        <v>81</v>
      </c>
      <c r="AJ870" t="s" s="0">
        <v>18893</v>
      </c>
      <c r="AK870" t="s" s="0">
        <v>81</v>
      </c>
      <c r="AL870" t="s" s="0">
        <v>874</v>
      </c>
      <c r="AM870" t="s" s="0">
        <v>77</v>
      </c>
      <c r="AN870" t="s" s="0">
        <v>77</v>
      </c>
      <c r="AO870" t="s" s="0">
        <v>175</v>
      </c>
      <c r="AP870" t="s" s="0">
        <v>222</v>
      </c>
      <c r="AQ870" t="s" s="0">
        <v>18894</v>
      </c>
      <c r="AR870" t="s" s="0">
        <v>4119</v>
      </c>
      <c r="AS870" t="s" s="0">
        <v>18895</v>
      </c>
      <c r="AT870" t="s" s="0">
        <v>18896</v>
      </c>
      <c r="AU870" t="s" s="0">
        <v>18897</v>
      </c>
      <c r="AV870" t="s" s="0">
        <v>81</v>
      </c>
      <c r="AW870" t="s" s="0">
        <v>18898</v>
      </c>
      <c r="AX870" t="s" s="0">
        <v>18899</v>
      </c>
      <c r="AY870" t="s" s="0">
        <v>1869</v>
      </c>
      <c r="AZ870" t="s" s="0">
        <v>290</v>
      </c>
      <c r="BA870" t="s" s="0">
        <v>134</v>
      </c>
      <c r="BB870" t="s" s="0">
        <v>156</v>
      </c>
      <c r="BC870" t="s" s="0">
        <v>81</v>
      </c>
      <c r="BD870" t="s" s="0">
        <v>81</v>
      </c>
      <c r="BE870" t="s" s="0">
        <v>81</v>
      </c>
      <c r="BF870" t="s" s="0">
        <v>81</v>
      </c>
      <c r="BG870" t="s" s="0">
        <v>13368</v>
      </c>
      <c r="BH870" t="s" s="0">
        <v>1186</v>
      </c>
      <c r="BI870" t="s" s="0">
        <v>81</v>
      </c>
      <c r="BJ870" t="s" s="0">
        <v>18900</v>
      </c>
      <c r="BK870" t="s" s="1730">
        <f>HYPERLINK("http://dx.doi.org/10.6087/kcse.373","http://dx.doi.org/10.6087/kcse.373")</f>
        <v>18901</v>
      </c>
      <c r="BL870" t="s" s="0">
        <v>81</v>
      </c>
      <c r="BM870" t="s" s="0">
        <v>81</v>
      </c>
      <c r="BN870" t="s" s="0">
        <v>261</v>
      </c>
      <c r="BO870" t="s" s="0">
        <v>18902</v>
      </c>
      <c r="BP870" t="s" s="0">
        <v>18902</v>
      </c>
      <c r="BQ870" t="s" s="0">
        <v>18903</v>
      </c>
      <c r="BR870" t="s" s="0">
        <v>81</v>
      </c>
      <c r="BS870" t="s" s="0">
        <v>18904</v>
      </c>
      <c r="BT870" t="s" s="1731">
        <f>HYPERLINK("https://www.webofscience.com/wos/woscc/full-record/WOS:001552965000009","View Record in Web of Science")</f>
        <v>114</v>
      </c>
      <c r="BU870" t="s" s="0">
        <v>301</v>
      </c>
      <c r="BV870" t="s" s="0">
        <v>81</v>
      </c>
      <c r="BW870" t="s" s="0">
        <v>81</v>
      </c>
      <c r="BX870" t="s" s="0">
        <v>116</v>
      </c>
    </row>
    <row r="871">
      <c r="A871" t="s" s="0">
        <v>77</v>
      </c>
      <c r="B871" t="s" s="0">
        <v>77</v>
      </c>
      <c r="C871" t="s" s="0">
        <v>77</v>
      </c>
      <c r="D871" t="s" s="0">
        <v>77</v>
      </c>
      <c r="E871" t="s" s="0">
        <v>18905</v>
      </c>
      <c r="F871" t="s" s="0">
        <v>18906</v>
      </c>
      <c r="G871" t="s" s="0">
        <v>18907</v>
      </c>
      <c r="H871" t="s" s="0">
        <v>81</v>
      </c>
      <c r="I871" t="s" s="0">
        <v>238</v>
      </c>
      <c r="J871" t="s" s="0">
        <v>18908</v>
      </c>
      <c r="K871" t="s" s="0">
        <v>18909</v>
      </c>
      <c r="L871" t="s" s="0">
        <v>81</v>
      </c>
      <c r="M871" t="s" s="0">
        <v>81</v>
      </c>
      <c r="N871" t="s" s="0">
        <v>81</v>
      </c>
      <c r="O871" t="s" s="0">
        <v>18910</v>
      </c>
      <c r="P871" t="s" s="0">
        <v>18911</v>
      </c>
      <c r="Q871" t="s" s="0">
        <v>87</v>
      </c>
      <c r="R871" t="s" s="0">
        <v>81</v>
      </c>
      <c r="S871" t="s" s="0">
        <v>81</v>
      </c>
      <c r="T871" t="s" s="0">
        <v>81</v>
      </c>
      <c r="U871" t="s" s="0">
        <v>81</v>
      </c>
      <c r="V871" t="s" s="0">
        <v>18912</v>
      </c>
      <c r="W871" t="s" s="0">
        <v>1416</v>
      </c>
      <c r="X871" t="s" s="0">
        <v>81</v>
      </c>
      <c r="Y871" t="s" s="0">
        <v>81</v>
      </c>
      <c r="Z871" t="s" s="0">
        <v>90</v>
      </c>
      <c r="AA871" t="s" s="0">
        <v>91</v>
      </c>
      <c r="AB871" t="s" s="0">
        <v>81</v>
      </c>
      <c r="AC871" t="s" s="0">
        <v>81</v>
      </c>
      <c r="AD871" t="s" s="0">
        <v>81</v>
      </c>
      <c r="AE871" t="s" s="0">
        <v>81</v>
      </c>
      <c r="AF871" t="s" s="0">
        <v>81</v>
      </c>
      <c r="AG871" t="s" s="0">
        <v>18913</v>
      </c>
      <c r="AH871" t="s" s="0">
        <v>81</v>
      </c>
      <c r="AI871" t="s" s="0">
        <v>18914</v>
      </c>
      <c r="AJ871" t="s" s="0">
        <v>81</v>
      </c>
      <c r="AK871" t="s" s="0">
        <v>81</v>
      </c>
      <c r="AL871" t="s" s="0">
        <v>543</v>
      </c>
      <c r="AM871" t="s" s="0">
        <v>77</v>
      </c>
      <c r="AN871" t="s" s="0">
        <v>77</v>
      </c>
      <c r="AO871" t="s" s="0">
        <v>77</v>
      </c>
      <c r="AP871" t="s" s="0">
        <v>77</v>
      </c>
      <c r="AQ871" t="s" s="0">
        <v>368</v>
      </c>
      <c r="AR871" t="s" s="0">
        <v>369</v>
      </c>
      <c r="AS871" t="s" s="0">
        <v>370</v>
      </c>
      <c r="AT871" t="s" s="0">
        <v>81</v>
      </c>
      <c r="AU871" t="s" s="0">
        <v>1421</v>
      </c>
      <c r="AV871" t="s" s="0">
        <v>81</v>
      </c>
      <c r="AW871" t="s" s="0">
        <v>1422</v>
      </c>
      <c r="AX871" t="s" s="0">
        <v>1423</v>
      </c>
      <c r="AY871" t="s" s="0">
        <v>18915</v>
      </c>
      <c r="AZ871" t="s" s="0">
        <v>103</v>
      </c>
      <c r="BA871" t="s" s="0">
        <v>381</v>
      </c>
      <c r="BB871" t="s" s="0">
        <v>81</v>
      </c>
      <c r="BC871" t="s" s="0">
        <v>81</v>
      </c>
      <c r="BD871" t="s" s="0">
        <v>81</v>
      </c>
      <c r="BE871" t="s" s="0">
        <v>81</v>
      </c>
      <c r="BF871" t="s" s="0">
        <v>81</v>
      </c>
      <c r="BG871" t="s" s="0">
        <v>81</v>
      </c>
      <c r="BH871" t="s" s="0">
        <v>81</v>
      </c>
      <c r="BI871" t="s" s="0">
        <v>18916</v>
      </c>
      <c r="BJ871" t="s" s="0">
        <v>18917</v>
      </c>
      <c r="BK871" t="s" s="1732">
        <f>HYPERLINK("http://dx.doi.org/10.3389/fdgth.2026.1819411","http://dx.doi.org/10.3389/fdgth.2026.1819411")</f>
        <v>18918</v>
      </c>
      <c r="BL871" t="s" s="0">
        <v>81</v>
      </c>
      <c r="BM871" t="s" s="0">
        <v>81</v>
      </c>
      <c r="BN871" t="s" s="0">
        <v>316</v>
      </c>
      <c r="BO871" t="s" s="0">
        <v>792</v>
      </c>
      <c r="BP871" t="s" s="0">
        <v>792</v>
      </c>
      <c r="BQ871" t="s" s="0">
        <v>18919</v>
      </c>
      <c r="BR871" t="s" s="0">
        <v>18920</v>
      </c>
      <c r="BS871" t="s" s="0">
        <v>18921</v>
      </c>
      <c r="BT871" t="s" s="1733">
        <f>HYPERLINK("https://www.webofscience.com/wos/woscc/full-record/WOS:001832664200001","View Record in Web of Science")</f>
        <v>114</v>
      </c>
      <c r="BU871" t="s" s="0">
        <v>301</v>
      </c>
      <c r="BV871" t="s" s="0">
        <v>81</v>
      </c>
      <c r="BW871" t="s" s="0">
        <v>81</v>
      </c>
      <c r="BX871" t="s" s="0">
        <v>116</v>
      </c>
    </row>
    <row r="872">
      <c r="A872" t="s" s="0">
        <v>77</v>
      </c>
      <c r="B872" t="s" s="0">
        <v>77</v>
      </c>
      <c r="C872" t="s" s="0">
        <v>196</v>
      </c>
      <c r="D872" t="s" s="0">
        <v>77</v>
      </c>
      <c r="E872" t="s" s="0">
        <v>18922</v>
      </c>
      <c r="F872" t="s" s="0">
        <v>18923</v>
      </c>
      <c r="G872" t="s" s="0">
        <v>18924</v>
      </c>
      <c r="H872" t="s" s="0">
        <v>81</v>
      </c>
      <c r="I872" t="s" s="0">
        <v>82</v>
      </c>
      <c r="J872" t="s" s="0">
        <v>18925</v>
      </c>
      <c r="K872" t="s" s="0">
        <v>18926</v>
      </c>
      <c r="L872" t="s" s="0">
        <v>18927</v>
      </c>
      <c r="M872" t="s" s="0">
        <v>18927</v>
      </c>
      <c r="N872" t="s" s="0">
        <v>18928</v>
      </c>
      <c r="O872" t="s" s="0">
        <v>18929</v>
      </c>
      <c r="P872" t="s" s="0">
        <v>18930</v>
      </c>
      <c r="Q872" t="s" s="0">
        <v>87</v>
      </c>
      <c r="R872" t="s" s="0">
        <v>81</v>
      </c>
      <c r="S872" t="s" s="0">
        <v>81</v>
      </c>
      <c r="T872" t="s" s="0">
        <v>81</v>
      </c>
      <c r="U872" t="s" s="0">
        <v>81</v>
      </c>
      <c r="V872" t="s" s="0">
        <v>18931</v>
      </c>
      <c r="W872" t="s" s="0">
        <v>18932</v>
      </c>
      <c r="X872" t="s" s="0">
        <v>81</v>
      </c>
      <c r="Y872" t="s" s="0">
        <v>81</v>
      </c>
      <c r="Z872" t="s" s="0">
        <v>90</v>
      </c>
      <c r="AA872" t="s" s="0">
        <v>91</v>
      </c>
      <c r="AB872" t="s" s="0">
        <v>81</v>
      </c>
      <c r="AC872" t="s" s="0">
        <v>81</v>
      </c>
      <c r="AD872" t="s" s="0">
        <v>81</v>
      </c>
      <c r="AE872" t="s" s="0">
        <v>81</v>
      </c>
      <c r="AF872" t="s" s="0">
        <v>81</v>
      </c>
      <c r="AG872" t="s" s="0">
        <v>18933</v>
      </c>
      <c r="AH872" t="s" s="0">
        <v>18934</v>
      </c>
      <c r="AI872" t="s" s="0">
        <v>18935</v>
      </c>
      <c r="AJ872" t="s" s="0">
        <v>18936</v>
      </c>
      <c r="AK872" t="s" s="0">
        <v>81</v>
      </c>
      <c r="AL872" t="s" s="0">
        <v>1635</v>
      </c>
      <c r="AM872" t="s" s="0">
        <v>367</v>
      </c>
      <c r="AN872" t="s" s="0">
        <v>367</v>
      </c>
      <c r="AO872" t="s" s="0">
        <v>77</v>
      </c>
      <c r="AP872" t="s" s="0">
        <v>316</v>
      </c>
      <c r="AQ872" t="s" s="0">
        <v>665</v>
      </c>
      <c r="AR872" t="s" s="0">
        <v>546</v>
      </c>
      <c r="AS872" t="s" s="0">
        <v>666</v>
      </c>
      <c r="AT872" t="s" s="0">
        <v>18937</v>
      </c>
      <c r="AU872" t="s" s="0">
        <v>18938</v>
      </c>
      <c r="AV872" t="s" s="0">
        <v>81</v>
      </c>
      <c r="AW872" t="s" s="0">
        <v>18939</v>
      </c>
      <c r="AX872" t="s" s="0">
        <v>18940</v>
      </c>
      <c r="AY872" t="s" s="0">
        <v>18941</v>
      </c>
      <c r="AZ872" t="s" s="0">
        <v>185</v>
      </c>
      <c r="BA872" t="s" s="0">
        <v>228</v>
      </c>
      <c r="BB872" t="s" s="0">
        <v>97</v>
      </c>
      <c r="BC872" t="s" s="0">
        <v>81</v>
      </c>
      <c r="BD872" t="s" s="0">
        <v>81</v>
      </c>
      <c r="BE872" t="s" s="0">
        <v>81</v>
      </c>
      <c r="BF872" t="s" s="0">
        <v>81</v>
      </c>
      <c r="BG872" t="s" s="0">
        <v>81</v>
      </c>
      <c r="BH872" t="s" s="0">
        <v>81</v>
      </c>
      <c r="BI872" t="s" s="0">
        <v>173</v>
      </c>
      <c r="BJ872" t="s" s="0">
        <v>18942</v>
      </c>
      <c r="BK872" t="s" s="1734">
        <f>HYPERLINK("http://dx.doi.org/10.1186/s13075-024-03277-x","http://dx.doi.org/10.1186/s13075-024-03277-x")</f>
        <v>18943</v>
      </c>
      <c r="BL872" t="s" s="0">
        <v>81</v>
      </c>
      <c r="BM872" t="s" s="0">
        <v>81</v>
      </c>
      <c r="BN872" t="s" s="0">
        <v>134</v>
      </c>
      <c r="BO872" t="s" s="0">
        <v>7055</v>
      </c>
      <c r="BP872" t="s" s="0">
        <v>7055</v>
      </c>
      <c r="BQ872" t="s" s="0">
        <v>18944</v>
      </c>
      <c r="BR872" t="s" s="0">
        <v>18945</v>
      </c>
      <c r="BS872" t="s" s="0">
        <v>18946</v>
      </c>
      <c r="BT872" t="s" s="1735">
        <f>HYPERLINK("https://www.webofscience.com/wos/woscc/full-record/WOS:001158806400002","View Record in Web of Science")</f>
        <v>114</v>
      </c>
      <c r="BU872" t="s" s="0">
        <v>301</v>
      </c>
      <c r="BV872" t="s" s="0">
        <v>81</v>
      </c>
      <c r="BW872" t="s" s="0">
        <v>81</v>
      </c>
      <c r="BX872" t="s" s="0">
        <v>116</v>
      </c>
    </row>
    <row r="873">
      <c r="A873" t="s" s="0">
        <v>77</v>
      </c>
      <c r="B873" t="s" s="0">
        <v>77</v>
      </c>
      <c r="C873" t="s" s="0">
        <v>77</v>
      </c>
      <c r="D873" t="s" s="0">
        <v>77</v>
      </c>
      <c r="E873" t="s" s="0">
        <v>18947</v>
      </c>
      <c r="F873" t="s" s="0">
        <v>18948</v>
      </c>
      <c r="G873" t="s" s="0">
        <v>18949</v>
      </c>
      <c r="H873" t="s" s="0">
        <v>81</v>
      </c>
      <c r="I873" t="s" s="0">
        <v>238</v>
      </c>
      <c r="J873" t="s" s="0">
        <v>18950</v>
      </c>
      <c r="K873" t="s" s="0">
        <v>18951</v>
      </c>
      <c r="L873" t="s" s="0">
        <v>18952</v>
      </c>
      <c r="M873" t="s" s="0">
        <v>5708</v>
      </c>
      <c r="N873" t="s" s="0">
        <v>18953</v>
      </c>
      <c r="O873" t="s" s="0">
        <v>18954</v>
      </c>
      <c r="P873" t="s" s="0">
        <v>18955</v>
      </c>
      <c r="Q873" t="s" s="0">
        <v>87</v>
      </c>
      <c r="R873" t="s" s="0">
        <v>81</v>
      </c>
      <c r="S873" t="s" s="0">
        <v>81</v>
      </c>
      <c r="T873" t="s" s="0">
        <v>81</v>
      </c>
      <c r="U873" t="s" s="0">
        <v>81</v>
      </c>
      <c r="V873" t="s" s="0">
        <v>18956</v>
      </c>
      <c r="W873" t="s" s="0">
        <v>18957</v>
      </c>
      <c r="X873" t="s" s="0">
        <v>81</v>
      </c>
      <c r="Y873" t="s" s="0">
        <v>81</v>
      </c>
      <c r="Z873" t="s" s="0">
        <v>90</v>
      </c>
      <c r="AA873" t="s" s="0">
        <v>91</v>
      </c>
      <c r="AB873" t="s" s="0">
        <v>81</v>
      </c>
      <c r="AC873" t="s" s="0">
        <v>81</v>
      </c>
      <c r="AD873" t="s" s="0">
        <v>81</v>
      </c>
      <c r="AE873" t="s" s="0">
        <v>81</v>
      </c>
      <c r="AF873" t="s" s="0">
        <v>81</v>
      </c>
      <c r="AG873" t="s" s="0">
        <v>18958</v>
      </c>
      <c r="AH873" t="s" s="0">
        <v>81</v>
      </c>
      <c r="AI873" t="s" s="0">
        <v>18959</v>
      </c>
      <c r="AJ873" t="s" s="0">
        <v>18960</v>
      </c>
      <c r="AK873" t="s" s="0">
        <v>81</v>
      </c>
      <c r="AL873" t="s" s="0">
        <v>343</v>
      </c>
      <c r="AM873" t="s" s="0">
        <v>156</v>
      </c>
      <c r="AN873" t="s" s="0">
        <v>196</v>
      </c>
      <c r="AO873" t="s" s="0">
        <v>77</v>
      </c>
      <c r="AP873" t="s" s="0">
        <v>97</v>
      </c>
      <c r="AQ873" t="s" s="0">
        <v>18961</v>
      </c>
      <c r="AR873" t="s" s="0">
        <v>18962</v>
      </c>
      <c r="AS873" t="s" s="0">
        <v>18963</v>
      </c>
      <c r="AT873" t="s" s="0">
        <v>18964</v>
      </c>
      <c r="AU873" t="s" s="0">
        <v>18965</v>
      </c>
      <c r="AV873" t="s" s="0">
        <v>81</v>
      </c>
      <c r="AW873" t="s" s="0">
        <v>18966</v>
      </c>
      <c r="AX873" t="s" s="0">
        <v>18967</v>
      </c>
      <c r="AY873" t="s" s="0">
        <v>6632</v>
      </c>
      <c r="AZ873" t="s" s="0">
        <v>290</v>
      </c>
      <c r="BA873" t="s" s="0">
        <v>874</v>
      </c>
      <c r="BB873" t="s" s="0">
        <v>196</v>
      </c>
      <c r="BC873" t="s" s="0">
        <v>81</v>
      </c>
      <c r="BD873" t="s" s="0">
        <v>81</v>
      </c>
      <c r="BE873" t="s" s="0">
        <v>81</v>
      </c>
      <c r="BF873" t="s" s="0">
        <v>81</v>
      </c>
      <c r="BG873" t="s" s="0">
        <v>18968</v>
      </c>
      <c r="BH873" t="s" s="0">
        <v>18969</v>
      </c>
      <c r="BI873" t="s" s="0">
        <v>81</v>
      </c>
      <c r="BJ873" t="s" s="0">
        <v>18970</v>
      </c>
      <c r="BK873" t="s" s="1736">
        <f>HYPERLINK("http://dx.doi.org/10.11113/mjfas.v21n3.3792","http://dx.doi.org/10.11113/mjfas.v21n3.3792")</f>
        <v>18971</v>
      </c>
      <c r="BL873" t="s" s="0">
        <v>81</v>
      </c>
      <c r="BM873" t="s" s="0">
        <v>81</v>
      </c>
      <c r="BN873" t="s" s="0">
        <v>434</v>
      </c>
      <c r="BO873" t="s" s="0">
        <v>926</v>
      </c>
      <c r="BP873" t="s" s="0">
        <v>927</v>
      </c>
      <c r="BQ873" t="s" s="0">
        <v>18972</v>
      </c>
      <c r="BR873" t="s" s="0">
        <v>81</v>
      </c>
      <c r="BS873" t="s" s="0">
        <v>18973</v>
      </c>
      <c r="BT873" t="s" s="1737">
        <f>HYPERLINK("https://www.webofscience.com/wos/woscc/full-record/WOS:001512009100006","View Record in Web of Science")</f>
        <v>114</v>
      </c>
      <c r="BU873" t="s" s="0">
        <v>115</v>
      </c>
      <c r="BV873" t="s" s="0">
        <v>81</v>
      </c>
      <c r="BW873" t="s" s="0">
        <v>81</v>
      </c>
      <c r="BX873" t="s" s="0">
        <v>116</v>
      </c>
    </row>
    <row r="874">
      <c r="A874" t="s" s="0">
        <v>77</v>
      </c>
      <c r="B874" t="s" s="0">
        <v>77</v>
      </c>
      <c r="C874" t="s" s="0">
        <v>77</v>
      </c>
      <c r="D874" t="s" s="0">
        <v>77</v>
      </c>
      <c r="E874" t="s" s="0">
        <v>18974</v>
      </c>
      <c r="F874" t="s" s="0">
        <v>18975</v>
      </c>
      <c r="G874" t="s" s="0">
        <v>18976</v>
      </c>
      <c r="H874" t="s" s="0">
        <v>81</v>
      </c>
      <c r="I874" t="s" s="0">
        <v>238</v>
      </c>
      <c r="J874" t="s" s="0">
        <v>18977</v>
      </c>
      <c r="K874" t="s" s="0">
        <v>18978</v>
      </c>
      <c r="L874" t="s" s="0">
        <v>18979</v>
      </c>
      <c r="M874" t="s" s="0">
        <v>18980</v>
      </c>
      <c r="N874" t="s" s="0">
        <v>18981</v>
      </c>
      <c r="O874" t="s" s="0">
        <v>18982</v>
      </c>
      <c r="P874" t="s" s="0">
        <v>18983</v>
      </c>
      <c r="Q874" t="s" s="0">
        <v>87</v>
      </c>
      <c r="R874" t="s" s="0">
        <v>81</v>
      </c>
      <c r="S874" t="s" s="0">
        <v>81</v>
      </c>
      <c r="T874" t="s" s="0">
        <v>81</v>
      </c>
      <c r="U874" t="s" s="0">
        <v>81</v>
      </c>
      <c r="V874" t="s" s="0">
        <v>18984</v>
      </c>
      <c r="W874" t="s" s="0">
        <v>18985</v>
      </c>
      <c r="X874" t="s" s="0">
        <v>81</v>
      </c>
      <c r="Y874" t="s" s="0">
        <v>81</v>
      </c>
      <c r="Z874" t="s" s="0">
        <v>90</v>
      </c>
      <c r="AA874" t="s" s="0">
        <v>91</v>
      </c>
      <c r="AB874" t="s" s="0">
        <v>81</v>
      </c>
      <c r="AC874" t="s" s="0">
        <v>81</v>
      </c>
      <c r="AD874" t="s" s="0">
        <v>81</v>
      </c>
      <c r="AE874" t="s" s="0">
        <v>81</v>
      </c>
      <c r="AF874" t="s" s="0">
        <v>81</v>
      </c>
      <c r="AG874" t="s" s="0">
        <v>18986</v>
      </c>
      <c r="AH874" t="s" s="0">
        <v>81</v>
      </c>
      <c r="AI874" t="s" s="0">
        <v>81</v>
      </c>
      <c r="AJ874" t="s" s="0">
        <v>81</v>
      </c>
      <c r="AK874" t="s" s="0">
        <v>81</v>
      </c>
      <c r="AL874" t="s" s="0">
        <v>135</v>
      </c>
      <c r="AM874" t="s" s="0">
        <v>77</v>
      </c>
      <c r="AN874" t="s" s="0">
        <v>77</v>
      </c>
      <c r="AO874" t="s" s="0">
        <v>196</v>
      </c>
      <c r="AP874" t="s" s="0">
        <v>196</v>
      </c>
      <c r="AQ874" t="s" s="0">
        <v>636</v>
      </c>
      <c r="AR874" t="s" s="0">
        <v>637</v>
      </c>
      <c r="AS874" t="s" s="0">
        <v>638</v>
      </c>
      <c r="AT874" t="s" s="0">
        <v>18987</v>
      </c>
      <c r="AU874" t="s" s="0">
        <v>18988</v>
      </c>
      <c r="AV874" t="s" s="0">
        <v>81</v>
      </c>
      <c r="AW874" t="s" s="0">
        <v>18989</v>
      </c>
      <c r="AX874" t="s" s="0">
        <v>18990</v>
      </c>
      <c r="AY874" t="s" s="0">
        <v>11603</v>
      </c>
      <c r="AZ874" t="s" s="0">
        <v>103</v>
      </c>
      <c r="BA874" t="s" s="0">
        <v>104</v>
      </c>
      <c r="BB874" t="s" s="0">
        <v>97</v>
      </c>
      <c r="BC874" t="s" s="0">
        <v>81</v>
      </c>
      <c r="BD874" t="s" s="0">
        <v>81</v>
      </c>
      <c r="BE874" t="s" s="0">
        <v>81</v>
      </c>
      <c r="BF874" t="s" s="0">
        <v>81</v>
      </c>
      <c r="BG874" t="s" s="0">
        <v>81</v>
      </c>
      <c r="BH874" t="s" s="0">
        <v>81</v>
      </c>
      <c r="BI874" t="s" s="0">
        <v>18991</v>
      </c>
      <c r="BJ874" t="s" s="0">
        <v>18992</v>
      </c>
      <c r="BK874" t="s" s="1738">
        <f>HYPERLINK("http://dx.doi.org/10.1080/21681163.2026.2664023","http://dx.doi.org/10.1080/21681163.2026.2664023")</f>
        <v>18993</v>
      </c>
      <c r="BL874" t="s" s="0">
        <v>81</v>
      </c>
      <c r="BM874" t="s" s="0">
        <v>81</v>
      </c>
      <c r="BN874" t="s" s="0">
        <v>486</v>
      </c>
      <c r="BO874" t="s" s="0">
        <v>2082</v>
      </c>
      <c r="BP874" t="s" s="0">
        <v>1003</v>
      </c>
      <c r="BQ874" t="s" s="0">
        <v>18994</v>
      </c>
      <c r="BR874" t="s" s="0">
        <v>81</v>
      </c>
      <c r="BS874" t="s" s="0">
        <v>18995</v>
      </c>
      <c r="BT874" t="s" s="1739">
        <f>HYPERLINK("https://www.webofscience.com/wos/woscc/full-record/WOS:001764323900001","View Record in Web of Science")</f>
        <v>114</v>
      </c>
      <c r="BU874" t="s" s="0">
        <v>301</v>
      </c>
      <c r="BV874" t="s" s="0">
        <v>81</v>
      </c>
      <c r="BW874" t="s" s="0">
        <v>81</v>
      </c>
      <c r="BX874" t="s" s="0">
        <v>116</v>
      </c>
    </row>
    <row r="875">
      <c r="A875" t="s" s="0">
        <v>97</v>
      </c>
      <c r="B875" t="s" s="0">
        <v>77</v>
      </c>
      <c r="C875" t="s" s="0">
        <v>156</v>
      </c>
      <c r="D875" t="s" s="0">
        <v>77</v>
      </c>
      <c r="E875" t="s" s="0">
        <v>18996</v>
      </c>
      <c r="F875" t="s" s="0">
        <v>18997</v>
      </c>
      <c r="G875" t="s" s="0">
        <v>18998</v>
      </c>
      <c r="H875" t="s" s="0">
        <v>81</v>
      </c>
      <c r="I875" t="s" s="0">
        <v>528</v>
      </c>
      <c r="J875" t="s" s="0">
        <v>18999</v>
      </c>
      <c r="K875" t="s" s="0">
        <v>19000</v>
      </c>
      <c r="L875" t="s" s="0">
        <v>81</v>
      </c>
      <c r="M875" t="s" s="0">
        <v>81</v>
      </c>
      <c r="N875" t="s" s="0">
        <v>81</v>
      </c>
      <c r="O875" t="s" s="0">
        <v>19001</v>
      </c>
      <c r="P875" t="s" s="0">
        <v>19002</v>
      </c>
      <c r="Q875" t="s" s="0">
        <v>87</v>
      </c>
      <c r="R875" t="s" s="0">
        <v>81</v>
      </c>
      <c r="S875" t="s" s="0">
        <v>81</v>
      </c>
      <c r="T875" t="s" s="0">
        <v>81</v>
      </c>
      <c r="U875" t="s" s="0">
        <v>81</v>
      </c>
      <c r="V875" t="s" s="0">
        <v>19003</v>
      </c>
      <c r="W875" t="s" s="0">
        <v>19004</v>
      </c>
      <c r="X875" t="s" s="0">
        <v>81</v>
      </c>
      <c r="Y875" t="s" s="0">
        <v>81</v>
      </c>
      <c r="Z875" t="s" s="0">
        <v>90</v>
      </c>
      <c r="AA875" t="s" s="0">
        <v>91</v>
      </c>
      <c r="AB875" t="s" s="0">
        <v>81</v>
      </c>
      <c r="AC875" t="s" s="0">
        <v>81</v>
      </c>
      <c r="AD875" t="s" s="0">
        <v>81</v>
      </c>
      <c r="AE875" t="s" s="0">
        <v>81</v>
      </c>
      <c r="AF875" t="s" s="0">
        <v>81</v>
      </c>
      <c r="AG875" t="s" s="0">
        <v>19005</v>
      </c>
      <c r="AH875" t="s" s="0">
        <v>81</v>
      </c>
      <c r="AI875" t="s" s="0">
        <v>81</v>
      </c>
      <c r="AJ875" t="s" s="0">
        <v>81</v>
      </c>
      <c r="AK875" t="s" s="0">
        <v>81</v>
      </c>
      <c r="AL875" t="s" s="0">
        <v>819</v>
      </c>
      <c r="AM875" t="s" s="0">
        <v>874</v>
      </c>
      <c r="AN875" t="s" s="0">
        <v>252</v>
      </c>
      <c r="AO875" t="s" s="0">
        <v>196</v>
      </c>
      <c r="AP875" t="s" s="0">
        <v>1883</v>
      </c>
      <c r="AQ875" t="s" s="0">
        <v>428</v>
      </c>
      <c r="AR875" t="s" s="0">
        <v>429</v>
      </c>
      <c r="AS875" t="s" s="0">
        <v>430</v>
      </c>
      <c r="AT875" t="s" s="0">
        <v>19006</v>
      </c>
      <c r="AU875" t="s" s="0">
        <v>19007</v>
      </c>
      <c r="AV875" t="s" s="0">
        <v>81</v>
      </c>
      <c r="AW875" t="s" s="0">
        <v>19008</v>
      </c>
      <c r="AX875" t="s" s="0">
        <v>19009</v>
      </c>
      <c r="AY875" t="s" s="0">
        <v>3740</v>
      </c>
      <c r="AZ875" t="s" s="0">
        <v>220</v>
      </c>
      <c r="BA875" t="s" s="0">
        <v>109</v>
      </c>
      <c r="BB875" t="s" s="0">
        <v>196</v>
      </c>
      <c r="BC875" t="s" s="0">
        <v>81</v>
      </c>
      <c r="BD875" t="s" s="0">
        <v>81</v>
      </c>
      <c r="BE875" t="s" s="0">
        <v>81</v>
      </c>
      <c r="BF875" t="s" s="0">
        <v>81</v>
      </c>
      <c r="BG875" t="s" s="0">
        <v>12908</v>
      </c>
      <c r="BH875" t="s" s="0">
        <v>19010</v>
      </c>
      <c r="BI875" t="s" s="0">
        <v>81</v>
      </c>
      <c r="BJ875" t="s" s="0">
        <v>19011</v>
      </c>
      <c r="BK875" t="s" s="1740">
        <f>HYPERLINK("http://dx.doi.org/10.1016/j.jval.2021.11.1369","http://dx.doi.org/10.1016/j.jval.2021.11.1369")</f>
        <v>19012</v>
      </c>
      <c r="BL875" t="s" s="0">
        <v>81</v>
      </c>
      <c r="BM875" t="s" s="0">
        <v>789</v>
      </c>
      <c r="BN875" t="s" s="0">
        <v>316</v>
      </c>
      <c r="BO875" t="s" s="0">
        <v>19013</v>
      </c>
      <c r="BP875" t="s" s="0">
        <v>19014</v>
      </c>
      <c r="BQ875" t="s" s="0">
        <v>19015</v>
      </c>
      <c r="BR875" t="s" s="0">
        <v>19016</v>
      </c>
      <c r="BS875" t="s" s="0">
        <v>19017</v>
      </c>
      <c r="BT875" t="s" s="1741">
        <f>HYPERLINK("https://www.webofscience.com/wos/woscc/full-record/WOS:000793515100005","View Record in Web of Science")</f>
        <v>114</v>
      </c>
      <c r="BU875" t="s" s="0">
        <v>2239</v>
      </c>
      <c r="BV875" t="s" s="0">
        <v>81</v>
      </c>
      <c r="BW875" t="s" s="0">
        <v>81</v>
      </c>
      <c r="BX875" t="s" s="0">
        <v>116</v>
      </c>
    </row>
    <row r="876">
      <c r="A876" t="s" s="0">
        <v>77</v>
      </c>
      <c r="B876" t="s" s="0">
        <v>77</v>
      </c>
      <c r="C876" t="s" s="0">
        <v>156</v>
      </c>
      <c r="D876" t="s" s="0">
        <v>77</v>
      </c>
      <c r="E876" t="s" s="0">
        <v>19018</v>
      </c>
      <c r="F876" t="s" s="0">
        <v>19019</v>
      </c>
      <c r="G876" t="s" s="0">
        <v>19020</v>
      </c>
      <c r="H876" t="s" s="0">
        <v>81</v>
      </c>
      <c r="I876" t="s" s="0">
        <v>238</v>
      </c>
      <c r="J876" t="s" s="0">
        <v>19021</v>
      </c>
      <c r="K876" t="s" s="0">
        <v>19022</v>
      </c>
      <c r="L876" t="s" s="0">
        <v>19023</v>
      </c>
      <c r="M876" t="s" s="0">
        <v>19024</v>
      </c>
      <c r="N876" t="s" s="0">
        <v>335</v>
      </c>
      <c r="O876" t="s" s="0">
        <v>19025</v>
      </c>
      <c r="P876" t="s" s="0">
        <v>19026</v>
      </c>
      <c r="Q876" t="s" s="0">
        <v>87</v>
      </c>
      <c r="R876" t="s" s="0">
        <v>81</v>
      </c>
      <c r="S876" t="s" s="0">
        <v>81</v>
      </c>
      <c r="T876" t="s" s="0">
        <v>81</v>
      </c>
      <c r="U876" t="s" s="0">
        <v>81</v>
      </c>
      <c r="V876" t="s" s="0">
        <v>19027</v>
      </c>
      <c r="W876" t="s" s="0">
        <v>5833</v>
      </c>
      <c r="X876" t="s" s="0">
        <v>81</v>
      </c>
      <c r="Y876" t="s" s="0">
        <v>81</v>
      </c>
      <c r="Z876" t="s" s="0">
        <v>90</v>
      </c>
      <c r="AA876" t="s" s="0">
        <v>91</v>
      </c>
      <c r="AB876" t="s" s="0">
        <v>81</v>
      </c>
      <c r="AC876" t="s" s="0">
        <v>81</v>
      </c>
      <c r="AD876" t="s" s="0">
        <v>81</v>
      </c>
      <c r="AE876" t="s" s="0">
        <v>81</v>
      </c>
      <c r="AF876" t="s" s="0">
        <v>81</v>
      </c>
      <c r="AG876" t="s" s="0">
        <v>19028</v>
      </c>
      <c r="AH876" t="s" s="0">
        <v>19029</v>
      </c>
      <c r="AI876" t="s" s="0">
        <v>19030</v>
      </c>
      <c r="AJ876" t="s" s="0">
        <v>19031</v>
      </c>
      <c r="AK876" t="s" s="0">
        <v>81</v>
      </c>
      <c r="AL876" t="s" s="0">
        <v>343</v>
      </c>
      <c r="AM876" t="s" s="0">
        <v>211</v>
      </c>
      <c r="AN876" t="s" s="0">
        <v>486</v>
      </c>
      <c r="AO876" t="s" s="0">
        <v>77</v>
      </c>
      <c r="AP876" t="s" s="0">
        <v>196</v>
      </c>
      <c r="AQ876" t="s" s="0">
        <v>284</v>
      </c>
      <c r="AR876" t="s" s="0">
        <v>285</v>
      </c>
      <c r="AS876" t="s" s="0">
        <v>286</v>
      </c>
      <c r="AT876" t="s" s="0">
        <v>81</v>
      </c>
      <c r="AU876" t="s" s="0">
        <v>5837</v>
      </c>
      <c r="AV876" t="s" s="0">
        <v>81</v>
      </c>
      <c r="AW876" t="s" s="0">
        <v>5838</v>
      </c>
      <c r="AX876" t="s" s="0">
        <v>5839</v>
      </c>
      <c r="AY876" t="s" s="0">
        <v>320</v>
      </c>
      <c r="AZ876" t="s" s="0">
        <v>185</v>
      </c>
      <c r="BA876" t="s" s="0">
        <v>211</v>
      </c>
      <c r="BB876" t="s" s="0">
        <v>133</v>
      </c>
      <c r="BC876" t="s" s="0">
        <v>81</v>
      </c>
      <c r="BD876" t="s" s="0">
        <v>81</v>
      </c>
      <c r="BE876" t="s" s="0">
        <v>81</v>
      </c>
      <c r="BF876" t="s" s="0">
        <v>81</v>
      </c>
      <c r="BG876" t="s" s="0">
        <v>81</v>
      </c>
      <c r="BH876" t="s" s="0">
        <v>81</v>
      </c>
      <c r="BI876" t="s" s="0">
        <v>7123</v>
      </c>
      <c r="BJ876" t="s" s="0">
        <v>19032</v>
      </c>
      <c r="BK876" t="s" s="1742">
        <f>HYPERLINK("http://dx.doi.org/10.3390/jimaging10050117","http://dx.doi.org/10.3390/jimaging10050117")</f>
        <v>19033</v>
      </c>
      <c r="BL876" t="s" s="0">
        <v>81</v>
      </c>
      <c r="BM876" t="s" s="0">
        <v>81</v>
      </c>
      <c r="BN876" t="s" s="0">
        <v>486</v>
      </c>
      <c r="BO876" t="s" s="0">
        <v>5844</v>
      </c>
      <c r="BP876" t="s" s="0">
        <v>5844</v>
      </c>
      <c r="BQ876" t="s" s="0">
        <v>19034</v>
      </c>
      <c r="BR876" t="s" s="0">
        <v>19035</v>
      </c>
      <c r="BS876" t="s" s="0">
        <v>19036</v>
      </c>
      <c r="BT876" t="s" s="1743">
        <f>HYPERLINK("https://www.webofscience.com/wos/woscc/full-record/WOS:001232968400001","View Record in Web of Science")</f>
        <v>114</v>
      </c>
      <c r="BU876" t="s" s="0">
        <v>301</v>
      </c>
      <c r="BV876" t="s" s="0">
        <v>81</v>
      </c>
      <c r="BW876" t="s" s="0">
        <v>81</v>
      </c>
      <c r="BX876" t="s" s="0">
        <v>116</v>
      </c>
    </row>
    <row r="877">
      <c r="A877" t="s" s="0">
        <v>77</v>
      </c>
      <c r="B877" t="s" s="0">
        <v>77</v>
      </c>
      <c r="C877" t="s" s="0">
        <v>77</v>
      </c>
      <c r="D877" t="s" s="0">
        <v>77</v>
      </c>
      <c r="E877" t="s" s="0">
        <v>19037</v>
      </c>
      <c r="F877" t="s" s="0">
        <v>19038</v>
      </c>
      <c r="G877" t="s" s="0">
        <v>19039</v>
      </c>
      <c r="H877" t="s" s="0">
        <v>81</v>
      </c>
      <c r="I877" t="s" s="0">
        <v>82</v>
      </c>
      <c r="J877" t="s" s="0">
        <v>19040</v>
      </c>
      <c r="K877" t="s" s="0">
        <v>19041</v>
      </c>
      <c r="L877" t="s" s="0">
        <v>81</v>
      </c>
      <c r="M877" t="s" s="0">
        <v>81</v>
      </c>
      <c r="N877" t="s" s="0">
        <v>81</v>
      </c>
      <c r="O877" t="s" s="0">
        <v>19042</v>
      </c>
      <c r="P877" t="s" s="0">
        <v>19043</v>
      </c>
      <c r="Q877" t="s" s="0">
        <v>87</v>
      </c>
      <c r="R877" t="s" s="0">
        <v>81</v>
      </c>
      <c r="S877" t="s" s="0">
        <v>81</v>
      </c>
      <c r="T877" t="s" s="0">
        <v>81</v>
      </c>
      <c r="U877" t="s" s="0">
        <v>81</v>
      </c>
      <c r="V877" t="s" s="0">
        <v>19044</v>
      </c>
      <c r="W877" t="s" s="0">
        <v>2369</v>
      </c>
      <c r="X877" t="s" s="0">
        <v>81</v>
      </c>
      <c r="Y877" t="s" s="0">
        <v>81</v>
      </c>
      <c r="Z877" t="s" s="0">
        <v>90</v>
      </c>
      <c r="AA877" t="s" s="0">
        <v>91</v>
      </c>
      <c r="AB877" t="s" s="0">
        <v>81</v>
      </c>
      <c r="AC877" t="s" s="0">
        <v>81</v>
      </c>
      <c r="AD877" t="s" s="0">
        <v>81</v>
      </c>
      <c r="AE877" t="s" s="0">
        <v>81</v>
      </c>
      <c r="AF877" t="s" s="0">
        <v>81</v>
      </c>
      <c r="AG877" t="s" s="0">
        <v>19045</v>
      </c>
      <c r="AH877" t="s" s="0">
        <v>19046</v>
      </c>
      <c r="AI877" t="s" s="0">
        <v>19047</v>
      </c>
      <c r="AJ877" t="s" s="0">
        <v>81</v>
      </c>
      <c r="AK877" t="s" s="0">
        <v>81</v>
      </c>
      <c r="AL877" t="s" s="0">
        <v>10741</v>
      </c>
      <c r="AM877" t="s" s="0">
        <v>316</v>
      </c>
      <c r="AN877" t="s" s="0">
        <v>316</v>
      </c>
      <c r="AO877" t="s" s="0">
        <v>196</v>
      </c>
      <c r="AP877" t="s" s="0">
        <v>196</v>
      </c>
      <c r="AQ877" t="s" s="0">
        <v>98</v>
      </c>
      <c r="AR877" t="s" s="0">
        <v>99</v>
      </c>
      <c r="AS877" t="s" s="0">
        <v>100</v>
      </c>
      <c r="AT877" t="s" s="0">
        <v>2371</v>
      </c>
      <c r="AU877" t="s" s="0">
        <v>81</v>
      </c>
      <c r="AV877" t="s" s="0">
        <v>81</v>
      </c>
      <c r="AW877" t="s" s="0">
        <v>2372</v>
      </c>
      <c r="AX877" t="s" s="0">
        <v>2373</v>
      </c>
      <c r="AY877" t="s" s="0">
        <v>10972</v>
      </c>
      <c r="AZ877" t="s" s="0">
        <v>103</v>
      </c>
      <c r="BA877" t="s" s="0">
        <v>486</v>
      </c>
      <c r="BB877" t="s" s="0">
        <v>211</v>
      </c>
      <c r="BC877" t="s" s="0">
        <v>81</v>
      </c>
      <c r="BD877" t="s" s="0">
        <v>81</v>
      </c>
      <c r="BE877" t="s" s="0">
        <v>81</v>
      </c>
      <c r="BF877" t="s" s="0">
        <v>81</v>
      </c>
      <c r="BG877" t="s" s="0">
        <v>19048</v>
      </c>
      <c r="BH877" t="s" s="0">
        <v>19049</v>
      </c>
      <c r="BI877" t="s" s="0">
        <v>81</v>
      </c>
      <c r="BJ877" t="s" s="0">
        <v>19050</v>
      </c>
      <c r="BK877" t="s" s="1744">
        <f>HYPERLINK("http://dx.doi.org/10.1109/JIOT.2026.3657733","http://dx.doi.org/10.1109/JIOT.2026.3657733")</f>
        <v>19051</v>
      </c>
      <c r="BL877" t="s" s="0">
        <v>81</v>
      </c>
      <c r="BM877" t="s" s="0">
        <v>81</v>
      </c>
      <c r="BN877" t="s" s="0">
        <v>671</v>
      </c>
      <c r="BO877" t="s" s="0">
        <v>110</v>
      </c>
      <c r="BP877" t="s" s="0">
        <v>111</v>
      </c>
      <c r="BQ877" t="s" s="0">
        <v>19052</v>
      </c>
      <c r="BR877" t="s" s="0">
        <v>81</v>
      </c>
      <c r="BS877" t="s" s="0">
        <v>19053</v>
      </c>
      <c r="BT877" t="s" s="1745">
        <f>HYPERLINK("https://www.webofscience.com/wos/woscc/full-record/WOS:001760393300040","View Record in Web of Science")</f>
        <v>114</v>
      </c>
      <c r="BU877" t="s" s="0">
        <v>81</v>
      </c>
      <c r="BV877" t="s" s="0">
        <v>81</v>
      </c>
      <c r="BW877" t="s" s="0">
        <v>81</v>
      </c>
      <c r="BX877" t="s" s="0">
        <v>116</v>
      </c>
    </row>
    <row r="878">
      <c r="A878" t="s" s="0">
        <v>77</v>
      </c>
      <c r="B878" t="s" s="0">
        <v>77</v>
      </c>
      <c r="C878" t="s" s="0">
        <v>97</v>
      </c>
      <c r="D878" t="s" s="0">
        <v>77</v>
      </c>
      <c r="E878" t="s" s="0">
        <v>19054</v>
      </c>
      <c r="F878" t="s" s="0">
        <v>19055</v>
      </c>
      <c r="G878" t="s" s="0">
        <v>19056</v>
      </c>
      <c r="H878" t="s" s="0">
        <v>81</v>
      </c>
      <c r="I878" t="s" s="0">
        <v>82</v>
      </c>
      <c r="J878" t="s" s="0">
        <v>19057</v>
      </c>
      <c r="K878" t="s" s="0">
        <v>19058</v>
      </c>
      <c r="L878" t="s" s="0">
        <v>19059</v>
      </c>
      <c r="M878" t="s" s="0">
        <v>19060</v>
      </c>
      <c r="N878" t="s" s="0">
        <v>19061</v>
      </c>
      <c r="O878" t="s" s="0">
        <v>19062</v>
      </c>
      <c r="P878" t="s" s="0">
        <v>19063</v>
      </c>
      <c r="Q878" t="s" s="0">
        <v>87</v>
      </c>
      <c r="R878" t="s" s="0">
        <v>81</v>
      </c>
      <c r="S878" t="s" s="0">
        <v>81</v>
      </c>
      <c r="T878" t="s" s="0">
        <v>81</v>
      </c>
      <c r="U878" t="s" s="0">
        <v>81</v>
      </c>
      <c r="V878" t="s" s="0">
        <v>19064</v>
      </c>
      <c r="W878" t="s" s="0">
        <v>18048</v>
      </c>
      <c r="X878" t="s" s="0">
        <v>81</v>
      </c>
      <c r="Y878" t="s" s="0">
        <v>81</v>
      </c>
      <c r="Z878" t="s" s="0">
        <v>90</v>
      </c>
      <c r="AA878" t="s" s="0">
        <v>91</v>
      </c>
      <c r="AB878" t="s" s="0">
        <v>81</v>
      </c>
      <c r="AC878" t="s" s="0">
        <v>81</v>
      </c>
      <c r="AD878" t="s" s="0">
        <v>81</v>
      </c>
      <c r="AE878" t="s" s="0">
        <v>81</v>
      </c>
      <c r="AF878" t="s" s="0">
        <v>81</v>
      </c>
      <c r="AG878" t="s" s="0">
        <v>81</v>
      </c>
      <c r="AH878" t="s" s="0">
        <v>19065</v>
      </c>
      <c r="AI878" t="s" s="0">
        <v>19066</v>
      </c>
      <c r="AJ878" t="s" s="0">
        <v>19067</v>
      </c>
      <c r="AK878" t="s" s="0">
        <v>81</v>
      </c>
      <c r="AL878" t="s" s="0">
        <v>8021</v>
      </c>
      <c r="AM878" t="s" s="0">
        <v>234</v>
      </c>
      <c r="AN878" t="s" s="0">
        <v>234</v>
      </c>
      <c r="AO878" t="s" s="0">
        <v>196</v>
      </c>
      <c r="AP878" t="s" s="0">
        <v>175</v>
      </c>
      <c r="AQ878" t="s" s="0">
        <v>12622</v>
      </c>
      <c r="AR878" t="s" s="0">
        <v>12623</v>
      </c>
      <c r="AS878" t="s" s="0">
        <v>12624</v>
      </c>
      <c r="AT878" t="s" s="0">
        <v>18051</v>
      </c>
      <c r="AU878" t="s" s="0">
        <v>81</v>
      </c>
      <c r="AV878" t="s" s="0">
        <v>81</v>
      </c>
      <c r="AW878" t="s" s="0">
        <v>18052</v>
      </c>
      <c r="AX878" t="s" s="0">
        <v>18053</v>
      </c>
      <c r="AY878" t="s" s="0">
        <v>18319</v>
      </c>
      <c r="AZ878" t="s" s="0">
        <v>290</v>
      </c>
      <c r="BA878" t="s" s="0">
        <v>381</v>
      </c>
      <c r="BB878" t="s" s="0">
        <v>134</v>
      </c>
      <c r="BC878" t="s" s="0">
        <v>81</v>
      </c>
      <c r="BD878" t="s" s="0">
        <v>81</v>
      </c>
      <c r="BE878" t="s" s="0">
        <v>81</v>
      </c>
      <c r="BF878" t="s" s="0">
        <v>81</v>
      </c>
      <c r="BG878" t="s" s="0">
        <v>81</v>
      </c>
      <c r="BH878" t="s" s="0">
        <v>81</v>
      </c>
      <c r="BI878" t="s" s="0">
        <v>19068</v>
      </c>
      <c r="BJ878" t="s" s="0">
        <v>19069</v>
      </c>
      <c r="BK878" t="s" s="1746">
        <f>HYPERLINK("http://dx.doi.org/10.1001/jamanetworkopen.2025.50454","http://dx.doi.org/10.1001/jamanetworkopen.2025.50454")</f>
        <v>19070</v>
      </c>
      <c r="BL878" t="s" s="0">
        <v>81</v>
      </c>
      <c r="BM878" t="s" s="0">
        <v>81</v>
      </c>
      <c r="BN878" t="s" s="0">
        <v>104</v>
      </c>
      <c r="BO878" t="s" s="0">
        <v>296</v>
      </c>
      <c r="BP878" t="s" s="0">
        <v>297</v>
      </c>
      <c r="BQ878" t="s" s="0">
        <v>19071</v>
      </c>
      <c r="BR878" t="s" s="0">
        <v>19072</v>
      </c>
      <c r="BS878" t="s" s="0">
        <v>19073</v>
      </c>
      <c r="BT878" t="s" s="1747">
        <f>HYPERLINK("https://www.webofscience.com/wos/woscc/full-record/WOS:001651577500010","View Record in Web of Science")</f>
        <v>114</v>
      </c>
      <c r="BU878" t="s" s="0">
        <v>301</v>
      </c>
      <c r="BV878" t="s" s="0">
        <v>81</v>
      </c>
      <c r="BW878" t="s" s="0">
        <v>81</v>
      </c>
      <c r="BX878" t="s" s="0">
        <v>116</v>
      </c>
    </row>
    <row r="879">
      <c r="A879" t="s" s="0">
        <v>77</v>
      </c>
      <c r="B879" t="s" s="0">
        <v>77</v>
      </c>
      <c r="C879" t="s" s="0">
        <v>77</v>
      </c>
      <c r="D879" t="s" s="0">
        <v>77</v>
      </c>
      <c r="E879" t="s" s="0">
        <v>19074</v>
      </c>
      <c r="F879" t="s" s="0">
        <v>19075</v>
      </c>
      <c r="G879" t="s" s="0">
        <v>19076</v>
      </c>
      <c r="H879" t="s" s="0">
        <v>81</v>
      </c>
      <c r="I879" t="s" s="0">
        <v>82</v>
      </c>
      <c r="J879" t="s" s="0">
        <v>19077</v>
      </c>
      <c r="K879" t="s" s="0">
        <v>19078</v>
      </c>
      <c r="L879" t="s" s="0">
        <v>81</v>
      </c>
      <c r="M879" t="s" s="0">
        <v>81</v>
      </c>
      <c r="N879" t="s" s="0">
        <v>81</v>
      </c>
      <c r="O879" t="s" s="0">
        <v>19079</v>
      </c>
      <c r="P879" t="s" s="0">
        <v>19080</v>
      </c>
      <c r="Q879" t="s" s="0">
        <v>87</v>
      </c>
      <c r="R879" t="s" s="0">
        <v>81</v>
      </c>
      <c r="S879" t="s" s="0">
        <v>81</v>
      </c>
      <c r="T879" t="s" s="0">
        <v>81</v>
      </c>
      <c r="U879" t="s" s="0">
        <v>81</v>
      </c>
      <c r="V879" t="s" s="0">
        <v>19081</v>
      </c>
      <c r="W879" t="s" s="0">
        <v>5983</v>
      </c>
      <c r="X879" t="s" s="0">
        <v>81</v>
      </c>
      <c r="Y879" t="s" s="0">
        <v>81</v>
      </c>
      <c r="Z879" t="s" s="0">
        <v>90</v>
      </c>
      <c r="AA879" t="s" s="0">
        <v>1581</v>
      </c>
      <c r="AB879" t="s" s="0">
        <v>81</v>
      </c>
      <c r="AC879" t="s" s="0">
        <v>81</v>
      </c>
      <c r="AD879" t="s" s="0">
        <v>81</v>
      </c>
      <c r="AE879" t="s" s="0">
        <v>81</v>
      </c>
      <c r="AF879" t="s" s="0">
        <v>81</v>
      </c>
      <c r="AG879" t="s" s="0">
        <v>19082</v>
      </c>
      <c r="AH879" t="s" s="0">
        <v>19083</v>
      </c>
      <c r="AI879" t="s" s="0">
        <v>19084</v>
      </c>
      <c r="AJ879" t="s" s="0">
        <v>81</v>
      </c>
      <c r="AK879" t="s" s="0">
        <v>81</v>
      </c>
      <c r="AL879" t="s" s="0">
        <v>324</v>
      </c>
      <c r="AM879" t="s" s="0">
        <v>77</v>
      </c>
      <c r="AN879" t="s" s="0">
        <v>77</v>
      </c>
      <c r="AO879" t="s" s="0">
        <v>77</v>
      </c>
      <c r="AP879" t="s" s="0">
        <v>77</v>
      </c>
      <c r="AQ879" t="s" s="0">
        <v>212</v>
      </c>
      <c r="AR879" t="s" s="0">
        <v>429</v>
      </c>
      <c r="AS879" t="s" s="0">
        <v>784</v>
      </c>
      <c r="AT879" t="s" s="0">
        <v>5987</v>
      </c>
      <c r="AU879" t="s" s="0">
        <v>5988</v>
      </c>
      <c r="AV879" t="s" s="0">
        <v>81</v>
      </c>
      <c r="AW879" t="s" s="0">
        <v>5989</v>
      </c>
      <c r="AX879" t="s" s="0">
        <v>5990</v>
      </c>
      <c r="AY879" t="s" s="0">
        <v>81</v>
      </c>
      <c r="AZ879" t="s" s="0">
        <v>103</v>
      </c>
      <c r="BA879" t="s" s="0">
        <v>81</v>
      </c>
      <c r="BB879" t="s" s="0">
        <v>81</v>
      </c>
      <c r="BC879" t="s" s="0">
        <v>81</v>
      </c>
      <c r="BD879" t="s" s="0">
        <v>81</v>
      </c>
      <c r="BE879" t="s" s="0">
        <v>81</v>
      </c>
      <c r="BF879" t="s" s="0">
        <v>81</v>
      </c>
      <c r="BG879" t="s" s="0">
        <v>81</v>
      </c>
      <c r="BH879" t="s" s="0">
        <v>81</v>
      </c>
      <c r="BI879" t="s" s="0">
        <v>81</v>
      </c>
      <c r="BJ879" t="s" s="0">
        <v>19085</v>
      </c>
      <c r="BK879" t="s" s="1748">
        <f>HYPERLINK("http://dx.doi.org/10.1007/s10278-026-02057-0","http://dx.doi.org/10.1007/s10278-026-02057-0")</f>
        <v>19086</v>
      </c>
      <c r="BL879" t="s" s="0">
        <v>81</v>
      </c>
      <c r="BM879" t="s" s="0">
        <v>849</v>
      </c>
      <c r="BN879" t="s" s="0">
        <v>486</v>
      </c>
      <c r="BO879" t="s" s="0">
        <v>738</v>
      </c>
      <c r="BP879" t="s" s="0">
        <v>738</v>
      </c>
      <c r="BQ879" t="s" s="0">
        <v>19087</v>
      </c>
      <c r="BR879" t="s" s="0">
        <v>19088</v>
      </c>
      <c r="BS879" t="s" s="0">
        <v>19089</v>
      </c>
      <c r="BT879" t="s" s="1749">
        <f>HYPERLINK("https://www.webofscience.com/wos/woscc/full-record/WOS:001796697300001","View Record in Web of Science")</f>
        <v>114</v>
      </c>
      <c r="BU879" t="s" s="0">
        <v>81</v>
      </c>
      <c r="BV879" t="s" s="0">
        <v>81</v>
      </c>
      <c r="BW879" t="s" s="0">
        <v>81</v>
      </c>
      <c r="BX879" t="s" s="0">
        <v>116</v>
      </c>
    </row>
    <row r="880">
      <c r="A880" t="s" s="0">
        <v>77</v>
      </c>
      <c r="B880" t="s" s="0">
        <v>77</v>
      </c>
      <c r="C880" t="s" s="0">
        <v>77</v>
      </c>
      <c r="D880" t="s" s="0">
        <v>77</v>
      </c>
      <c r="E880" t="s" s="0">
        <v>19090</v>
      </c>
      <c r="F880" t="s" s="0">
        <v>19091</v>
      </c>
      <c r="G880" t="s" s="0">
        <v>19092</v>
      </c>
      <c r="H880" t="s" s="0">
        <v>81</v>
      </c>
      <c r="I880" t="s" s="0">
        <v>82</v>
      </c>
      <c r="J880" t="s" s="0">
        <v>19093</v>
      </c>
      <c r="K880" t="s" s="0">
        <v>19094</v>
      </c>
      <c r="L880" t="s" s="0">
        <v>81</v>
      </c>
      <c r="M880" t="s" s="0">
        <v>81</v>
      </c>
      <c r="N880" t="s" s="0">
        <v>81</v>
      </c>
      <c r="O880" t="s" s="0">
        <v>19095</v>
      </c>
      <c r="P880" t="s" s="0">
        <v>19096</v>
      </c>
      <c r="Q880" t="s" s="0">
        <v>87</v>
      </c>
      <c r="R880" t="s" s="0">
        <v>81</v>
      </c>
      <c r="S880" t="s" s="0">
        <v>81</v>
      </c>
      <c r="T880" t="s" s="0">
        <v>81</v>
      </c>
      <c r="U880" t="s" s="0">
        <v>81</v>
      </c>
      <c r="V880" t="s" s="0">
        <v>19097</v>
      </c>
      <c r="W880" t="s" s="0">
        <v>3058</v>
      </c>
      <c r="X880" t="s" s="0">
        <v>81</v>
      </c>
      <c r="Y880" t="s" s="0">
        <v>81</v>
      </c>
      <c r="Z880" t="s" s="0">
        <v>90</v>
      </c>
      <c r="AA880" t="s" s="0">
        <v>91</v>
      </c>
      <c r="AB880" t="s" s="0">
        <v>81</v>
      </c>
      <c r="AC880" t="s" s="0">
        <v>81</v>
      </c>
      <c r="AD880" t="s" s="0">
        <v>81</v>
      </c>
      <c r="AE880" t="s" s="0">
        <v>81</v>
      </c>
      <c r="AF880" t="s" s="0">
        <v>81</v>
      </c>
      <c r="AG880" t="s" s="0">
        <v>19098</v>
      </c>
      <c r="AH880" t="s" s="0">
        <v>19099</v>
      </c>
      <c r="AI880" t="s" s="0">
        <v>81</v>
      </c>
      <c r="AJ880" t="s" s="0">
        <v>81</v>
      </c>
      <c r="AK880" t="s" s="0">
        <v>81</v>
      </c>
      <c r="AL880" t="s" s="0">
        <v>542</v>
      </c>
      <c r="AM880" t="s" s="0">
        <v>97</v>
      </c>
      <c r="AN880" t="s" s="0">
        <v>97</v>
      </c>
      <c r="AO880" t="s" s="0">
        <v>196</v>
      </c>
      <c r="AP880" t="s" s="0">
        <v>196</v>
      </c>
      <c r="AQ880" t="s" s="0">
        <v>3061</v>
      </c>
      <c r="AR880" t="s" s="0">
        <v>3062</v>
      </c>
      <c r="AS880" t="s" s="0">
        <v>3063</v>
      </c>
      <c r="AT880" t="s" s="0">
        <v>3064</v>
      </c>
      <c r="AU880" t="s" s="0">
        <v>3065</v>
      </c>
      <c r="AV880" t="s" s="0">
        <v>81</v>
      </c>
      <c r="AW880" t="s" s="0">
        <v>3066</v>
      </c>
      <c r="AX880" t="s" s="0">
        <v>3067</v>
      </c>
      <c r="AY880" t="s" s="0">
        <v>19100</v>
      </c>
      <c r="AZ880" t="s" s="0">
        <v>103</v>
      </c>
      <c r="BA880" t="s" s="0">
        <v>176</v>
      </c>
      <c r="BB880" t="s" s="0">
        <v>81</v>
      </c>
      <c r="BC880" t="s" s="0">
        <v>81</v>
      </c>
      <c r="BD880" t="s" s="0">
        <v>81</v>
      </c>
      <c r="BE880" t="s" s="0">
        <v>81</v>
      </c>
      <c r="BF880" t="s" s="0">
        <v>81</v>
      </c>
      <c r="BG880" t="s" s="0">
        <v>81</v>
      </c>
      <c r="BH880" t="s" s="0">
        <v>81</v>
      </c>
      <c r="BI880" t="s" s="0">
        <v>19101</v>
      </c>
      <c r="BJ880" t="s" s="0">
        <v>19102</v>
      </c>
      <c r="BK880" t="s" s="1750">
        <f>HYPERLINK("http://dx.doi.org/10.2196/92680","http://dx.doi.org/10.2196/92680")</f>
        <v>19103</v>
      </c>
      <c r="BL880" t="s" s="0">
        <v>81</v>
      </c>
      <c r="BM880" t="s" s="0">
        <v>81</v>
      </c>
      <c r="BN880" t="s" s="0">
        <v>925</v>
      </c>
      <c r="BO880" t="s" s="0">
        <v>792</v>
      </c>
      <c r="BP880" t="s" s="0">
        <v>792</v>
      </c>
      <c r="BQ880" t="s" s="0">
        <v>19104</v>
      </c>
      <c r="BR880" t="s" s="0">
        <v>19105</v>
      </c>
      <c r="BS880" t="s" s="0">
        <v>19106</v>
      </c>
      <c r="BT880" t="s" s="1751">
        <f>HYPERLINK("https://www.webofscience.com/wos/woscc/full-record/WOS:001766158200001","View Record in Web of Science")</f>
        <v>114</v>
      </c>
      <c r="BU880" t="s" s="0">
        <v>301</v>
      </c>
      <c r="BV880" t="s" s="0">
        <v>81</v>
      </c>
      <c r="BW880" t="s" s="0">
        <v>81</v>
      </c>
      <c r="BX880" t="s" s="0">
        <v>116</v>
      </c>
    </row>
    <row r="881">
      <c r="A881" t="s" s="0">
        <v>77</v>
      </c>
      <c r="B881" t="s" s="0">
        <v>77</v>
      </c>
      <c r="C881" t="s" s="0">
        <v>77</v>
      </c>
      <c r="D881" t="s" s="0">
        <v>77</v>
      </c>
      <c r="E881" t="s" s="0">
        <v>19107</v>
      </c>
      <c r="F881" t="s" s="0">
        <v>19108</v>
      </c>
      <c r="G881" t="s" s="0">
        <v>19109</v>
      </c>
      <c r="H881" t="s" s="0">
        <v>81</v>
      </c>
      <c r="I881" t="s" s="0">
        <v>82</v>
      </c>
      <c r="J881" t="s" s="0">
        <v>19110</v>
      </c>
      <c r="K881" t="s" s="0">
        <v>19111</v>
      </c>
      <c r="L881" t="s" s="0">
        <v>19112</v>
      </c>
      <c r="M881" t="s" s="0">
        <v>19113</v>
      </c>
      <c r="N881" t="s" s="0">
        <v>19114</v>
      </c>
      <c r="O881" t="s" s="0">
        <v>19115</v>
      </c>
      <c r="P881" t="s" s="0">
        <v>19116</v>
      </c>
      <c r="Q881" t="s" s="0">
        <v>87</v>
      </c>
      <c r="R881" t="s" s="0">
        <v>81</v>
      </c>
      <c r="S881" t="s" s="0">
        <v>81</v>
      </c>
      <c r="T881" t="s" s="0">
        <v>81</v>
      </c>
      <c r="U881" t="s" s="0">
        <v>81</v>
      </c>
      <c r="V881" t="s" s="0">
        <v>19117</v>
      </c>
      <c r="W881" t="s" s="0">
        <v>19118</v>
      </c>
      <c r="X881" t="s" s="0">
        <v>81</v>
      </c>
      <c r="Y881" t="s" s="0">
        <v>81</v>
      </c>
      <c r="Z881" t="s" s="0">
        <v>90</v>
      </c>
      <c r="AA881" t="s" s="0">
        <v>91</v>
      </c>
      <c r="AB881" t="s" s="0">
        <v>81</v>
      </c>
      <c r="AC881" t="s" s="0">
        <v>81</v>
      </c>
      <c r="AD881" t="s" s="0">
        <v>81</v>
      </c>
      <c r="AE881" t="s" s="0">
        <v>81</v>
      </c>
      <c r="AF881" t="s" s="0">
        <v>81</v>
      </c>
      <c r="AG881" t="s" s="0">
        <v>19119</v>
      </c>
      <c r="AH881" t="s" s="0">
        <v>19120</v>
      </c>
      <c r="AI881" t="s" s="0">
        <v>19121</v>
      </c>
      <c r="AJ881" t="s" s="0">
        <v>19122</v>
      </c>
      <c r="AK881" t="s" s="0">
        <v>81</v>
      </c>
      <c r="AL881" t="s" s="0">
        <v>1442</v>
      </c>
      <c r="AM881" t="s" s="0">
        <v>367</v>
      </c>
      <c r="AN881" t="s" s="0">
        <v>485</v>
      </c>
      <c r="AO881" t="s" s="0">
        <v>97</v>
      </c>
      <c r="AP881" t="s" s="0">
        <v>156</v>
      </c>
      <c r="AQ881" t="s" s="0">
        <v>1809</v>
      </c>
      <c r="AR881" t="s" s="0">
        <v>1810</v>
      </c>
      <c r="AS881" t="s" s="0">
        <v>1811</v>
      </c>
      <c r="AT881" t="s" s="0">
        <v>19123</v>
      </c>
      <c r="AU881" t="s" s="0">
        <v>19124</v>
      </c>
      <c r="AV881" t="s" s="0">
        <v>81</v>
      </c>
      <c r="AW881" t="s" s="0">
        <v>19125</v>
      </c>
      <c r="AX881" t="s" s="0">
        <v>19126</v>
      </c>
      <c r="AY881" t="s" s="0">
        <v>185</v>
      </c>
      <c r="AZ881" t="s" s="0">
        <v>185</v>
      </c>
      <c r="BA881" t="s" s="0">
        <v>291</v>
      </c>
      <c r="BB881" t="s" s="0">
        <v>175</v>
      </c>
      <c r="BC881" t="s" s="0">
        <v>4172</v>
      </c>
      <c r="BD881" t="s" s="0">
        <v>81</v>
      </c>
      <c r="BE881" t="s" s="0">
        <v>81</v>
      </c>
      <c r="BF881" t="s" s="0">
        <v>81</v>
      </c>
      <c r="BG881" t="s" s="0">
        <v>19127</v>
      </c>
      <c r="BH881" t="s" s="0">
        <v>19128</v>
      </c>
      <c r="BI881" t="s" s="0">
        <v>81</v>
      </c>
      <c r="BJ881" t="s" s="0">
        <v>19129</v>
      </c>
      <c r="BK881" t="s" s="1752">
        <f>HYPERLINK("http://dx.doi.org/10.3233/SW-233282","http://dx.doi.org/10.3233/SW-233282")</f>
        <v>19130</v>
      </c>
      <c r="BL881" t="s" s="0">
        <v>81</v>
      </c>
      <c r="BM881" t="s" s="0">
        <v>81</v>
      </c>
      <c r="BN881" t="s" s="0">
        <v>344</v>
      </c>
      <c r="BO881" t="s" s="0">
        <v>875</v>
      </c>
      <c r="BP881" t="s" s="0">
        <v>152</v>
      </c>
      <c r="BQ881" t="s" s="0">
        <v>19131</v>
      </c>
      <c r="BR881" t="s" s="0">
        <v>81</v>
      </c>
      <c r="BS881" t="s" s="0">
        <v>19132</v>
      </c>
      <c r="BT881" t="s" s="1753">
        <f>HYPERLINK("https://www.webofscience.com/wos/woscc/full-record/WOS:001356253900003","View Record in Web of Science")</f>
        <v>114</v>
      </c>
      <c r="BU881" t="s" s="0">
        <v>1055</v>
      </c>
      <c r="BV881" t="s" s="0">
        <v>81</v>
      </c>
      <c r="BW881" t="s" s="0">
        <v>81</v>
      </c>
      <c r="BX881" t="s" s="0">
        <v>116</v>
      </c>
    </row>
    <row r="882">
      <c r="A882" t="s" s="0">
        <v>77</v>
      </c>
      <c r="B882" t="s" s="0">
        <v>77</v>
      </c>
      <c r="C882" t="s" s="0">
        <v>156</v>
      </c>
      <c r="D882" t="s" s="0">
        <v>77</v>
      </c>
      <c r="E882" t="s" s="0">
        <v>19133</v>
      </c>
      <c r="F882" t="s" s="0">
        <v>19134</v>
      </c>
      <c r="G882" t="s" s="0">
        <v>19135</v>
      </c>
      <c r="H882" t="s" s="0">
        <v>81</v>
      </c>
      <c r="I882" t="s" s="0">
        <v>82</v>
      </c>
      <c r="J882" t="s" s="0">
        <v>19136</v>
      </c>
      <c r="K882" t="s" s="0">
        <v>19137</v>
      </c>
      <c r="L882" t="s" s="0">
        <v>19138</v>
      </c>
      <c r="M882" t="s" s="0">
        <v>19139</v>
      </c>
      <c r="N882" t="s" s="0">
        <v>19140</v>
      </c>
      <c r="O882" t="s" s="0">
        <v>19141</v>
      </c>
      <c r="P882" t="s" s="0">
        <v>81</v>
      </c>
      <c r="Q882" t="s" s="0">
        <v>87</v>
      </c>
      <c r="R882" t="s" s="0">
        <v>81</v>
      </c>
      <c r="S882" t="s" s="0">
        <v>81</v>
      </c>
      <c r="T882" t="s" s="0">
        <v>81</v>
      </c>
      <c r="U882" t="s" s="0">
        <v>81</v>
      </c>
      <c r="V882" t="s" s="0">
        <v>19142</v>
      </c>
      <c r="W882" t="s" s="0">
        <v>362</v>
      </c>
      <c r="X882" t="s" s="0">
        <v>81</v>
      </c>
      <c r="Y882" t="s" s="0">
        <v>81</v>
      </c>
      <c r="Z882" t="s" s="0">
        <v>90</v>
      </c>
      <c r="AA882" t="s" s="0">
        <v>91</v>
      </c>
      <c r="AB882" t="s" s="0">
        <v>81</v>
      </c>
      <c r="AC882" t="s" s="0">
        <v>81</v>
      </c>
      <c r="AD882" t="s" s="0">
        <v>81</v>
      </c>
      <c r="AE882" t="s" s="0">
        <v>81</v>
      </c>
      <c r="AF882" t="s" s="0">
        <v>81</v>
      </c>
      <c r="AG882" t="s" s="0">
        <v>19143</v>
      </c>
      <c r="AH882" t="s" s="0">
        <v>81</v>
      </c>
      <c r="AI882" t="s" s="0">
        <v>19144</v>
      </c>
      <c r="AJ882" t="s" s="0">
        <v>19145</v>
      </c>
      <c r="AK882" t="s" s="0">
        <v>81</v>
      </c>
      <c r="AL882" t="s" s="0">
        <v>344</v>
      </c>
      <c r="AM882" t="s" s="0">
        <v>222</v>
      </c>
      <c r="AN882" t="s" s="0">
        <v>874</v>
      </c>
      <c r="AO882" t="s" s="0">
        <v>156</v>
      </c>
      <c r="AP882" t="s" s="0">
        <v>925</v>
      </c>
      <c r="AQ882" t="s" s="0">
        <v>368</v>
      </c>
      <c r="AR882" t="s" s="0">
        <v>369</v>
      </c>
      <c r="AS882" t="s" s="0">
        <v>370</v>
      </c>
      <c r="AT882" t="s" s="0">
        <v>81</v>
      </c>
      <c r="AU882" t="s" s="0">
        <v>371</v>
      </c>
      <c r="AV882" t="s" s="0">
        <v>81</v>
      </c>
      <c r="AW882" t="s" s="0">
        <v>372</v>
      </c>
      <c r="AX882" t="s" s="0">
        <v>373</v>
      </c>
      <c r="AY882" t="s" s="0">
        <v>19146</v>
      </c>
      <c r="AZ882" t="s" s="0">
        <v>185</v>
      </c>
      <c r="BA882" t="s" s="0">
        <v>191</v>
      </c>
      <c r="BB882" t="s" s="0">
        <v>81</v>
      </c>
      <c r="BC882" t="s" s="0">
        <v>81</v>
      </c>
      <c r="BD882" t="s" s="0">
        <v>81</v>
      </c>
      <c r="BE882" t="s" s="0">
        <v>81</v>
      </c>
      <c r="BF882" t="s" s="0">
        <v>81</v>
      </c>
      <c r="BG882" t="s" s="0">
        <v>81</v>
      </c>
      <c r="BH882" t="s" s="0">
        <v>81</v>
      </c>
      <c r="BI882" t="s" s="0">
        <v>19147</v>
      </c>
      <c r="BJ882" t="s" s="0">
        <v>19148</v>
      </c>
      <c r="BK882" t="s" s="1754">
        <f>HYPERLINK("http://dx.doi.org/10.3389/fmed.2024.1393123","http://dx.doi.org/10.3389/fmed.2024.1393123")</f>
        <v>19149</v>
      </c>
      <c r="BL882" t="s" s="0">
        <v>81</v>
      </c>
      <c r="BM882" t="s" s="0">
        <v>81</v>
      </c>
      <c r="BN882" t="s" s="0">
        <v>295</v>
      </c>
      <c r="BO882" t="s" s="0">
        <v>296</v>
      </c>
      <c r="BP882" t="s" s="0">
        <v>297</v>
      </c>
      <c r="BQ882" t="s" s="0">
        <v>19150</v>
      </c>
      <c r="BR882" t="s" s="0">
        <v>19151</v>
      </c>
      <c r="BS882" t="s" s="0">
        <v>19152</v>
      </c>
      <c r="BT882" t="s" s="1755">
        <f>HYPERLINK("https://www.webofscience.com/wos/woscc/full-record/WOS:001289573800001","View Record in Web of Science")</f>
        <v>114</v>
      </c>
      <c r="BU882" t="s" s="0">
        <v>301</v>
      </c>
      <c r="BV882" t="s" s="0">
        <v>81</v>
      </c>
      <c r="BW882" t="s" s="0">
        <v>81</v>
      </c>
      <c r="BX882" t="s" s="0">
        <v>116</v>
      </c>
    </row>
    <row r="883">
      <c r="A883" t="s" s="0">
        <v>97</v>
      </c>
      <c r="B883" t="s" s="0">
        <v>77</v>
      </c>
      <c r="C883" t="s" s="0">
        <v>156</v>
      </c>
      <c r="D883" t="s" s="0">
        <v>77</v>
      </c>
      <c r="E883" t="s" s="0">
        <v>19153</v>
      </c>
      <c r="F883" t="s" s="0">
        <v>19154</v>
      </c>
      <c r="G883" t="s" s="0">
        <v>19155</v>
      </c>
      <c r="H883" t="s" s="0">
        <v>81</v>
      </c>
      <c r="I883" t="s" s="0">
        <v>82</v>
      </c>
      <c r="J883" t="s" s="0">
        <v>19156</v>
      </c>
      <c r="K883" t="s" s="0">
        <v>19157</v>
      </c>
      <c r="L883" t="s" s="0">
        <v>81</v>
      </c>
      <c r="M883" t="s" s="0">
        <v>81</v>
      </c>
      <c r="N883" t="s" s="0">
        <v>81</v>
      </c>
      <c r="O883" t="s" s="0">
        <v>19158</v>
      </c>
      <c r="P883" t="s" s="0">
        <v>19159</v>
      </c>
      <c r="Q883" t="s" s="0">
        <v>87</v>
      </c>
      <c r="R883" t="s" s="0">
        <v>81</v>
      </c>
      <c r="S883" t="s" s="0">
        <v>81</v>
      </c>
      <c r="T883" t="s" s="0">
        <v>81</v>
      </c>
      <c r="U883" t="s" s="0">
        <v>81</v>
      </c>
      <c r="V883" t="s" s="0">
        <v>19160</v>
      </c>
      <c r="W883" t="s" s="0">
        <v>19161</v>
      </c>
      <c r="X883" t="s" s="0">
        <v>81</v>
      </c>
      <c r="Y883" t="s" s="0">
        <v>81</v>
      </c>
      <c r="Z883" t="s" s="0">
        <v>90</v>
      </c>
      <c r="AA883" t="s" s="0">
        <v>91</v>
      </c>
      <c r="AB883" t="s" s="0">
        <v>81</v>
      </c>
      <c r="AC883" t="s" s="0">
        <v>81</v>
      </c>
      <c r="AD883" t="s" s="0">
        <v>81</v>
      </c>
      <c r="AE883" t="s" s="0">
        <v>81</v>
      </c>
      <c r="AF883" t="s" s="0">
        <v>81</v>
      </c>
      <c r="AG883" t="s" s="0">
        <v>19162</v>
      </c>
      <c r="AH883" t="s" s="0">
        <v>19163</v>
      </c>
      <c r="AI883" t="s" s="0">
        <v>81</v>
      </c>
      <c r="AJ883" t="s" s="0">
        <v>19164</v>
      </c>
      <c r="AK883" t="s" s="0">
        <v>81</v>
      </c>
      <c r="AL883" t="s" s="0">
        <v>4125</v>
      </c>
      <c r="AM883" t="s" s="0">
        <v>486</v>
      </c>
      <c r="AN883" t="s" s="0">
        <v>486</v>
      </c>
      <c r="AO883" t="s" s="0">
        <v>97</v>
      </c>
      <c r="AP883" t="s" s="0">
        <v>485</v>
      </c>
      <c r="AQ883" t="s" s="0">
        <v>726</v>
      </c>
      <c r="AR883" t="s" s="0">
        <v>727</v>
      </c>
      <c r="AS883" t="s" s="0">
        <v>728</v>
      </c>
      <c r="AT883" t="s" s="0">
        <v>19165</v>
      </c>
      <c r="AU883" t="s" s="0">
        <v>19166</v>
      </c>
      <c r="AV883" t="s" s="0">
        <v>81</v>
      </c>
      <c r="AW883" t="s" s="0">
        <v>19167</v>
      </c>
      <c r="AX883" t="s" s="0">
        <v>19168</v>
      </c>
      <c r="AY883" t="s" s="0">
        <v>19169</v>
      </c>
      <c r="AZ883" t="s" s="0">
        <v>290</v>
      </c>
      <c r="BA883" t="s" s="0">
        <v>1254</v>
      </c>
      <c r="BB883" t="s" s="0">
        <v>156</v>
      </c>
      <c r="BC883" t="s" s="0">
        <v>4172</v>
      </c>
      <c r="BD883" t="s" s="0">
        <v>81</v>
      </c>
      <c r="BE883" t="s" s="0">
        <v>81</v>
      </c>
      <c r="BF883" t="s" s="0">
        <v>81</v>
      </c>
      <c r="BG883" t="s" s="0">
        <v>19170</v>
      </c>
      <c r="BH883" t="s" s="0">
        <v>19171</v>
      </c>
      <c r="BI883" t="s" s="0">
        <v>81</v>
      </c>
      <c r="BJ883" t="s" s="0">
        <v>19172</v>
      </c>
      <c r="BK883" t="s" s="1756">
        <f>HYPERLINK("http://dx.doi.org/10.1080/03036758.2024.2398567","http://dx.doi.org/10.1080/03036758.2024.2398567")</f>
        <v>19173</v>
      </c>
      <c r="BL883" t="s" s="0">
        <v>81</v>
      </c>
      <c r="BM883" t="s" s="0">
        <v>6550</v>
      </c>
      <c r="BN883" t="s" s="0">
        <v>434</v>
      </c>
      <c r="BO883" t="s" s="0">
        <v>926</v>
      </c>
      <c r="BP883" t="s" s="0">
        <v>927</v>
      </c>
      <c r="BQ883" t="s" s="0">
        <v>19174</v>
      </c>
      <c r="BR883" t="s" s="0">
        <v>19175</v>
      </c>
      <c r="BS883" t="s" s="0">
        <v>19176</v>
      </c>
      <c r="BT883" t="s" s="1757">
        <f>HYPERLINK("https://www.webofscience.com/wos/woscc/full-record/WOS:001314118200001","View Record in Web of Science")</f>
        <v>114</v>
      </c>
      <c r="BU883" t="s" s="0">
        <v>4914</v>
      </c>
      <c r="BV883" t="s" s="0">
        <v>81</v>
      </c>
      <c r="BW883" t="s" s="0">
        <v>81</v>
      </c>
      <c r="BX883" t="s" s="0">
        <v>116</v>
      </c>
    </row>
    <row r="884">
      <c r="A884" t="s" s="0">
        <v>77</v>
      </c>
      <c r="B884" t="s" s="0">
        <v>77</v>
      </c>
      <c r="C884" t="s" s="0">
        <v>77</v>
      </c>
      <c r="D884" t="s" s="0">
        <v>77</v>
      </c>
      <c r="E884" t="s" s="0">
        <v>19177</v>
      </c>
      <c r="F884" t="s" s="0">
        <v>19178</v>
      </c>
      <c r="G884" t="s" s="0">
        <v>19179</v>
      </c>
      <c r="H884" t="s" s="0">
        <v>81</v>
      </c>
      <c r="I884" t="s" s="0">
        <v>528</v>
      </c>
      <c r="J884" t="s" s="0">
        <v>19180</v>
      </c>
      <c r="K884" t="s" s="0">
        <v>19181</v>
      </c>
      <c r="L884" t="s" s="0">
        <v>81</v>
      </c>
      <c r="M884" t="s" s="0">
        <v>81</v>
      </c>
      <c r="N884" t="s" s="0">
        <v>81</v>
      </c>
      <c r="O884" t="s" s="0">
        <v>19182</v>
      </c>
      <c r="P884" t="s" s="0">
        <v>19183</v>
      </c>
      <c r="Q884" t="s" s="0">
        <v>87</v>
      </c>
      <c r="R884" t="s" s="0">
        <v>81</v>
      </c>
      <c r="S884" t="s" s="0">
        <v>81</v>
      </c>
      <c r="T884" t="s" s="0">
        <v>81</v>
      </c>
      <c r="U884" t="s" s="0">
        <v>81</v>
      </c>
      <c r="V884" t="s" s="0">
        <v>19184</v>
      </c>
      <c r="W884" t="s" s="0">
        <v>19185</v>
      </c>
      <c r="X884" t="s" s="0">
        <v>81</v>
      </c>
      <c r="Y884" t="s" s="0">
        <v>81</v>
      </c>
      <c r="Z884" t="s" s="0">
        <v>90</v>
      </c>
      <c r="AA884" t="s" s="0">
        <v>91</v>
      </c>
      <c r="AB884" t="s" s="0">
        <v>81</v>
      </c>
      <c r="AC884" t="s" s="0">
        <v>81</v>
      </c>
      <c r="AD884" t="s" s="0">
        <v>81</v>
      </c>
      <c r="AE884" t="s" s="0">
        <v>81</v>
      </c>
      <c r="AF884" t="s" s="0">
        <v>81</v>
      </c>
      <c r="AG884" t="s" s="0">
        <v>19186</v>
      </c>
      <c r="AH884" t="s" s="0">
        <v>81</v>
      </c>
      <c r="AI884" t="s" s="0">
        <v>19187</v>
      </c>
      <c r="AJ884" t="s" s="0">
        <v>81</v>
      </c>
      <c r="AK884" t="s" s="0">
        <v>81</v>
      </c>
      <c r="AL884" t="s" s="0">
        <v>1912</v>
      </c>
      <c r="AM884" t="s" s="0">
        <v>77</v>
      </c>
      <c r="AN884" t="s" s="0">
        <v>77</v>
      </c>
      <c r="AO884" t="s" s="0">
        <v>77</v>
      </c>
      <c r="AP884" t="s" s="0">
        <v>77</v>
      </c>
      <c r="AQ884" t="s" s="0">
        <v>136</v>
      </c>
      <c r="AR884" t="s" s="0">
        <v>137</v>
      </c>
      <c r="AS884" t="s" s="0">
        <v>138</v>
      </c>
      <c r="AT884" t="s" s="0">
        <v>19188</v>
      </c>
      <c r="AU884" t="s" s="0">
        <v>81</v>
      </c>
      <c r="AV884" t="s" s="0">
        <v>81</v>
      </c>
      <c r="AW884" t="s" s="0">
        <v>19189</v>
      </c>
      <c r="AX884" t="s" s="0">
        <v>19190</v>
      </c>
      <c r="AY884" t="s" s="0">
        <v>6101</v>
      </c>
      <c r="AZ884" t="s" s="0">
        <v>103</v>
      </c>
      <c r="BA884" t="s" s="0">
        <v>315</v>
      </c>
      <c r="BB884" t="s" s="0">
        <v>81</v>
      </c>
      <c r="BC884" t="s" s="0">
        <v>81</v>
      </c>
      <c r="BD884" t="s" s="0">
        <v>81</v>
      </c>
      <c r="BE884" t="s" s="0">
        <v>81</v>
      </c>
      <c r="BF884" t="s" s="0">
        <v>81</v>
      </c>
      <c r="BG884" t="s" s="0">
        <v>81</v>
      </c>
      <c r="BH884" t="s" s="0">
        <v>81</v>
      </c>
      <c r="BI884" t="s" s="0">
        <v>19191</v>
      </c>
      <c r="BJ884" t="s" s="0">
        <v>19192</v>
      </c>
      <c r="BK884" t="s" s="1758">
        <f>HYPERLINK("http://dx.doi.org/10.1016/j.lanepe.2026.101784","http://dx.doi.org/10.1016/j.lanepe.2026.101784")</f>
        <v>19193</v>
      </c>
      <c r="BL884" t="s" s="0">
        <v>81</v>
      </c>
      <c r="BM884" t="s" s="0">
        <v>81</v>
      </c>
      <c r="BN884" t="s" s="0">
        <v>316</v>
      </c>
      <c r="BO884" t="s" s="0">
        <v>17288</v>
      </c>
      <c r="BP884" t="s" s="0">
        <v>17288</v>
      </c>
      <c r="BQ884" t="s" s="0">
        <v>19194</v>
      </c>
      <c r="BR884" t="s" s="0">
        <v>81</v>
      </c>
      <c r="BS884" t="s" s="0">
        <v>19195</v>
      </c>
      <c r="BT884" t="s" s="1759">
        <f>HYPERLINK("https://www.webofscience.com/wos/woscc/full-record/WOS:001835718600001","View Record in Web of Science")</f>
        <v>114</v>
      </c>
      <c r="BU884" t="s" s="0">
        <v>301</v>
      </c>
      <c r="BV884" t="s" s="0">
        <v>81</v>
      </c>
      <c r="BW884" t="s" s="0">
        <v>81</v>
      </c>
      <c r="BX884" t="s" s="0">
        <v>116</v>
      </c>
    </row>
    <row r="885">
      <c r="A885" t="s" s="0">
        <v>77</v>
      </c>
      <c r="B885" t="s" s="0">
        <v>77</v>
      </c>
      <c r="C885" t="s" s="0">
        <v>316</v>
      </c>
      <c r="D885" t="s" s="0">
        <v>77</v>
      </c>
      <c r="E885" t="s" s="0">
        <v>19196</v>
      </c>
      <c r="F885" t="s" s="0">
        <v>19197</v>
      </c>
      <c r="G885" t="s" s="0">
        <v>19198</v>
      </c>
      <c r="H885" t="s" s="0">
        <v>81</v>
      </c>
      <c r="I885" t="s" s="0">
        <v>82</v>
      </c>
      <c r="J885" t="s" s="0">
        <v>19199</v>
      </c>
      <c r="K885" t="s" s="0">
        <v>19200</v>
      </c>
      <c r="L885" t="s" s="0">
        <v>81</v>
      </c>
      <c r="M885" t="s" s="0">
        <v>81</v>
      </c>
      <c r="N885" t="s" s="0">
        <v>81</v>
      </c>
      <c r="O885" t="s" s="0">
        <v>19201</v>
      </c>
      <c r="P885" t="s" s="0">
        <v>19202</v>
      </c>
      <c r="Q885" t="s" s="0">
        <v>87</v>
      </c>
      <c r="R885" t="s" s="0">
        <v>81</v>
      </c>
      <c r="S885" t="s" s="0">
        <v>81</v>
      </c>
      <c r="T885" t="s" s="0">
        <v>81</v>
      </c>
      <c r="U885" t="s" s="0">
        <v>81</v>
      </c>
      <c r="V885" t="s" s="0">
        <v>19203</v>
      </c>
      <c r="W885" t="s" s="0">
        <v>19204</v>
      </c>
      <c r="X885" t="s" s="0">
        <v>81</v>
      </c>
      <c r="Y885" t="s" s="0">
        <v>81</v>
      </c>
      <c r="Z885" t="s" s="0">
        <v>90</v>
      </c>
      <c r="AA885" t="s" s="0">
        <v>91</v>
      </c>
      <c r="AB885" t="s" s="0">
        <v>81</v>
      </c>
      <c r="AC885" t="s" s="0">
        <v>81</v>
      </c>
      <c r="AD885" t="s" s="0">
        <v>81</v>
      </c>
      <c r="AE885" t="s" s="0">
        <v>81</v>
      </c>
      <c r="AF885" t="s" s="0">
        <v>81</v>
      </c>
      <c r="AG885" t="s" s="0">
        <v>81</v>
      </c>
      <c r="AH885" t="s" s="0">
        <v>19205</v>
      </c>
      <c r="AI885" t="s" s="0">
        <v>19206</v>
      </c>
      <c r="AJ885" t="s" s="0">
        <v>19207</v>
      </c>
      <c r="AK885" t="s" s="0">
        <v>81</v>
      </c>
      <c r="AL885" t="s" s="0">
        <v>13369</v>
      </c>
      <c r="AM885" t="s" s="0">
        <v>366</v>
      </c>
      <c r="AN885" t="s" s="0">
        <v>1047</v>
      </c>
      <c r="AO885" t="s" s="0">
        <v>175</v>
      </c>
      <c r="AP885" t="s" s="0">
        <v>315</v>
      </c>
      <c r="AQ885" t="s" s="0">
        <v>212</v>
      </c>
      <c r="AR885" t="s" s="0">
        <v>213</v>
      </c>
      <c r="AS885" t="s" s="0">
        <v>214</v>
      </c>
      <c r="AT885" t="s" s="0">
        <v>19208</v>
      </c>
      <c r="AU885" t="s" s="0">
        <v>19209</v>
      </c>
      <c r="AV885" t="s" s="0">
        <v>81</v>
      </c>
      <c r="AW885" t="s" s="0">
        <v>19210</v>
      </c>
      <c r="AX885" t="s" s="0">
        <v>19211</v>
      </c>
      <c r="AY885" t="s" s="0">
        <v>6608</v>
      </c>
      <c r="AZ885" t="s" s="0">
        <v>260</v>
      </c>
      <c r="BA885" t="s" s="0">
        <v>252</v>
      </c>
      <c r="BB885" t="s" s="0">
        <v>196</v>
      </c>
      <c r="BC885" t="s" s="0">
        <v>81</v>
      </c>
      <c r="BD885" t="s" s="0">
        <v>81</v>
      </c>
      <c r="BE885" t="s" s="0">
        <v>81</v>
      </c>
      <c r="BF885" t="s" s="0">
        <v>81</v>
      </c>
      <c r="BG885" t="s" s="0">
        <v>19212</v>
      </c>
      <c r="BH885" t="s" s="0">
        <v>19213</v>
      </c>
      <c r="BI885" t="s" s="0">
        <v>81</v>
      </c>
      <c r="BJ885" t="s" s="0">
        <v>19214</v>
      </c>
      <c r="BK885" t="s" s="1760">
        <f>HYPERLINK("http://dx.doi.org/10.1007/s11831-022-09863-z","http://dx.doi.org/10.1007/s11831-022-09863-z")</f>
        <v>19215</v>
      </c>
      <c r="BL885" t="s" s="0">
        <v>81</v>
      </c>
      <c r="BM885" t="s" s="0">
        <v>3838</v>
      </c>
      <c r="BN885" t="s" s="0">
        <v>434</v>
      </c>
      <c r="BO885" t="s" s="0">
        <v>19216</v>
      </c>
      <c r="BP885" t="s" s="0">
        <v>19217</v>
      </c>
      <c r="BQ885" t="s" s="0">
        <v>19218</v>
      </c>
      <c r="BR885" t="s" s="0">
        <v>19219</v>
      </c>
      <c r="BS885" t="s" s="0">
        <v>19220</v>
      </c>
      <c r="BT885" t="s" s="1761">
        <f>HYPERLINK("https://www.webofscience.com/wos/woscc/full-record/WOS:000907048800003","View Record in Web of Science")</f>
        <v>114</v>
      </c>
      <c r="BU885" t="s" s="0">
        <v>11347</v>
      </c>
      <c r="BV885" t="s" s="0">
        <v>81</v>
      </c>
      <c r="BW885" t="s" s="0">
        <v>81</v>
      </c>
      <c r="BX885" t="s" s="0">
        <v>116</v>
      </c>
    </row>
    <row r="886">
      <c r="A886" t="s" s="0">
        <v>77</v>
      </c>
      <c r="B886" t="s" s="0">
        <v>77</v>
      </c>
      <c r="C886" t="s" s="0">
        <v>156</v>
      </c>
      <c r="D886" t="s" s="0">
        <v>77</v>
      </c>
      <c r="E886" t="s" s="0">
        <v>19221</v>
      </c>
      <c r="F886" t="s" s="0">
        <v>19222</v>
      </c>
      <c r="G886" t="s" s="0">
        <v>19223</v>
      </c>
      <c r="H886" t="s" s="0">
        <v>81</v>
      </c>
      <c r="I886" t="s" s="0">
        <v>82</v>
      </c>
      <c r="J886" t="s" s="0">
        <v>19224</v>
      </c>
      <c r="K886" t="s" s="0">
        <v>19225</v>
      </c>
      <c r="L886" t="s" s="0">
        <v>81</v>
      </c>
      <c r="M886" t="s" s="0">
        <v>81</v>
      </c>
      <c r="N886" t="s" s="0">
        <v>81</v>
      </c>
      <c r="O886" t="s" s="0">
        <v>19226</v>
      </c>
      <c r="P886" t="s" s="0">
        <v>19227</v>
      </c>
      <c r="Q886" t="s" s="0">
        <v>87</v>
      </c>
      <c r="R886" t="s" s="0">
        <v>81</v>
      </c>
      <c r="S886" t="s" s="0">
        <v>81</v>
      </c>
      <c r="T886" t="s" s="0">
        <v>81</v>
      </c>
      <c r="U886" t="s" s="0">
        <v>81</v>
      </c>
      <c r="V886" t="s" s="0">
        <v>19228</v>
      </c>
      <c r="W886" t="s" s="0">
        <v>1855</v>
      </c>
      <c r="X886" t="s" s="0">
        <v>81</v>
      </c>
      <c r="Y886" t="s" s="0">
        <v>81</v>
      </c>
      <c r="Z886" t="s" s="0">
        <v>90</v>
      </c>
      <c r="AA886" t="s" s="0">
        <v>91</v>
      </c>
      <c r="AB886" t="s" s="0">
        <v>81</v>
      </c>
      <c r="AC886" t="s" s="0">
        <v>81</v>
      </c>
      <c r="AD886" t="s" s="0">
        <v>81</v>
      </c>
      <c r="AE886" t="s" s="0">
        <v>81</v>
      </c>
      <c r="AF886" t="s" s="0">
        <v>81</v>
      </c>
      <c r="AG886" t="s" s="0">
        <v>19229</v>
      </c>
      <c r="AH886" t="s" s="0">
        <v>19230</v>
      </c>
      <c r="AI886" t="s" s="0">
        <v>19231</v>
      </c>
      <c r="AJ886" t="s" s="0">
        <v>19232</v>
      </c>
      <c r="AK886" t="s" s="0">
        <v>81</v>
      </c>
      <c r="AL886" t="s" s="0">
        <v>1883</v>
      </c>
      <c r="AM886" t="s" s="0">
        <v>175</v>
      </c>
      <c r="AN886" t="s" s="0">
        <v>175</v>
      </c>
      <c r="AO886" t="s" s="0">
        <v>316</v>
      </c>
      <c r="AP886" t="s" s="0">
        <v>381</v>
      </c>
      <c r="AQ886" t="s" s="0">
        <v>136</v>
      </c>
      <c r="AR886" t="s" s="0">
        <v>137</v>
      </c>
      <c r="AS886" t="s" s="0">
        <v>138</v>
      </c>
      <c r="AT886" t="s" s="0">
        <v>1860</v>
      </c>
      <c r="AU886" t="s" s="0">
        <v>1861</v>
      </c>
      <c r="AV886" t="s" s="0">
        <v>81</v>
      </c>
      <c r="AW886" t="s" s="0">
        <v>1862</v>
      </c>
      <c r="AX886" t="s" s="0">
        <v>1863</v>
      </c>
      <c r="AY886" t="s" s="0">
        <v>19233</v>
      </c>
      <c r="AZ886" t="s" s="0">
        <v>290</v>
      </c>
      <c r="BA886" t="s" s="0">
        <v>3761</v>
      </c>
      <c r="BB886" t="s" s="0">
        <v>81</v>
      </c>
      <c r="BC886" t="s" s="0">
        <v>81</v>
      </c>
      <c r="BD886" t="s" s="0">
        <v>81</v>
      </c>
      <c r="BE886" t="s" s="0">
        <v>81</v>
      </c>
      <c r="BF886" t="s" s="0">
        <v>81</v>
      </c>
      <c r="BG886" t="s" s="0">
        <v>81</v>
      </c>
      <c r="BH886" t="s" s="0">
        <v>81</v>
      </c>
      <c r="BI886" t="s" s="0">
        <v>19234</v>
      </c>
      <c r="BJ886" t="s" s="0">
        <v>19235</v>
      </c>
      <c r="BK886" t="s" s="1762">
        <f>HYPERLINK("http://dx.doi.org/10.1016/j.knosys.2025.114889","http://dx.doi.org/10.1016/j.knosys.2025.114889")</f>
        <v>19236</v>
      </c>
      <c r="BL886" t="s" s="0">
        <v>81</v>
      </c>
      <c r="BM886" t="s" s="0">
        <v>2353</v>
      </c>
      <c r="BN886" t="s" s="0">
        <v>486</v>
      </c>
      <c r="BO886" t="s" s="0">
        <v>409</v>
      </c>
      <c r="BP886" t="s" s="0">
        <v>152</v>
      </c>
      <c r="BQ886" t="s" s="0">
        <v>19237</v>
      </c>
      <c r="BR886" t="s" s="0">
        <v>81</v>
      </c>
      <c r="BS886" t="s" s="0">
        <v>19238</v>
      </c>
      <c r="BT886" t="s" s="1763">
        <f>HYPERLINK("https://www.webofscience.com/wos/woscc/full-record/WOS:001620353700011","View Record in Web of Science")</f>
        <v>114</v>
      </c>
      <c r="BU886" t="s" s="0">
        <v>81</v>
      </c>
      <c r="BV886" t="s" s="0">
        <v>81</v>
      </c>
      <c r="BW886" t="s" s="0">
        <v>81</v>
      </c>
      <c r="BX886" t="s" s="0">
        <v>116</v>
      </c>
    </row>
    <row r="887">
      <c r="A887" t="s" s="0">
        <v>77</v>
      </c>
      <c r="B887" t="s" s="0">
        <v>77</v>
      </c>
      <c r="C887" t="s" s="0">
        <v>77</v>
      </c>
      <c r="D887" t="s" s="0">
        <v>77</v>
      </c>
      <c r="E887" t="s" s="0">
        <v>19239</v>
      </c>
      <c r="F887" t="s" s="0">
        <v>19240</v>
      </c>
      <c r="G887" t="s" s="0">
        <v>19241</v>
      </c>
      <c r="H887" t="s" s="0">
        <v>81</v>
      </c>
      <c r="I887" t="s" s="0">
        <v>82</v>
      </c>
      <c r="J887" t="s" s="0">
        <v>19242</v>
      </c>
      <c r="K887" t="s" s="0">
        <v>19243</v>
      </c>
      <c r="L887" t="s" s="0">
        <v>81</v>
      </c>
      <c r="M887" t="s" s="0">
        <v>81</v>
      </c>
      <c r="N887" t="s" s="0">
        <v>81</v>
      </c>
      <c r="O887" t="s" s="0">
        <v>19244</v>
      </c>
      <c r="P887" t="s" s="0">
        <v>81</v>
      </c>
      <c r="Q887" t="s" s="0">
        <v>87</v>
      </c>
      <c r="R887" t="s" s="0">
        <v>81</v>
      </c>
      <c r="S887" t="s" s="0">
        <v>81</v>
      </c>
      <c r="T887" t="s" s="0">
        <v>81</v>
      </c>
      <c r="U887" t="s" s="0">
        <v>81</v>
      </c>
      <c r="V887" t="s" s="0">
        <v>19245</v>
      </c>
      <c r="W887" t="s" s="0">
        <v>4372</v>
      </c>
      <c r="X887" t="s" s="0">
        <v>81</v>
      </c>
      <c r="Y887" t="s" s="0">
        <v>81</v>
      </c>
      <c r="Z887" t="s" s="0">
        <v>90</v>
      </c>
      <c r="AA887" t="s" s="0">
        <v>91</v>
      </c>
      <c r="AB887" t="s" s="0">
        <v>81</v>
      </c>
      <c r="AC887" t="s" s="0">
        <v>81</v>
      </c>
      <c r="AD887" t="s" s="0">
        <v>81</v>
      </c>
      <c r="AE887" t="s" s="0">
        <v>81</v>
      </c>
      <c r="AF887" t="s" s="0">
        <v>81</v>
      </c>
      <c r="AG887" t="s" s="0">
        <v>19246</v>
      </c>
      <c r="AH887" t="s" s="0">
        <v>19247</v>
      </c>
      <c r="AI887" t="s" s="0">
        <v>81</v>
      </c>
      <c r="AJ887" t="s" s="0">
        <v>81</v>
      </c>
      <c r="AK887" t="s" s="0">
        <v>81</v>
      </c>
      <c r="AL887" t="s" s="0">
        <v>19248</v>
      </c>
      <c r="AM887" t="s" s="0">
        <v>77</v>
      </c>
      <c r="AN887" t="s" s="0">
        <v>77</v>
      </c>
      <c r="AO887" t="s" s="0">
        <v>77</v>
      </c>
      <c r="AP887" t="s" s="0">
        <v>77</v>
      </c>
      <c r="AQ887" t="s" s="0">
        <v>1344</v>
      </c>
      <c r="AR887" t="s" s="0">
        <v>1345</v>
      </c>
      <c r="AS887" t="s" s="0">
        <v>1346</v>
      </c>
      <c r="AT887" t="s" s="0">
        <v>4376</v>
      </c>
      <c r="AU887" t="s" s="0">
        <v>4377</v>
      </c>
      <c r="AV887" t="s" s="0">
        <v>81</v>
      </c>
      <c r="AW887" t="s" s="0">
        <v>4378</v>
      </c>
      <c r="AX887" t="s" s="0">
        <v>4379</v>
      </c>
      <c r="AY887" t="s" s="0">
        <v>6101</v>
      </c>
      <c r="AZ887" t="s" s="0">
        <v>103</v>
      </c>
      <c r="BA887" t="s" s="0">
        <v>4125</v>
      </c>
      <c r="BB887" t="s" s="0">
        <v>81</v>
      </c>
      <c r="BC887" t="s" s="0">
        <v>81</v>
      </c>
      <c r="BD887" t="s" s="0">
        <v>81</v>
      </c>
      <c r="BE887" t="s" s="0">
        <v>81</v>
      </c>
      <c r="BF887" t="s" s="0">
        <v>81</v>
      </c>
      <c r="BG887" t="s" s="0">
        <v>81</v>
      </c>
      <c r="BH887" t="s" s="0">
        <v>81</v>
      </c>
      <c r="BI887" t="s" s="0">
        <v>19249</v>
      </c>
      <c r="BJ887" t="s" s="0">
        <v>19250</v>
      </c>
      <c r="BK887" t="s" s="1764">
        <f>HYPERLINK("http://dx.doi.org/10.1016/j.compmedimag.2026.102807","http://dx.doi.org/10.1016/j.compmedimag.2026.102807")</f>
        <v>19251</v>
      </c>
      <c r="BL887" t="s" s="0">
        <v>81</v>
      </c>
      <c r="BM887" t="s" s="0">
        <v>81</v>
      </c>
      <c r="BN887" t="s" s="0">
        <v>671</v>
      </c>
      <c r="BO887" t="s" s="0">
        <v>4383</v>
      </c>
      <c r="BP887" t="s" s="0">
        <v>4384</v>
      </c>
      <c r="BQ887" t="s" s="0">
        <v>19252</v>
      </c>
      <c r="BR887" t="s" s="0">
        <v>19253</v>
      </c>
      <c r="BS887" t="s" s="0">
        <v>19254</v>
      </c>
      <c r="BT887" t="s" s="1765">
        <f>HYPERLINK("https://www.webofscience.com/wos/woscc/full-record/WOS:001850805500001","View Record in Web of Science")</f>
        <v>114</v>
      </c>
      <c r="BU887" t="s" s="0">
        <v>81</v>
      </c>
      <c r="BV887" t="s" s="0">
        <v>81</v>
      </c>
      <c r="BW887" t="s" s="0">
        <v>81</v>
      </c>
      <c r="BX887" t="s" s="0">
        <v>116</v>
      </c>
    </row>
    <row r="888">
      <c r="A888" t="s" s="0">
        <v>77</v>
      </c>
      <c r="B888" t="s" s="0">
        <v>77</v>
      </c>
      <c r="C888" t="s" s="0">
        <v>77</v>
      </c>
      <c r="D888" t="s" s="0">
        <v>77</v>
      </c>
      <c r="E888" t="s" s="0">
        <v>19255</v>
      </c>
      <c r="F888" t="s" s="0">
        <v>19256</v>
      </c>
      <c r="G888" t="s" s="0">
        <v>19257</v>
      </c>
      <c r="H888" t="s" s="0">
        <v>81</v>
      </c>
      <c r="I888" t="s" s="0">
        <v>82</v>
      </c>
      <c r="J888" t="s" s="0">
        <v>19258</v>
      </c>
      <c r="K888" t="s" s="0">
        <v>19259</v>
      </c>
      <c r="L888" t="s" s="0">
        <v>19260</v>
      </c>
      <c r="M888" t="s" s="0">
        <v>19261</v>
      </c>
      <c r="N888" t="s" s="0">
        <v>19262</v>
      </c>
      <c r="O888" t="s" s="0">
        <v>19263</v>
      </c>
      <c r="P888" t="s" s="0">
        <v>19264</v>
      </c>
      <c r="Q888" t="s" s="0">
        <v>87</v>
      </c>
      <c r="R888" t="s" s="0">
        <v>81</v>
      </c>
      <c r="S888" t="s" s="0">
        <v>81</v>
      </c>
      <c r="T888" t="s" s="0">
        <v>81</v>
      </c>
      <c r="U888" t="s" s="0">
        <v>81</v>
      </c>
      <c r="V888" t="s" s="0">
        <v>19265</v>
      </c>
      <c r="W888" t="s" s="0">
        <v>17004</v>
      </c>
      <c r="X888" t="s" s="0">
        <v>81</v>
      </c>
      <c r="Y888" t="s" s="0">
        <v>81</v>
      </c>
      <c r="Z888" t="s" s="0">
        <v>90</v>
      </c>
      <c r="AA888" t="s" s="0">
        <v>91</v>
      </c>
      <c r="AB888" t="s" s="0">
        <v>81</v>
      </c>
      <c r="AC888" t="s" s="0">
        <v>81</v>
      </c>
      <c r="AD888" t="s" s="0">
        <v>81</v>
      </c>
      <c r="AE888" t="s" s="0">
        <v>81</v>
      </c>
      <c r="AF888" t="s" s="0">
        <v>81</v>
      </c>
      <c r="AG888" t="s" s="0">
        <v>19266</v>
      </c>
      <c r="AH888" t="s" s="0">
        <v>81</v>
      </c>
      <c r="AI888" t="s" s="0">
        <v>81</v>
      </c>
      <c r="AJ888" t="s" s="0">
        <v>81</v>
      </c>
      <c r="AK888" t="s" s="0">
        <v>81</v>
      </c>
      <c r="AL888" t="s" s="0">
        <v>150</v>
      </c>
      <c r="AM888" t="s" s="0">
        <v>156</v>
      </c>
      <c r="AN888" t="s" s="0">
        <v>156</v>
      </c>
      <c r="AO888" t="s" s="0">
        <v>77</v>
      </c>
      <c r="AP888" t="s" s="0">
        <v>77</v>
      </c>
      <c r="AQ888" t="s" s="0">
        <v>368</v>
      </c>
      <c r="AR888" t="s" s="0">
        <v>369</v>
      </c>
      <c r="AS888" t="s" s="0">
        <v>370</v>
      </c>
      <c r="AT888" t="s" s="0">
        <v>81</v>
      </c>
      <c r="AU888" t="s" s="0">
        <v>17008</v>
      </c>
      <c r="AV888" t="s" s="0">
        <v>81</v>
      </c>
      <c r="AW888" t="s" s="0">
        <v>17009</v>
      </c>
      <c r="AX888" t="s" s="0">
        <v>17010</v>
      </c>
      <c r="AY888" t="s" s="0">
        <v>12585</v>
      </c>
      <c r="AZ888" t="s" s="0">
        <v>103</v>
      </c>
      <c r="BA888" t="s" s="0">
        <v>222</v>
      </c>
      <c r="BB888" t="s" s="0">
        <v>81</v>
      </c>
      <c r="BC888" t="s" s="0">
        <v>81</v>
      </c>
      <c r="BD888" t="s" s="0">
        <v>81</v>
      </c>
      <c r="BE888" t="s" s="0">
        <v>81</v>
      </c>
      <c r="BF888" t="s" s="0">
        <v>81</v>
      </c>
      <c r="BG888" t="s" s="0">
        <v>81</v>
      </c>
      <c r="BH888" t="s" s="0">
        <v>81</v>
      </c>
      <c r="BI888" t="s" s="0">
        <v>19267</v>
      </c>
      <c r="BJ888" t="s" s="0">
        <v>19268</v>
      </c>
      <c r="BK888" t="s" s="1766">
        <f>HYPERLINK("http://dx.doi.org/10.3389/fphys.2026.1830956","http://dx.doi.org/10.3389/fphys.2026.1830956")</f>
        <v>19269</v>
      </c>
      <c r="BL888" t="s" s="0">
        <v>81</v>
      </c>
      <c r="BM888" t="s" s="0">
        <v>948</v>
      </c>
      <c r="BN888" t="s" s="0">
        <v>191</v>
      </c>
      <c r="BO888" t="s" s="0">
        <v>17015</v>
      </c>
      <c r="BP888" t="s" s="0">
        <v>17015</v>
      </c>
      <c r="BQ888" t="s" s="0">
        <v>19270</v>
      </c>
      <c r="BR888" t="s" s="0">
        <v>19271</v>
      </c>
      <c r="BS888" t="s" s="0">
        <v>19272</v>
      </c>
      <c r="BT888" t="s" s="1767">
        <f>HYPERLINK("https://www.webofscience.com/wos/woscc/full-record/WOS:001756724000001","View Record in Web of Science")</f>
        <v>114</v>
      </c>
      <c r="BU888" t="s" s="0">
        <v>301</v>
      </c>
      <c r="BV888" t="s" s="0">
        <v>81</v>
      </c>
      <c r="BW888" t="s" s="0">
        <v>81</v>
      </c>
      <c r="BX888" t="s" s="0">
        <v>116</v>
      </c>
    </row>
    <row r="889">
      <c r="A889" t="s" s="0">
        <v>77</v>
      </c>
      <c r="B889" t="s" s="0">
        <v>77</v>
      </c>
      <c r="C889" t="s" s="0">
        <v>156</v>
      </c>
      <c r="D889" t="s" s="0">
        <v>77</v>
      </c>
      <c r="E889" t="s" s="0">
        <v>19273</v>
      </c>
      <c r="F889" t="s" s="0">
        <v>19274</v>
      </c>
      <c r="G889" t="s" s="0">
        <v>19275</v>
      </c>
      <c r="H889" t="s" s="0">
        <v>81</v>
      </c>
      <c r="I889" t="s" s="0">
        <v>82</v>
      </c>
      <c r="J889" t="s" s="0">
        <v>19276</v>
      </c>
      <c r="K889" t="s" s="0">
        <v>19277</v>
      </c>
      <c r="L889" t="s" s="0">
        <v>19278</v>
      </c>
      <c r="M889" t="s" s="0">
        <v>19278</v>
      </c>
      <c r="N889" t="s" s="0">
        <v>19279</v>
      </c>
      <c r="O889" t="s" s="0">
        <v>19280</v>
      </c>
      <c r="P889" t="s" s="0">
        <v>19281</v>
      </c>
      <c r="Q889" t="s" s="0">
        <v>87</v>
      </c>
      <c r="R889" t="s" s="0">
        <v>81</v>
      </c>
      <c r="S889" t="s" s="0">
        <v>81</v>
      </c>
      <c r="T889" t="s" s="0">
        <v>81</v>
      </c>
      <c r="U889" t="s" s="0">
        <v>81</v>
      </c>
      <c r="V889" t="s" s="0">
        <v>19282</v>
      </c>
      <c r="W889" t="s" s="0">
        <v>19283</v>
      </c>
      <c r="X889" t="s" s="0">
        <v>81</v>
      </c>
      <c r="Y889" t="s" s="0">
        <v>81</v>
      </c>
      <c r="Z889" t="s" s="0">
        <v>90</v>
      </c>
      <c r="AA889" t="s" s="0">
        <v>91</v>
      </c>
      <c r="AB889" t="s" s="0">
        <v>81</v>
      </c>
      <c r="AC889" t="s" s="0">
        <v>81</v>
      </c>
      <c r="AD889" t="s" s="0">
        <v>81</v>
      </c>
      <c r="AE889" t="s" s="0">
        <v>81</v>
      </c>
      <c r="AF889" t="s" s="0">
        <v>81</v>
      </c>
      <c r="AG889" t="s" s="0">
        <v>19284</v>
      </c>
      <c r="AH889" t="s" s="0">
        <v>19285</v>
      </c>
      <c r="AI889" t="s" s="0">
        <v>19286</v>
      </c>
      <c r="AJ889" t="s" s="0">
        <v>19287</v>
      </c>
      <c r="AK889" t="s" s="0">
        <v>81</v>
      </c>
      <c r="AL889" t="s" s="0">
        <v>1442</v>
      </c>
      <c r="AM889" t="s" s="0">
        <v>316</v>
      </c>
      <c r="AN889" t="s" s="0">
        <v>234</v>
      </c>
      <c r="AO889" t="s" s="0">
        <v>97</v>
      </c>
      <c r="AP889" t="s" s="0">
        <v>196</v>
      </c>
      <c r="AQ889" t="s" s="0">
        <v>1344</v>
      </c>
      <c r="AR889" t="s" s="0">
        <v>1345</v>
      </c>
      <c r="AS889" t="s" s="0">
        <v>1346</v>
      </c>
      <c r="AT889" t="s" s="0">
        <v>19288</v>
      </c>
      <c r="AU889" t="s" s="0">
        <v>19289</v>
      </c>
      <c r="AV889" t="s" s="0">
        <v>81</v>
      </c>
      <c r="AW889" t="s" s="0">
        <v>19290</v>
      </c>
      <c r="AX889" t="s" s="0">
        <v>19291</v>
      </c>
      <c r="AY889" t="s" s="0">
        <v>1029</v>
      </c>
      <c r="AZ889" t="s" s="0">
        <v>290</v>
      </c>
      <c r="BA889" t="s" s="0">
        <v>19292</v>
      </c>
      <c r="BB889" t="s" s="0">
        <v>81</v>
      </c>
      <c r="BC889" t="s" s="0">
        <v>81</v>
      </c>
      <c r="BD889" t="s" s="0">
        <v>81</v>
      </c>
      <c r="BE889" t="s" s="0">
        <v>81</v>
      </c>
      <c r="BF889" t="s" s="0">
        <v>81</v>
      </c>
      <c r="BG889" t="s" s="0">
        <v>81</v>
      </c>
      <c r="BH889" t="s" s="0">
        <v>81</v>
      </c>
      <c r="BI889" t="s" s="0">
        <v>19293</v>
      </c>
      <c r="BJ889" t="s" s="0">
        <v>19294</v>
      </c>
      <c r="BK889" t="s" s="1768">
        <f>HYPERLINK("http://dx.doi.org/10.1016/j.clinbiochem.2024.110861","http://dx.doi.org/10.1016/j.clinbiochem.2024.110861")</f>
        <v>19295</v>
      </c>
      <c r="BL889" t="s" s="0">
        <v>81</v>
      </c>
      <c r="BM889" t="s" s="0">
        <v>1183</v>
      </c>
      <c r="BN889" t="s" s="0">
        <v>211</v>
      </c>
      <c r="BO889" t="s" s="0">
        <v>11110</v>
      </c>
      <c r="BP889" t="s" s="0">
        <v>11110</v>
      </c>
      <c r="BQ889" t="s" s="0">
        <v>19296</v>
      </c>
      <c r="BR889" t="s" s="0">
        <v>19297</v>
      </c>
      <c r="BS889" t="s" s="0">
        <v>19298</v>
      </c>
      <c r="BT889" t="s" s="1769">
        <f>HYPERLINK("https://www.webofscience.com/wos/woscc/full-record/WOS:001392487100001","View Record in Web of Science")</f>
        <v>114</v>
      </c>
      <c r="BU889" t="s" s="0">
        <v>155</v>
      </c>
      <c r="BV889" t="s" s="0">
        <v>81</v>
      </c>
      <c r="BW889" t="s" s="0">
        <v>81</v>
      </c>
      <c r="BX889" t="s" s="0">
        <v>116</v>
      </c>
    </row>
    <row r="890">
      <c r="A890" t="s" s="0">
        <v>77</v>
      </c>
      <c r="B890" t="s" s="0">
        <v>77</v>
      </c>
      <c r="C890" t="s" s="0">
        <v>77</v>
      </c>
      <c r="D890" t="s" s="0">
        <v>77</v>
      </c>
      <c r="E890" t="s" s="0">
        <v>19299</v>
      </c>
      <c r="F890" t="s" s="0">
        <v>19300</v>
      </c>
      <c r="G890" t="s" s="0">
        <v>19301</v>
      </c>
      <c r="H890" t="s" s="0">
        <v>81</v>
      </c>
      <c r="I890" t="s" s="0">
        <v>82</v>
      </c>
      <c r="J890" t="s" s="0">
        <v>19302</v>
      </c>
      <c r="K890" t="s" s="0">
        <v>19303</v>
      </c>
      <c r="L890" t="s" s="0">
        <v>19304</v>
      </c>
      <c r="M890" t="s" s="0">
        <v>19305</v>
      </c>
      <c r="N890" t="s" s="0">
        <v>19306</v>
      </c>
      <c r="O890" t="s" s="0">
        <v>19307</v>
      </c>
      <c r="P890" t="s" s="0">
        <v>19308</v>
      </c>
      <c r="Q890" t="s" s="0">
        <v>87</v>
      </c>
      <c r="R890" t="s" s="0">
        <v>81</v>
      </c>
      <c r="S890" t="s" s="0">
        <v>81</v>
      </c>
      <c r="T890" t="s" s="0">
        <v>81</v>
      </c>
      <c r="U890" t="s" s="0">
        <v>81</v>
      </c>
      <c r="V890" t="s" s="0">
        <v>19309</v>
      </c>
      <c r="W890" t="s" s="0">
        <v>3058</v>
      </c>
      <c r="X890" t="s" s="0">
        <v>81</v>
      </c>
      <c r="Y890" t="s" s="0">
        <v>81</v>
      </c>
      <c r="Z890" t="s" s="0">
        <v>90</v>
      </c>
      <c r="AA890" t="s" s="0">
        <v>91</v>
      </c>
      <c r="AB890" t="s" s="0">
        <v>81</v>
      </c>
      <c r="AC890" t="s" s="0">
        <v>81</v>
      </c>
      <c r="AD890" t="s" s="0">
        <v>81</v>
      </c>
      <c r="AE890" t="s" s="0">
        <v>81</v>
      </c>
      <c r="AF890" t="s" s="0">
        <v>81</v>
      </c>
      <c r="AG890" t="s" s="0">
        <v>19310</v>
      </c>
      <c r="AH890" t="s" s="0">
        <v>19311</v>
      </c>
      <c r="AI890" t="s" s="0">
        <v>19312</v>
      </c>
      <c r="AJ890" t="s" s="0">
        <v>19313</v>
      </c>
      <c r="AK890" t="s" s="0">
        <v>81</v>
      </c>
      <c r="AL890" t="s" s="0">
        <v>2447</v>
      </c>
      <c r="AM890" t="s" s="0">
        <v>77</v>
      </c>
      <c r="AN890" t="s" s="0">
        <v>77</v>
      </c>
      <c r="AO890" t="s" s="0">
        <v>77</v>
      </c>
      <c r="AP890" t="s" s="0">
        <v>77</v>
      </c>
      <c r="AQ890" t="s" s="0">
        <v>3061</v>
      </c>
      <c r="AR890" t="s" s="0">
        <v>3062</v>
      </c>
      <c r="AS890" t="s" s="0">
        <v>3063</v>
      </c>
      <c r="AT890" t="s" s="0">
        <v>3064</v>
      </c>
      <c r="AU890" t="s" s="0">
        <v>3065</v>
      </c>
      <c r="AV890" t="s" s="0">
        <v>81</v>
      </c>
      <c r="AW890" t="s" s="0">
        <v>3066</v>
      </c>
      <c r="AX890" t="s" s="0">
        <v>3067</v>
      </c>
      <c r="AY890" t="s" s="0">
        <v>12563</v>
      </c>
      <c r="AZ890" t="s" s="0">
        <v>103</v>
      </c>
      <c r="BA890" t="s" s="0">
        <v>176</v>
      </c>
      <c r="BB890" t="s" s="0">
        <v>81</v>
      </c>
      <c r="BC890" t="s" s="0">
        <v>81</v>
      </c>
      <c r="BD890" t="s" s="0">
        <v>81</v>
      </c>
      <c r="BE890" t="s" s="0">
        <v>81</v>
      </c>
      <c r="BF890" t="s" s="0">
        <v>81</v>
      </c>
      <c r="BG890" t="s" s="0">
        <v>81</v>
      </c>
      <c r="BH890" t="s" s="0">
        <v>81</v>
      </c>
      <c r="BI890" t="s" s="0">
        <v>19314</v>
      </c>
      <c r="BJ890" t="s" s="0">
        <v>19315</v>
      </c>
      <c r="BK890" t="s" s="1770">
        <f>HYPERLINK("http://dx.doi.org/10.2196/89011","http://dx.doi.org/10.2196/89011")</f>
        <v>19316</v>
      </c>
      <c r="BL890" t="s" s="0">
        <v>81</v>
      </c>
      <c r="BM890" t="s" s="0">
        <v>81</v>
      </c>
      <c r="BN890" t="s" s="0">
        <v>925</v>
      </c>
      <c r="BO890" t="s" s="0">
        <v>792</v>
      </c>
      <c r="BP890" t="s" s="0">
        <v>792</v>
      </c>
      <c r="BQ890" t="s" s="0">
        <v>19317</v>
      </c>
      <c r="BR890" t="s" s="0">
        <v>19318</v>
      </c>
      <c r="BS890" t="s" s="0">
        <v>19319</v>
      </c>
      <c r="BT890" t="s" s="1771">
        <f>HYPERLINK("https://www.webofscience.com/wos/woscc/full-record/WOS:001813787600001","View Record in Web of Science")</f>
        <v>114</v>
      </c>
      <c r="BU890" t="s" s="0">
        <v>301</v>
      </c>
      <c r="BV890" t="s" s="0">
        <v>81</v>
      </c>
      <c r="BW890" t="s" s="0">
        <v>81</v>
      </c>
      <c r="BX890" t="s" s="0">
        <v>116</v>
      </c>
    </row>
    <row r="891">
      <c r="A891" t="s" s="0">
        <v>97</v>
      </c>
      <c r="B891" t="s" s="0">
        <v>77</v>
      </c>
      <c r="C891" t="s" s="0">
        <v>156</v>
      </c>
      <c r="D891" t="s" s="0">
        <v>77</v>
      </c>
      <c r="E891" t="s" s="0">
        <v>10345</v>
      </c>
      <c r="F891" t="s" s="0">
        <v>19320</v>
      </c>
      <c r="G891" t="s" s="0">
        <v>10347</v>
      </c>
      <c r="H891" t="s" s="0">
        <v>81</v>
      </c>
      <c r="I891" t="s" s="0">
        <v>82</v>
      </c>
      <c r="J891" t="s" s="0">
        <v>19321</v>
      </c>
      <c r="K891" t="s" s="0">
        <v>10349</v>
      </c>
      <c r="L891" t="s" s="0">
        <v>19322</v>
      </c>
      <c r="M891" t="s" s="0">
        <v>19322</v>
      </c>
      <c r="N891" t="s" s="0">
        <v>19323</v>
      </c>
      <c r="O891" t="s" s="0">
        <v>19324</v>
      </c>
      <c r="P891" t="s" s="0">
        <v>10351</v>
      </c>
      <c r="Q891" t="s" s="0">
        <v>87</v>
      </c>
      <c r="R891" t="s" s="0">
        <v>81</v>
      </c>
      <c r="S891" t="s" s="0">
        <v>81</v>
      </c>
      <c r="T891" t="s" s="0">
        <v>81</v>
      </c>
      <c r="U891" t="s" s="0">
        <v>81</v>
      </c>
      <c r="V891" t="s" s="0">
        <v>19325</v>
      </c>
      <c r="W891" t="s" s="0">
        <v>392</v>
      </c>
      <c r="X891" t="s" s="0">
        <v>81</v>
      </c>
      <c r="Y891" t="s" s="0">
        <v>81</v>
      </c>
      <c r="Z891" t="s" s="0">
        <v>90</v>
      </c>
      <c r="AA891" t="s" s="0">
        <v>91</v>
      </c>
      <c r="AB891" t="s" s="0">
        <v>81</v>
      </c>
      <c r="AC891" t="s" s="0">
        <v>81</v>
      </c>
      <c r="AD891" t="s" s="0">
        <v>81</v>
      </c>
      <c r="AE891" t="s" s="0">
        <v>81</v>
      </c>
      <c r="AF891" t="s" s="0">
        <v>81</v>
      </c>
      <c r="AG891" t="s" s="0">
        <v>19326</v>
      </c>
      <c r="AH891" t="s" s="0">
        <v>81</v>
      </c>
      <c r="AI891" t="s" s="0">
        <v>10355</v>
      </c>
      <c r="AJ891" t="s" s="0">
        <v>19327</v>
      </c>
      <c r="AK891" t="s" s="0">
        <v>81</v>
      </c>
      <c r="AL891" t="s" s="0">
        <v>6271</v>
      </c>
      <c r="AM891" t="s" s="0">
        <v>1785</v>
      </c>
      <c r="AN891" t="s" s="0">
        <v>4581</v>
      </c>
      <c r="AO891" t="s" s="0">
        <v>734</v>
      </c>
      <c r="AP891" t="s" s="0">
        <v>2422</v>
      </c>
      <c r="AQ891" t="s" s="0">
        <v>212</v>
      </c>
      <c r="AR891" t="s" s="0">
        <v>213</v>
      </c>
      <c r="AS891" t="s" s="0">
        <v>214</v>
      </c>
      <c r="AT891" t="s" s="0">
        <v>400</v>
      </c>
      <c r="AU891" t="s" s="0">
        <v>401</v>
      </c>
      <c r="AV891" t="s" s="0">
        <v>81</v>
      </c>
      <c r="AW891" t="s" s="0">
        <v>402</v>
      </c>
      <c r="AX891" t="s" s="0">
        <v>403</v>
      </c>
      <c r="AY891" t="s" s="0">
        <v>5378</v>
      </c>
      <c r="AZ891" t="s" s="0">
        <v>290</v>
      </c>
      <c r="BA891" t="s" s="0">
        <v>1442</v>
      </c>
      <c r="BB891" t="s" s="0">
        <v>97</v>
      </c>
      <c r="BC891" t="s" s="0">
        <v>81</v>
      </c>
      <c r="BD891" t="s" s="0">
        <v>81</v>
      </c>
      <c r="BE891" t="s" s="0">
        <v>81</v>
      </c>
      <c r="BF891" t="s" s="0">
        <v>81</v>
      </c>
      <c r="BG891" t="s" s="0">
        <v>81</v>
      </c>
      <c r="BH891" t="s" s="0">
        <v>81</v>
      </c>
      <c r="BI891" t="s" s="0">
        <v>191</v>
      </c>
      <c r="BJ891" t="s" s="0">
        <v>19328</v>
      </c>
      <c r="BK891" t="s" s="1772">
        <f>HYPERLINK("http://dx.doi.org/10.1007/s10462-025-11422-4","http://dx.doi.org/10.1007/s10462-025-11422-4")</f>
        <v>19329</v>
      </c>
      <c r="BL891" t="s" s="0">
        <v>81</v>
      </c>
      <c r="BM891" t="s" s="0">
        <v>81</v>
      </c>
      <c r="BN891" t="s" s="0">
        <v>543</v>
      </c>
      <c r="BO891" t="s" s="0">
        <v>409</v>
      </c>
      <c r="BP891" t="s" s="0">
        <v>152</v>
      </c>
      <c r="BQ891" t="s" s="0">
        <v>19330</v>
      </c>
      <c r="BR891" t="s" s="0">
        <v>81</v>
      </c>
      <c r="BS891" t="s" s="0">
        <v>19331</v>
      </c>
      <c r="BT891" t="s" s="1773">
        <f>HYPERLINK("https://www.webofscience.com/wos/woscc/full-record/WOS:001614454400003","View Record in Web of Science")</f>
        <v>114</v>
      </c>
      <c r="BU891" t="s" s="0">
        <v>155</v>
      </c>
      <c r="BV891" t="s" s="0">
        <v>81</v>
      </c>
      <c r="BW891" t="s" s="0">
        <v>81</v>
      </c>
      <c r="BX891" t="s" s="0">
        <v>116</v>
      </c>
    </row>
    <row r="892">
      <c r="A892" t="s" s="0">
        <v>77</v>
      </c>
      <c r="B892" t="s" s="0">
        <v>77</v>
      </c>
      <c r="C892" t="s" s="0">
        <v>97</v>
      </c>
      <c r="D892" t="s" s="0">
        <v>77</v>
      </c>
      <c r="E892" t="s" s="0">
        <v>19332</v>
      </c>
      <c r="F892" t="s" s="0">
        <v>19333</v>
      </c>
      <c r="G892" t="s" s="0">
        <v>19334</v>
      </c>
      <c r="H892" t="s" s="0">
        <v>81</v>
      </c>
      <c r="I892" t="s" s="0">
        <v>238</v>
      </c>
      <c r="J892" t="s" s="0">
        <v>19335</v>
      </c>
      <c r="K892" t="s" s="0">
        <v>19336</v>
      </c>
      <c r="L892" t="s" s="0">
        <v>19337</v>
      </c>
      <c r="M892" t="s" s="0">
        <v>19337</v>
      </c>
      <c r="N892" t="s" s="0">
        <v>19338</v>
      </c>
      <c r="O892" t="s" s="0">
        <v>19339</v>
      </c>
      <c r="P892" t="s" s="0">
        <v>19340</v>
      </c>
      <c r="Q892" t="s" s="0">
        <v>87</v>
      </c>
      <c r="R892" t="s" s="0">
        <v>81</v>
      </c>
      <c r="S892" t="s" s="0">
        <v>81</v>
      </c>
      <c r="T892" t="s" s="0">
        <v>81</v>
      </c>
      <c r="U892" t="s" s="0">
        <v>81</v>
      </c>
      <c r="V892" t="s" s="0">
        <v>19341</v>
      </c>
      <c r="W892" t="s" s="0">
        <v>1063</v>
      </c>
      <c r="X892" t="s" s="0">
        <v>81</v>
      </c>
      <c r="Y892" t="s" s="0">
        <v>81</v>
      </c>
      <c r="Z892" t="s" s="0">
        <v>90</v>
      </c>
      <c r="AA892" t="s" s="0">
        <v>91</v>
      </c>
      <c r="AB892" t="s" s="0">
        <v>81</v>
      </c>
      <c r="AC892" t="s" s="0">
        <v>81</v>
      </c>
      <c r="AD892" t="s" s="0">
        <v>81</v>
      </c>
      <c r="AE892" t="s" s="0">
        <v>81</v>
      </c>
      <c r="AF892" t="s" s="0">
        <v>81</v>
      </c>
      <c r="AG892" t="s" s="0">
        <v>19342</v>
      </c>
      <c r="AH892" t="s" s="0">
        <v>19343</v>
      </c>
      <c r="AI892" t="s" s="0">
        <v>19344</v>
      </c>
      <c r="AJ892" t="s" s="0">
        <v>19345</v>
      </c>
      <c r="AK892" t="s" s="0">
        <v>81</v>
      </c>
      <c r="AL892" t="s" s="0">
        <v>914</v>
      </c>
      <c r="AM892" t="s" s="0">
        <v>234</v>
      </c>
      <c r="AN892" t="s" s="0">
        <v>261</v>
      </c>
      <c r="AO892" t="s" s="0">
        <v>77</v>
      </c>
      <c r="AP892" t="s" s="0">
        <v>316</v>
      </c>
      <c r="AQ892" t="s" s="0">
        <v>726</v>
      </c>
      <c r="AR892" t="s" s="0">
        <v>727</v>
      </c>
      <c r="AS892" t="s" s="0">
        <v>728</v>
      </c>
      <c r="AT892" t="s" s="0">
        <v>81</v>
      </c>
      <c r="AU892" t="s" s="0">
        <v>1067</v>
      </c>
      <c r="AV892" t="s" s="0">
        <v>81</v>
      </c>
      <c r="AW892" t="s" s="0">
        <v>1068</v>
      </c>
      <c r="AX892" t="s" s="0">
        <v>1069</v>
      </c>
      <c r="AY892" t="s" s="0">
        <v>5397</v>
      </c>
      <c r="AZ892" t="s" s="0">
        <v>290</v>
      </c>
      <c r="BA892" t="s" s="0">
        <v>381</v>
      </c>
      <c r="BB892" t="s" s="0">
        <v>97</v>
      </c>
      <c r="BC892" t="s" s="0">
        <v>81</v>
      </c>
      <c r="BD892" t="s" s="0">
        <v>81</v>
      </c>
      <c r="BE892" t="s" s="0">
        <v>81</v>
      </c>
      <c r="BF892" t="s" s="0">
        <v>81</v>
      </c>
      <c r="BG892" t="s" s="0">
        <v>81</v>
      </c>
      <c r="BH892" t="s" s="0">
        <v>81</v>
      </c>
      <c r="BI892" t="s" s="0">
        <v>19346</v>
      </c>
      <c r="BJ892" t="s" s="0">
        <v>19347</v>
      </c>
      <c r="BK892" t="s" s="1774">
        <f>HYPERLINK("http://dx.doi.org/10.1002/hsr2.70372","http://dx.doi.org/10.1002/hsr2.70372")</f>
        <v>19348</v>
      </c>
      <c r="BL892" t="s" s="0">
        <v>81</v>
      </c>
      <c r="BM892" t="s" s="0">
        <v>81</v>
      </c>
      <c r="BN892" t="s" s="0">
        <v>211</v>
      </c>
      <c r="BO892" t="s" s="0">
        <v>1074</v>
      </c>
      <c r="BP892" t="s" s="0">
        <v>1075</v>
      </c>
      <c r="BQ892" t="s" s="0">
        <v>19349</v>
      </c>
      <c r="BR892" t="s" s="0">
        <v>19350</v>
      </c>
      <c r="BS892" t="s" s="0">
        <v>19351</v>
      </c>
      <c r="BT892" t="s" s="1775">
        <f>HYPERLINK("https://www.webofscience.com/wos/woscc/full-record/WOS:001401313200001","View Record in Web of Science")</f>
        <v>114</v>
      </c>
      <c r="BU892" t="s" s="0">
        <v>301</v>
      </c>
      <c r="BV892" t="s" s="0">
        <v>81</v>
      </c>
      <c r="BW892" t="s" s="0">
        <v>81</v>
      </c>
      <c r="BX892" t="s" s="0">
        <v>116</v>
      </c>
    </row>
    <row r="893">
      <c r="A893" t="s" s="0">
        <v>77</v>
      </c>
      <c r="B893" t="s" s="0">
        <v>77</v>
      </c>
      <c r="C893" t="s" s="0">
        <v>77</v>
      </c>
      <c r="D893" t="s" s="0">
        <v>77</v>
      </c>
      <c r="E893" t="s" s="0">
        <v>19352</v>
      </c>
      <c r="F893" t="s" s="0">
        <v>19353</v>
      </c>
      <c r="G893" t="s" s="0">
        <v>19354</v>
      </c>
      <c r="H893" t="s" s="0">
        <v>81</v>
      </c>
      <c r="I893" t="s" s="0">
        <v>589</v>
      </c>
      <c r="J893" t="s" s="0">
        <v>19355</v>
      </c>
      <c r="K893" t="s" s="0">
        <v>19356</v>
      </c>
      <c r="L893" t="s" s="0">
        <v>81</v>
      </c>
      <c r="M893" t="s" s="0">
        <v>81</v>
      </c>
      <c r="N893" t="s" s="0">
        <v>81</v>
      </c>
      <c r="O893" t="s" s="0">
        <v>19357</v>
      </c>
      <c r="P893" t="s" s="0">
        <v>19358</v>
      </c>
      <c r="Q893" t="s" s="0">
        <v>87</v>
      </c>
      <c r="R893" t="s" s="0">
        <v>81</v>
      </c>
      <c r="S893" t="s" s="0">
        <v>81</v>
      </c>
      <c r="T893" t="s" s="0">
        <v>81</v>
      </c>
      <c r="U893" t="s" s="0">
        <v>81</v>
      </c>
      <c r="V893" t="s" s="0">
        <v>19359</v>
      </c>
      <c r="W893" t="s" s="0">
        <v>19360</v>
      </c>
      <c r="X893" t="s" s="0">
        <v>81</v>
      </c>
      <c r="Y893" t="s" s="0">
        <v>81</v>
      </c>
      <c r="Z893" t="s" s="0">
        <v>90</v>
      </c>
      <c r="AA893" t="s" s="0">
        <v>1581</v>
      </c>
      <c r="AB893" t="s" s="0">
        <v>81</v>
      </c>
      <c r="AC893" t="s" s="0">
        <v>81</v>
      </c>
      <c r="AD893" t="s" s="0">
        <v>81</v>
      </c>
      <c r="AE893" t="s" s="0">
        <v>81</v>
      </c>
      <c r="AF893" t="s" s="0">
        <v>81</v>
      </c>
      <c r="AG893" t="s" s="0">
        <v>19361</v>
      </c>
      <c r="AH893" t="s" s="0">
        <v>19362</v>
      </c>
      <c r="AI893" t="s" s="0">
        <v>81</v>
      </c>
      <c r="AJ893" t="s" s="0">
        <v>81</v>
      </c>
      <c r="AK893" t="s" s="0">
        <v>81</v>
      </c>
      <c r="AL893" t="s" s="0">
        <v>2733</v>
      </c>
      <c r="AM893" t="s" s="0">
        <v>97</v>
      </c>
      <c r="AN893" t="s" s="0">
        <v>97</v>
      </c>
      <c r="AO893" t="s" s="0">
        <v>261</v>
      </c>
      <c r="AP893" t="s" s="0">
        <v>261</v>
      </c>
      <c r="AQ893" t="s" s="0">
        <v>726</v>
      </c>
      <c r="AR893" t="s" s="0">
        <v>727</v>
      </c>
      <c r="AS893" t="s" s="0">
        <v>728</v>
      </c>
      <c r="AT893" t="s" s="0">
        <v>19363</v>
      </c>
      <c r="AU893" t="s" s="0">
        <v>19364</v>
      </c>
      <c r="AV893" t="s" s="0">
        <v>81</v>
      </c>
      <c r="AW893" t="s" s="0">
        <v>19365</v>
      </c>
      <c r="AX893" t="s" s="0">
        <v>19366</v>
      </c>
      <c r="AY893" t="s" s="0">
        <v>81</v>
      </c>
      <c r="AZ893" t="s" s="0">
        <v>103</v>
      </c>
      <c r="BA893" t="s" s="0">
        <v>81</v>
      </c>
      <c r="BB893" t="s" s="0">
        <v>81</v>
      </c>
      <c r="BC893" t="s" s="0">
        <v>81</v>
      </c>
      <c r="BD893" t="s" s="0">
        <v>81</v>
      </c>
      <c r="BE893" t="s" s="0">
        <v>81</v>
      </c>
      <c r="BF893" t="s" s="0">
        <v>81</v>
      </c>
      <c r="BG893" t="s" s="0">
        <v>81</v>
      </c>
      <c r="BH893" t="s" s="0">
        <v>81</v>
      </c>
      <c r="BI893" t="s" s="0">
        <v>81</v>
      </c>
      <c r="BJ893" t="s" s="0">
        <v>19367</v>
      </c>
      <c r="BK893" t="s" s="1776">
        <f>HYPERLINK("http://dx.doi.org/10.1111/joms.70134","http://dx.doi.org/10.1111/joms.70134")</f>
        <v>19368</v>
      </c>
      <c r="BL893" t="s" s="0">
        <v>81</v>
      </c>
      <c r="BM893" t="s" s="0">
        <v>3366</v>
      </c>
      <c r="BN893" t="s" s="0">
        <v>671</v>
      </c>
      <c r="BO893" t="s" s="0">
        <v>18586</v>
      </c>
      <c r="BP893" t="s" s="0">
        <v>326</v>
      </c>
      <c r="BQ893" t="s" s="0">
        <v>19369</v>
      </c>
      <c r="BR893" t="s" s="0">
        <v>81</v>
      </c>
      <c r="BS893" t="s" s="0">
        <v>19370</v>
      </c>
      <c r="BT893" t="s" s="1777">
        <f>HYPERLINK("https://www.webofscience.com/wos/woscc/full-record/WOS:001818714700001","View Record in Web of Science")</f>
        <v>114</v>
      </c>
      <c r="BU893" t="s" s="0">
        <v>1055</v>
      </c>
      <c r="BV893" t="s" s="0">
        <v>81</v>
      </c>
      <c r="BW893" t="s" s="0">
        <v>81</v>
      </c>
      <c r="BX893" t="s" s="0">
        <v>116</v>
      </c>
    </row>
    <row r="894">
      <c r="A894" t="s" s="0">
        <v>77</v>
      </c>
      <c r="B894" t="s" s="0">
        <v>77</v>
      </c>
      <c r="C894" t="s" s="0">
        <v>77</v>
      </c>
      <c r="D894" t="s" s="0">
        <v>77</v>
      </c>
      <c r="E894" t="s" s="0">
        <v>19371</v>
      </c>
      <c r="F894" t="s" s="0">
        <v>19372</v>
      </c>
      <c r="G894" t="s" s="0">
        <v>19373</v>
      </c>
      <c r="H894" t="s" s="0">
        <v>81</v>
      </c>
      <c r="I894" t="s" s="0">
        <v>82</v>
      </c>
      <c r="J894" t="s" s="0">
        <v>19374</v>
      </c>
      <c r="K894" t="s" s="0">
        <v>19375</v>
      </c>
      <c r="L894" t="s" s="0">
        <v>81</v>
      </c>
      <c r="M894" t="s" s="0">
        <v>81</v>
      </c>
      <c r="N894" t="s" s="0">
        <v>81</v>
      </c>
      <c r="O894" t="s" s="0">
        <v>19376</v>
      </c>
      <c r="P894" t="s" s="0">
        <v>19377</v>
      </c>
      <c r="Q894" t="s" s="0">
        <v>87</v>
      </c>
      <c r="R894" t="s" s="0">
        <v>81</v>
      </c>
      <c r="S894" t="s" s="0">
        <v>81</v>
      </c>
      <c r="T894" t="s" s="0">
        <v>81</v>
      </c>
      <c r="U894" t="s" s="0">
        <v>81</v>
      </c>
      <c r="V894" t="s" s="0">
        <v>19378</v>
      </c>
      <c r="W894" t="s" s="0">
        <v>19379</v>
      </c>
      <c r="X894" t="s" s="0">
        <v>81</v>
      </c>
      <c r="Y894" t="s" s="0">
        <v>81</v>
      </c>
      <c r="Z894" t="s" s="0">
        <v>90</v>
      </c>
      <c r="AA894" t="s" s="0">
        <v>91</v>
      </c>
      <c r="AB894" t="s" s="0">
        <v>81</v>
      </c>
      <c r="AC894" t="s" s="0">
        <v>81</v>
      </c>
      <c r="AD894" t="s" s="0">
        <v>81</v>
      </c>
      <c r="AE894" t="s" s="0">
        <v>81</v>
      </c>
      <c r="AF894" t="s" s="0">
        <v>81</v>
      </c>
      <c r="AG894" t="s" s="0">
        <v>19380</v>
      </c>
      <c r="AH894" t="s" s="0">
        <v>19381</v>
      </c>
      <c r="AI894" t="s" s="0">
        <v>81</v>
      </c>
      <c r="AJ894" t="s" s="0">
        <v>81</v>
      </c>
      <c r="AK894" t="s" s="0">
        <v>81</v>
      </c>
      <c r="AL894" t="s" s="0">
        <v>485</v>
      </c>
      <c r="AM894" t="s" s="0">
        <v>97</v>
      </c>
      <c r="AN894" t="s" s="0">
        <v>97</v>
      </c>
      <c r="AO894" t="s" s="0">
        <v>156</v>
      </c>
      <c r="AP894" t="s" s="0">
        <v>156</v>
      </c>
      <c r="AQ894" t="s" s="0">
        <v>6120</v>
      </c>
      <c r="AR894" t="s" s="0">
        <v>2571</v>
      </c>
      <c r="AS894" t="s" s="0">
        <v>6121</v>
      </c>
      <c r="AT894" t="s" s="0">
        <v>19382</v>
      </c>
      <c r="AU894" t="s" s="0">
        <v>19383</v>
      </c>
      <c r="AV894" t="s" s="0">
        <v>81</v>
      </c>
      <c r="AW894" t="s" s="0">
        <v>19384</v>
      </c>
      <c r="AX894" t="s" s="0">
        <v>19385</v>
      </c>
      <c r="AY894" t="s" s="0">
        <v>675</v>
      </c>
      <c r="AZ894" t="s" s="0">
        <v>103</v>
      </c>
      <c r="BA894" t="s" s="0">
        <v>228</v>
      </c>
      <c r="BB894" t="s" s="0">
        <v>19386</v>
      </c>
      <c r="BC894" t="s" s="0">
        <v>81</v>
      </c>
      <c r="BD894" t="s" s="0">
        <v>81</v>
      </c>
      <c r="BE894" t="s" s="0">
        <v>81</v>
      </c>
      <c r="BF894" t="s" s="0">
        <v>81</v>
      </c>
      <c r="BG894" t="s" s="0">
        <v>81</v>
      </c>
      <c r="BH894" t="s" s="0">
        <v>81</v>
      </c>
      <c r="BI894" t="s" s="0">
        <v>81</v>
      </c>
      <c r="BJ894" t="s" s="0">
        <v>19387</v>
      </c>
      <c r="BK894" t="s" s="1778">
        <f>HYPERLINK("http://dx.doi.org/10.1142/S0219519426400506","http://dx.doi.org/10.1142/S0219519426400506")</f>
        <v>19388</v>
      </c>
      <c r="BL894" t="s" s="0">
        <v>81</v>
      </c>
      <c r="BM894" t="s" s="0">
        <v>143</v>
      </c>
      <c r="BN894" t="s" s="0">
        <v>890</v>
      </c>
      <c r="BO894" t="s" s="0">
        <v>19389</v>
      </c>
      <c r="BP894" t="s" s="0">
        <v>19390</v>
      </c>
      <c r="BQ894" t="s" s="0">
        <v>19391</v>
      </c>
      <c r="BR894" t="s" s="0">
        <v>81</v>
      </c>
      <c r="BS894" t="s" s="0">
        <v>19392</v>
      </c>
      <c r="BT894" t="s" s="1779">
        <f>HYPERLINK("https://www.webofscience.com/wos/woscc/full-record/WOS:001729102400001","View Record in Web of Science")</f>
        <v>114</v>
      </c>
      <c r="BU894" t="s" s="0">
        <v>81</v>
      </c>
      <c r="BV894" t="s" s="0">
        <v>81</v>
      </c>
      <c r="BW894" t="s" s="0">
        <v>81</v>
      </c>
      <c r="BX894" t="s" s="0">
        <v>116</v>
      </c>
    </row>
    <row r="895">
      <c r="A895" t="s" s="0">
        <v>77</v>
      </c>
      <c r="B895" t="s" s="0">
        <v>77</v>
      </c>
      <c r="C895" t="s" s="0">
        <v>97</v>
      </c>
      <c r="D895" t="s" s="0">
        <v>77</v>
      </c>
      <c r="E895" t="s" s="0">
        <v>19393</v>
      </c>
      <c r="F895" t="s" s="0">
        <v>19394</v>
      </c>
      <c r="G895" t="s" s="0">
        <v>19395</v>
      </c>
      <c r="H895" t="s" s="0">
        <v>81</v>
      </c>
      <c r="I895" t="s" s="0">
        <v>238</v>
      </c>
      <c r="J895" t="s" s="0">
        <v>19396</v>
      </c>
      <c r="K895" t="s" s="0">
        <v>19397</v>
      </c>
      <c r="L895" t="s" s="0">
        <v>19398</v>
      </c>
      <c r="M895" t="s" s="0">
        <v>19398</v>
      </c>
      <c r="N895" t="s" s="0">
        <v>19399</v>
      </c>
      <c r="O895" t="s" s="0">
        <v>19400</v>
      </c>
      <c r="P895" t="s" s="0">
        <v>19401</v>
      </c>
      <c r="Q895" t="s" s="0">
        <v>87</v>
      </c>
      <c r="R895" t="s" s="0">
        <v>81</v>
      </c>
      <c r="S895" t="s" s="0">
        <v>81</v>
      </c>
      <c r="T895" t="s" s="0">
        <v>81</v>
      </c>
      <c r="U895" t="s" s="0">
        <v>81</v>
      </c>
      <c r="V895" t="s" s="0">
        <v>19402</v>
      </c>
      <c r="W895" t="s" s="0">
        <v>19403</v>
      </c>
      <c r="X895" t="s" s="0">
        <v>81</v>
      </c>
      <c r="Y895" t="s" s="0">
        <v>81</v>
      </c>
      <c r="Z895" t="s" s="0">
        <v>90</v>
      </c>
      <c r="AA895" t="s" s="0">
        <v>91</v>
      </c>
      <c r="AB895" t="s" s="0">
        <v>81</v>
      </c>
      <c r="AC895" t="s" s="0">
        <v>81</v>
      </c>
      <c r="AD895" t="s" s="0">
        <v>81</v>
      </c>
      <c r="AE895" t="s" s="0">
        <v>81</v>
      </c>
      <c r="AF895" t="s" s="0">
        <v>81</v>
      </c>
      <c r="AG895" t="s" s="0">
        <v>19404</v>
      </c>
      <c r="AH895" t="s" s="0">
        <v>19405</v>
      </c>
      <c r="AI895" t="s" s="0">
        <v>19406</v>
      </c>
      <c r="AJ895" t="s" s="0">
        <v>19407</v>
      </c>
      <c r="AK895" t="s" s="0">
        <v>81</v>
      </c>
      <c r="AL895" t="s" s="0">
        <v>176</v>
      </c>
      <c r="AM895" t="s" s="0">
        <v>156</v>
      </c>
      <c r="AN895" t="s" s="0">
        <v>196</v>
      </c>
      <c r="AO895" t="s" s="0">
        <v>316</v>
      </c>
      <c r="AP895" t="s" s="0">
        <v>210</v>
      </c>
      <c r="AQ895" t="s" s="0">
        <v>428</v>
      </c>
      <c r="AR895" t="s" s="0">
        <v>429</v>
      </c>
      <c r="AS895" t="s" s="0">
        <v>430</v>
      </c>
      <c r="AT895" t="s" s="0">
        <v>19408</v>
      </c>
      <c r="AU895" t="s" s="0">
        <v>19409</v>
      </c>
      <c r="AV895" t="s" s="0">
        <v>81</v>
      </c>
      <c r="AW895" t="s" s="0">
        <v>19410</v>
      </c>
      <c r="AX895" t="s" s="0">
        <v>19411</v>
      </c>
      <c r="AY895" t="s" s="0">
        <v>1940</v>
      </c>
      <c r="AZ895" t="s" s="0">
        <v>103</v>
      </c>
      <c r="BA895" t="s" s="0">
        <v>367</v>
      </c>
      <c r="BB895" t="s" s="0">
        <v>97</v>
      </c>
      <c r="BC895" t="s" s="0">
        <v>81</v>
      </c>
      <c r="BD895" t="s" s="0">
        <v>81</v>
      </c>
      <c r="BE895" t="s" s="0">
        <v>81</v>
      </c>
      <c r="BF895" t="s" s="0">
        <v>81</v>
      </c>
      <c r="BG895" t="s" s="0">
        <v>81</v>
      </c>
      <c r="BH895" t="s" s="0">
        <v>81</v>
      </c>
      <c r="BI895" t="s" s="0">
        <v>19412</v>
      </c>
      <c r="BJ895" t="s" s="0">
        <v>19413</v>
      </c>
      <c r="BK895" t="s" s="1780">
        <f>HYPERLINK("http://dx.doi.org/10.1016/j.cptl.2025.102490","http://dx.doi.org/10.1016/j.cptl.2025.102490")</f>
        <v>19414</v>
      </c>
      <c r="BL895" t="s" s="0">
        <v>81</v>
      </c>
      <c r="BM895" t="s" s="0">
        <v>578</v>
      </c>
      <c r="BN895" t="s" s="0">
        <v>191</v>
      </c>
      <c r="BO895" t="s" s="0">
        <v>6067</v>
      </c>
      <c r="BP895" t="s" s="0">
        <v>6068</v>
      </c>
      <c r="BQ895" t="s" s="0">
        <v>19415</v>
      </c>
      <c r="BR895" t="s" s="0">
        <v>19416</v>
      </c>
      <c r="BS895" t="s" s="0">
        <v>19417</v>
      </c>
      <c r="BT895" t="s" s="1781">
        <f>HYPERLINK("https://www.webofscience.com/wos/woscc/full-record/WOS:001581067400002","View Record in Web of Science")</f>
        <v>114</v>
      </c>
      <c r="BU895" t="s" s="0">
        <v>155</v>
      </c>
      <c r="BV895" t="s" s="0">
        <v>81</v>
      </c>
      <c r="BW895" t="s" s="0">
        <v>81</v>
      </c>
      <c r="BX895" t="s" s="0">
        <v>116</v>
      </c>
    </row>
    <row r="896">
      <c r="A896" t="s" s="0">
        <v>97</v>
      </c>
      <c r="B896" t="s" s="0">
        <v>77</v>
      </c>
      <c r="C896" t="s" s="0">
        <v>133</v>
      </c>
      <c r="D896" t="s" s="0">
        <v>97</v>
      </c>
      <c r="E896" t="s" s="0">
        <v>19418</v>
      </c>
      <c r="F896" t="s" s="0">
        <v>19419</v>
      </c>
      <c r="G896" t="s" s="0">
        <v>19420</v>
      </c>
      <c r="H896" t="s" s="0">
        <v>81</v>
      </c>
      <c r="I896" t="s" s="0">
        <v>82</v>
      </c>
      <c r="J896" t="s" s="0">
        <v>19421</v>
      </c>
      <c r="K896" t="s" s="0">
        <v>19422</v>
      </c>
      <c r="L896" t="s" s="0">
        <v>19423</v>
      </c>
      <c r="M896" t="s" s="0">
        <v>19424</v>
      </c>
      <c r="N896" t="s" s="0">
        <v>19425</v>
      </c>
      <c r="O896" t="s" s="0">
        <v>19426</v>
      </c>
      <c r="P896" t="s" s="0">
        <v>19427</v>
      </c>
      <c r="Q896" t="s" s="0">
        <v>87</v>
      </c>
      <c r="R896" t="s" s="0">
        <v>81</v>
      </c>
      <c r="S896" t="s" s="0">
        <v>81</v>
      </c>
      <c r="T896" t="s" s="0">
        <v>81</v>
      </c>
      <c r="U896" t="s" s="0">
        <v>81</v>
      </c>
      <c r="V896" t="s" s="0">
        <v>19428</v>
      </c>
      <c r="W896" t="s" s="0">
        <v>392</v>
      </c>
      <c r="X896" t="s" s="0">
        <v>81</v>
      </c>
      <c r="Y896" t="s" s="0">
        <v>81</v>
      </c>
      <c r="Z896" t="s" s="0">
        <v>90</v>
      </c>
      <c r="AA896" t="s" s="0">
        <v>91</v>
      </c>
      <c r="AB896" t="s" s="0">
        <v>81</v>
      </c>
      <c r="AC896" t="s" s="0">
        <v>81</v>
      </c>
      <c r="AD896" t="s" s="0">
        <v>81</v>
      </c>
      <c r="AE896" t="s" s="0">
        <v>81</v>
      </c>
      <c r="AF896" t="s" s="0">
        <v>81</v>
      </c>
      <c r="AG896" t="s" s="0">
        <v>19429</v>
      </c>
      <c r="AH896" t="s" s="0">
        <v>19430</v>
      </c>
      <c r="AI896" t="s" s="0">
        <v>19431</v>
      </c>
      <c r="AJ896" t="s" s="0">
        <v>19432</v>
      </c>
      <c r="AK896" t="s" s="0">
        <v>81</v>
      </c>
      <c r="AL896" t="s" s="0">
        <v>7123</v>
      </c>
      <c r="AM896" t="s" s="0">
        <v>1685</v>
      </c>
      <c r="AN896" t="s" s="0">
        <v>8705</v>
      </c>
      <c r="AO896" t="s" s="0">
        <v>191</v>
      </c>
      <c r="AP896" t="s" s="0">
        <v>5576</v>
      </c>
      <c r="AQ896" t="s" s="0">
        <v>212</v>
      </c>
      <c r="AR896" t="s" s="0">
        <v>213</v>
      </c>
      <c r="AS896" t="s" s="0">
        <v>214</v>
      </c>
      <c r="AT896" t="s" s="0">
        <v>400</v>
      </c>
      <c r="AU896" t="s" s="0">
        <v>401</v>
      </c>
      <c r="AV896" t="s" s="0">
        <v>81</v>
      </c>
      <c r="AW896" t="s" s="0">
        <v>402</v>
      </c>
      <c r="AX896" t="s" s="0">
        <v>403</v>
      </c>
      <c r="AY896" t="s" s="0">
        <v>6339</v>
      </c>
      <c r="AZ896" t="s" s="0">
        <v>260</v>
      </c>
      <c r="BA896" t="s" s="0">
        <v>1785</v>
      </c>
      <c r="BB896" t="s" s="0">
        <v>191</v>
      </c>
      <c r="BC896" t="s" s="0">
        <v>81</v>
      </c>
      <c r="BD896" t="s" s="0">
        <v>81</v>
      </c>
      <c r="BE896" t="s" s="0">
        <v>81</v>
      </c>
      <c r="BF896" t="s" s="0">
        <v>81</v>
      </c>
      <c r="BG896" t="s" s="0">
        <v>19433</v>
      </c>
      <c r="BH896" t="s" s="0">
        <v>19434</v>
      </c>
      <c r="BI896" t="s" s="0">
        <v>81</v>
      </c>
      <c r="BJ896" t="s" s="0">
        <v>19435</v>
      </c>
      <c r="BK896" t="s" s="1782">
        <f>HYPERLINK("http://dx.doi.org/10.1007/s10462-023-10420-8","http://dx.doi.org/10.1007/s10462-023-10420-8")</f>
        <v>19436</v>
      </c>
      <c r="BL896" t="s" s="0">
        <v>81</v>
      </c>
      <c r="BM896" t="s" s="0">
        <v>3233</v>
      </c>
      <c r="BN896" t="s" s="0">
        <v>253</v>
      </c>
      <c r="BO896" t="s" s="0">
        <v>409</v>
      </c>
      <c r="BP896" t="s" s="0">
        <v>152</v>
      </c>
      <c r="BQ896" t="s" s="0">
        <v>19437</v>
      </c>
      <c r="BR896" t="s" s="0">
        <v>19438</v>
      </c>
      <c r="BS896" t="s" s="0">
        <v>19439</v>
      </c>
      <c r="BT896" t="s" s="1783">
        <f>HYPERLINK("https://www.webofscience.com/wos/woscc/full-record/WOS:000960980500002","View Record in Web of Science")</f>
        <v>114</v>
      </c>
      <c r="BU896" t="s" s="0">
        <v>155</v>
      </c>
      <c r="BV896" t="s" s="0">
        <v>81</v>
      </c>
      <c r="BW896" t="s" s="0">
        <v>81</v>
      </c>
      <c r="BX896" t="s" s="0">
        <v>116</v>
      </c>
    </row>
    <row r="897">
      <c r="A897" t="s" s="0">
        <v>77</v>
      </c>
      <c r="B897" t="s" s="0">
        <v>77</v>
      </c>
      <c r="C897" t="s" s="0">
        <v>77</v>
      </c>
      <c r="D897" t="s" s="0">
        <v>77</v>
      </c>
      <c r="E897" t="s" s="0">
        <v>19440</v>
      </c>
      <c r="F897" t="s" s="0">
        <v>19441</v>
      </c>
      <c r="G897" t="s" s="0">
        <v>19442</v>
      </c>
      <c r="H897" t="s" s="0">
        <v>81</v>
      </c>
      <c r="I897" t="s" s="0">
        <v>82</v>
      </c>
      <c r="J897" t="s" s="0">
        <v>19443</v>
      </c>
      <c r="K897" t="s" s="0">
        <v>19444</v>
      </c>
      <c r="L897" t="s" s="0">
        <v>81</v>
      </c>
      <c r="M897" t="s" s="0">
        <v>81</v>
      </c>
      <c r="N897" t="s" s="0">
        <v>81</v>
      </c>
      <c r="O897" t="s" s="0">
        <v>19445</v>
      </c>
      <c r="P897" t="s" s="0">
        <v>19446</v>
      </c>
      <c r="Q897" t="s" s="0">
        <v>87</v>
      </c>
      <c r="R897" t="s" s="0">
        <v>81</v>
      </c>
      <c r="S897" t="s" s="0">
        <v>81</v>
      </c>
      <c r="T897" t="s" s="0">
        <v>81</v>
      </c>
      <c r="U897" t="s" s="0">
        <v>81</v>
      </c>
      <c r="V897" t="s" s="0">
        <v>19447</v>
      </c>
      <c r="W897" t="s" s="0">
        <v>19448</v>
      </c>
      <c r="X897" t="s" s="0">
        <v>81</v>
      </c>
      <c r="Y897" t="s" s="0">
        <v>81</v>
      </c>
      <c r="Z897" t="s" s="0">
        <v>90</v>
      </c>
      <c r="AA897" t="s" s="0">
        <v>91</v>
      </c>
      <c r="AB897" t="s" s="0">
        <v>81</v>
      </c>
      <c r="AC897" t="s" s="0">
        <v>81</v>
      </c>
      <c r="AD897" t="s" s="0">
        <v>81</v>
      </c>
      <c r="AE897" t="s" s="0">
        <v>81</v>
      </c>
      <c r="AF897" t="s" s="0">
        <v>81</v>
      </c>
      <c r="AG897" t="s" s="0">
        <v>19449</v>
      </c>
      <c r="AH897" t="s" s="0">
        <v>19450</v>
      </c>
      <c r="AI897" t="s" s="0">
        <v>81</v>
      </c>
      <c r="AJ897" t="s" s="0">
        <v>81</v>
      </c>
      <c r="AK897" t="s" s="0">
        <v>81</v>
      </c>
      <c r="AL897" t="s" s="0">
        <v>5938</v>
      </c>
      <c r="AM897" t="s" s="0">
        <v>97</v>
      </c>
      <c r="AN897" t="s" s="0">
        <v>97</v>
      </c>
      <c r="AO897" t="s" s="0">
        <v>156</v>
      </c>
      <c r="AP897" t="s" s="0">
        <v>925</v>
      </c>
      <c r="AQ897" t="s" s="0">
        <v>19451</v>
      </c>
      <c r="AR897" t="s" s="0">
        <v>19452</v>
      </c>
      <c r="AS897" t="s" s="0">
        <v>19453</v>
      </c>
      <c r="AT897" t="s" s="0">
        <v>19454</v>
      </c>
      <c r="AU897" t="s" s="0">
        <v>19455</v>
      </c>
      <c r="AV897" t="s" s="0">
        <v>81</v>
      </c>
      <c r="AW897" t="s" s="0">
        <v>19456</v>
      </c>
      <c r="AX897" t="s" s="0">
        <v>19457</v>
      </c>
      <c r="AY897" t="s" s="0">
        <v>11362</v>
      </c>
      <c r="AZ897" t="s" s="0">
        <v>290</v>
      </c>
      <c r="BA897" t="s" s="0">
        <v>173</v>
      </c>
      <c r="BB897" t="s" s="0">
        <v>156</v>
      </c>
      <c r="BC897" t="s" s="0">
        <v>81</v>
      </c>
      <c r="BD897" t="s" s="0">
        <v>81</v>
      </c>
      <c r="BE897" t="s" s="0">
        <v>81</v>
      </c>
      <c r="BF897" t="s" s="0">
        <v>81</v>
      </c>
      <c r="BG897" t="s" s="0">
        <v>11524</v>
      </c>
      <c r="BH897" t="s" s="0">
        <v>8021</v>
      </c>
      <c r="BI897" t="s" s="0">
        <v>81</v>
      </c>
      <c r="BJ897" t="s" s="0">
        <v>19458</v>
      </c>
      <c r="BK897" t="s" s="1784">
        <f>HYPERLINK("http://dx.doi.org/10.1089/blr.2025.360002.jj","http://dx.doi.org/10.1089/blr.2025.360002.jj")</f>
        <v>19459</v>
      </c>
      <c r="BL897" t="s" s="0">
        <v>81</v>
      </c>
      <c r="BM897" t="s" s="0">
        <v>2502</v>
      </c>
      <c r="BN897" t="s" s="0">
        <v>434</v>
      </c>
      <c r="BO897" t="s" s="0">
        <v>19460</v>
      </c>
      <c r="BP897" t="s" s="0">
        <v>19460</v>
      </c>
      <c r="BQ897" t="s" s="0">
        <v>19461</v>
      </c>
      <c r="BR897" t="s" s="0">
        <v>81</v>
      </c>
      <c r="BS897" t="s" s="0">
        <v>19462</v>
      </c>
      <c r="BT897" t="s" s="1785">
        <f>HYPERLINK("https://www.webofscience.com/wos/woscc/full-record/WOS:001463113200001","View Record in Web of Science")</f>
        <v>114</v>
      </c>
      <c r="BU897" t="s" s="0">
        <v>81</v>
      </c>
      <c r="BV897" t="s" s="0">
        <v>81</v>
      </c>
      <c r="BW897" t="s" s="0">
        <v>81</v>
      </c>
      <c r="BX897" t="s" s="0">
        <v>116</v>
      </c>
    </row>
    <row r="898">
      <c r="A898" t="s" s="0">
        <v>77</v>
      </c>
      <c r="B898" t="s" s="0">
        <v>77</v>
      </c>
      <c r="C898" t="s" s="0">
        <v>97</v>
      </c>
      <c r="D898" t="s" s="0">
        <v>77</v>
      </c>
      <c r="E898" t="s" s="0">
        <v>19463</v>
      </c>
      <c r="F898" t="s" s="0">
        <v>19464</v>
      </c>
      <c r="G898" t="s" s="0">
        <v>19465</v>
      </c>
      <c r="H898" t="s" s="0">
        <v>81</v>
      </c>
      <c r="I898" t="s" s="0">
        <v>82</v>
      </c>
      <c r="J898" t="s" s="0">
        <v>19466</v>
      </c>
      <c r="K898" t="s" s="0">
        <v>19467</v>
      </c>
      <c r="L898" t="s" s="0">
        <v>81</v>
      </c>
      <c r="M898" t="s" s="0">
        <v>81</v>
      </c>
      <c r="N898" t="s" s="0">
        <v>81</v>
      </c>
      <c r="O898" t="s" s="0">
        <v>19468</v>
      </c>
      <c r="P898" t="s" s="0">
        <v>19469</v>
      </c>
      <c r="Q898" t="s" s="0">
        <v>87</v>
      </c>
      <c r="R898" t="s" s="0">
        <v>81</v>
      </c>
      <c r="S898" t="s" s="0">
        <v>81</v>
      </c>
      <c r="T898" t="s" s="0">
        <v>81</v>
      </c>
      <c r="U898" t="s" s="0">
        <v>81</v>
      </c>
      <c r="V898" t="s" s="0">
        <v>19470</v>
      </c>
      <c r="W898" t="s" s="0">
        <v>910</v>
      </c>
      <c r="X898" t="s" s="0">
        <v>81</v>
      </c>
      <c r="Y898" t="s" s="0">
        <v>81</v>
      </c>
      <c r="Z898" t="s" s="0">
        <v>90</v>
      </c>
      <c r="AA898" t="s" s="0">
        <v>91</v>
      </c>
      <c r="AB898" t="s" s="0">
        <v>81</v>
      </c>
      <c r="AC898" t="s" s="0">
        <v>81</v>
      </c>
      <c r="AD898" t="s" s="0">
        <v>81</v>
      </c>
      <c r="AE898" t="s" s="0">
        <v>81</v>
      </c>
      <c r="AF898" t="s" s="0">
        <v>81</v>
      </c>
      <c r="AG898" t="s" s="0">
        <v>19471</v>
      </c>
      <c r="AH898" t="s" s="0">
        <v>81</v>
      </c>
      <c r="AI898" t="s" s="0">
        <v>19472</v>
      </c>
      <c r="AJ898" t="s" s="0">
        <v>19473</v>
      </c>
      <c r="AK898" t="s" s="0">
        <v>81</v>
      </c>
      <c r="AL898" t="s" s="0">
        <v>366</v>
      </c>
      <c r="AM898" t="s" s="0">
        <v>196</v>
      </c>
      <c r="AN898" t="s" s="0">
        <v>196</v>
      </c>
      <c r="AO898" t="s" s="0">
        <v>196</v>
      </c>
      <c r="AP898" t="s" s="0">
        <v>175</v>
      </c>
      <c r="AQ898" t="s" s="0">
        <v>915</v>
      </c>
      <c r="AR898" t="s" s="0">
        <v>916</v>
      </c>
      <c r="AS898" t="s" s="0">
        <v>917</v>
      </c>
      <c r="AT898" t="s" s="0">
        <v>918</v>
      </c>
      <c r="AU898" t="s" s="0">
        <v>81</v>
      </c>
      <c r="AV898" t="s" s="0">
        <v>81</v>
      </c>
      <c r="AW898" t="s" s="0">
        <v>919</v>
      </c>
      <c r="AX898" t="s" s="0">
        <v>920</v>
      </c>
      <c r="AY898" t="s" s="0">
        <v>19474</v>
      </c>
      <c r="AZ898" t="s" s="0">
        <v>290</v>
      </c>
      <c r="BA898" t="s" s="0">
        <v>291</v>
      </c>
      <c r="BB898" t="s" s="0">
        <v>97</v>
      </c>
      <c r="BC898" t="s" s="0">
        <v>81</v>
      </c>
      <c r="BD898" t="s" s="0">
        <v>81</v>
      </c>
      <c r="BE898" t="s" s="0">
        <v>81</v>
      </c>
      <c r="BF898" t="s" s="0">
        <v>81</v>
      </c>
      <c r="BG898" t="s" s="0">
        <v>81</v>
      </c>
      <c r="BH898" t="s" s="0">
        <v>81</v>
      </c>
      <c r="BI898" t="s" s="0">
        <v>19475</v>
      </c>
      <c r="BJ898" t="s" s="0">
        <v>19476</v>
      </c>
      <c r="BK898" t="s" s="1786">
        <f>HYPERLINK("http://dx.doi.org/10.1038/s41598-025-28686-z","http://dx.doi.org/10.1038/s41598-025-28686-z")</f>
        <v>19477</v>
      </c>
      <c r="BL898" t="s" s="0">
        <v>81</v>
      </c>
      <c r="BM898" t="s" s="0">
        <v>81</v>
      </c>
      <c r="BN898" t="s" s="0">
        <v>174</v>
      </c>
      <c r="BO898" t="s" s="0">
        <v>926</v>
      </c>
      <c r="BP898" t="s" s="0">
        <v>927</v>
      </c>
      <c r="BQ898" t="s" s="0">
        <v>19478</v>
      </c>
      <c r="BR898" t="s" s="0">
        <v>19479</v>
      </c>
      <c r="BS898" t="s" s="0">
        <v>19480</v>
      </c>
      <c r="BT898" t="s" s="1787">
        <f>HYPERLINK("https://www.webofscience.com/wos/woscc/full-record/WOS:001635632800001","View Record in Web of Science")</f>
        <v>114</v>
      </c>
      <c r="BU898" t="s" s="0">
        <v>301</v>
      </c>
      <c r="BV898" t="s" s="0">
        <v>81</v>
      </c>
      <c r="BW898" t="s" s="0">
        <v>81</v>
      </c>
      <c r="BX898" t="s" s="0">
        <v>116</v>
      </c>
    </row>
    <row r="899">
      <c r="A899" t="s" s="0">
        <v>97</v>
      </c>
      <c r="B899" t="s" s="0">
        <v>77</v>
      </c>
      <c r="C899" t="s" s="0">
        <v>77</v>
      </c>
      <c r="D899" t="s" s="0">
        <v>77</v>
      </c>
      <c r="E899" t="s" s="0">
        <v>19481</v>
      </c>
      <c r="F899" t="s" s="0">
        <v>19482</v>
      </c>
      <c r="G899" t="s" s="0">
        <v>19483</v>
      </c>
      <c r="H899" t="s" s="0">
        <v>81</v>
      </c>
      <c r="I899" t="s" s="0">
        <v>82</v>
      </c>
      <c r="J899" t="s" s="0">
        <v>19484</v>
      </c>
      <c r="K899" t="s" s="0">
        <v>19485</v>
      </c>
      <c r="L899" t="s" s="0">
        <v>81</v>
      </c>
      <c r="M899" t="s" s="0">
        <v>81</v>
      </c>
      <c r="N899" t="s" s="0">
        <v>81</v>
      </c>
      <c r="O899" t="s" s="0">
        <v>19486</v>
      </c>
      <c r="P899" t="s" s="0">
        <v>81</v>
      </c>
      <c r="Q899" t="s" s="0">
        <v>87</v>
      </c>
      <c r="R899" t="s" s="0">
        <v>81</v>
      </c>
      <c r="S899" t="s" s="0">
        <v>81</v>
      </c>
      <c r="T899" t="s" s="0">
        <v>81</v>
      </c>
      <c r="U899" t="s" s="0">
        <v>81</v>
      </c>
      <c r="V899" t="s" s="0">
        <v>19487</v>
      </c>
      <c r="W899" t="s" s="0">
        <v>19488</v>
      </c>
      <c r="X899" t="s" s="0">
        <v>81</v>
      </c>
      <c r="Y899" t="s" s="0">
        <v>81</v>
      </c>
      <c r="Z899" t="s" s="0">
        <v>90</v>
      </c>
      <c r="AA899" t="s" s="0">
        <v>91</v>
      </c>
      <c r="AB899" t="s" s="0">
        <v>81</v>
      </c>
      <c r="AC899" t="s" s="0">
        <v>81</v>
      </c>
      <c r="AD899" t="s" s="0">
        <v>81</v>
      </c>
      <c r="AE899" t="s" s="0">
        <v>81</v>
      </c>
      <c r="AF899" t="s" s="0">
        <v>81</v>
      </c>
      <c r="AG899" t="s" s="0">
        <v>19489</v>
      </c>
      <c r="AH899" t="s" s="0">
        <v>19490</v>
      </c>
      <c r="AI899" t="s" s="0">
        <v>81</v>
      </c>
      <c r="AJ899" t="s" s="0">
        <v>81</v>
      </c>
      <c r="AK899" t="s" s="0">
        <v>81</v>
      </c>
      <c r="AL899" t="s" s="0">
        <v>696</v>
      </c>
      <c r="AM899" t="s" s="0">
        <v>196</v>
      </c>
      <c r="AN899" t="s" s="0">
        <v>175</v>
      </c>
      <c r="AO899" t="s" s="0">
        <v>175</v>
      </c>
      <c r="AP899" t="s" s="0">
        <v>291</v>
      </c>
      <c r="AQ899" t="s" s="0">
        <v>19491</v>
      </c>
      <c r="AR899" t="s" s="0">
        <v>19492</v>
      </c>
      <c r="AS899" t="s" s="0">
        <v>19493</v>
      </c>
      <c r="AT899" t="s" s="0">
        <v>19494</v>
      </c>
      <c r="AU899" t="s" s="0">
        <v>19495</v>
      </c>
      <c r="AV899" t="s" s="0">
        <v>81</v>
      </c>
      <c r="AW899" t="s" s="0">
        <v>19496</v>
      </c>
      <c r="AX899" t="s" s="0">
        <v>19497</v>
      </c>
      <c r="AY899" t="s" s="0">
        <v>615</v>
      </c>
      <c r="AZ899" t="s" s="0">
        <v>290</v>
      </c>
      <c r="BA899" t="s" s="0">
        <v>3518</v>
      </c>
      <c r="BB899" t="s" s="0">
        <v>133</v>
      </c>
      <c r="BC899" t="s" s="0">
        <v>81</v>
      </c>
      <c r="BD899" t="s" s="0">
        <v>81</v>
      </c>
      <c r="BE899" t="s" s="0">
        <v>81</v>
      </c>
      <c r="BF899" t="s" s="0">
        <v>81</v>
      </c>
      <c r="BG899" t="s" s="0">
        <v>19498</v>
      </c>
      <c r="BH899" t="s" s="0">
        <v>19499</v>
      </c>
      <c r="BI899" t="s" s="0">
        <v>81</v>
      </c>
      <c r="BJ899" t="s" s="0">
        <v>19500</v>
      </c>
      <c r="BK899" t="s" s="1788">
        <f>HYPERLINK("http://dx.doi.org/10.55563/clinexprheumatol/oamfed","http://dx.doi.org/10.55563/clinexprheumatol/oamfed")</f>
        <v>19501</v>
      </c>
      <c r="BL899" t="s" s="0">
        <v>81</v>
      </c>
      <c r="BM899" t="s" s="0">
        <v>81</v>
      </c>
      <c r="BN899" t="s" s="0">
        <v>234</v>
      </c>
      <c r="BO899" t="s" s="0">
        <v>7055</v>
      </c>
      <c r="BP899" t="s" s="0">
        <v>7055</v>
      </c>
      <c r="BQ899" t="s" s="0">
        <v>19502</v>
      </c>
      <c r="BR899" t="s" s="0">
        <v>19503</v>
      </c>
      <c r="BS899" t="s" s="0">
        <v>19504</v>
      </c>
      <c r="BT899" t="s" s="1789">
        <f>HYPERLINK("https://www.webofscience.com/wos/woscc/full-record/WOS:001485699900003","View Record in Web of Science")</f>
        <v>114</v>
      </c>
      <c r="BU899" t="s" s="0">
        <v>2239</v>
      </c>
      <c r="BV899" t="s" s="0">
        <v>81</v>
      </c>
      <c r="BW899" t="s" s="0">
        <v>81</v>
      </c>
      <c r="BX899" t="s" s="0">
        <v>116</v>
      </c>
    </row>
    <row r="900">
      <c r="A900" t="s" s="0">
        <v>77</v>
      </c>
      <c r="B900" t="s" s="0">
        <v>77</v>
      </c>
      <c r="C900" t="s" s="0">
        <v>77</v>
      </c>
      <c r="D900" t="s" s="0">
        <v>77</v>
      </c>
      <c r="E900" t="s" s="0">
        <v>19505</v>
      </c>
      <c r="F900" t="s" s="0">
        <v>19506</v>
      </c>
      <c r="G900" t="s" s="0">
        <v>19507</v>
      </c>
      <c r="H900" t="s" s="0">
        <v>81</v>
      </c>
      <c r="I900" t="s" s="0">
        <v>238</v>
      </c>
      <c r="J900" t="s" s="0">
        <v>19508</v>
      </c>
      <c r="K900" t="s" s="0">
        <v>19509</v>
      </c>
      <c r="L900" t="s" s="0">
        <v>81</v>
      </c>
      <c r="M900" t="s" s="0">
        <v>81</v>
      </c>
      <c r="N900" t="s" s="0">
        <v>81</v>
      </c>
      <c r="O900" t="s" s="0">
        <v>19510</v>
      </c>
      <c r="P900" t="s" s="0">
        <v>19511</v>
      </c>
      <c r="Q900" t="s" s="0">
        <v>87</v>
      </c>
      <c r="R900" t="s" s="0">
        <v>81</v>
      </c>
      <c r="S900" t="s" s="0">
        <v>81</v>
      </c>
      <c r="T900" t="s" s="0">
        <v>81</v>
      </c>
      <c r="U900" t="s" s="0">
        <v>81</v>
      </c>
      <c r="V900" t="s" s="0">
        <v>19512</v>
      </c>
      <c r="W900" t="s" s="0">
        <v>19513</v>
      </c>
      <c r="X900" t="s" s="0">
        <v>81</v>
      </c>
      <c r="Y900" t="s" s="0">
        <v>81</v>
      </c>
      <c r="Z900" t="s" s="0">
        <v>90</v>
      </c>
      <c r="AA900" t="s" s="0">
        <v>91</v>
      </c>
      <c r="AB900" t="s" s="0">
        <v>81</v>
      </c>
      <c r="AC900" t="s" s="0">
        <v>81</v>
      </c>
      <c r="AD900" t="s" s="0">
        <v>81</v>
      </c>
      <c r="AE900" t="s" s="0">
        <v>81</v>
      </c>
      <c r="AF900" t="s" s="0">
        <v>81</v>
      </c>
      <c r="AG900" t="s" s="0">
        <v>81</v>
      </c>
      <c r="AH900" t="s" s="0">
        <v>81</v>
      </c>
      <c r="AI900" t="s" s="0">
        <v>81</v>
      </c>
      <c r="AJ900" t="s" s="0">
        <v>81</v>
      </c>
      <c r="AK900" t="s" s="0">
        <v>81</v>
      </c>
      <c r="AL900" t="s" s="0">
        <v>295</v>
      </c>
      <c r="AM900" t="s" s="0">
        <v>77</v>
      </c>
      <c r="AN900" t="s" s="0">
        <v>77</v>
      </c>
      <c r="AO900" t="s" s="0">
        <v>77</v>
      </c>
      <c r="AP900" t="s" s="0">
        <v>77</v>
      </c>
      <c r="AQ900" t="s" s="0">
        <v>1317</v>
      </c>
      <c r="AR900" t="s" s="0">
        <v>1318</v>
      </c>
      <c r="AS900" t="s" s="0">
        <v>1319</v>
      </c>
      <c r="AT900" t="s" s="0">
        <v>81</v>
      </c>
      <c r="AU900" t="s" s="0">
        <v>19514</v>
      </c>
      <c r="AV900" t="s" s="0">
        <v>81</v>
      </c>
      <c r="AW900" t="s" s="0">
        <v>19515</v>
      </c>
      <c r="AX900" t="s" s="0">
        <v>19516</v>
      </c>
      <c r="AY900" t="s" s="0">
        <v>6101</v>
      </c>
      <c r="AZ900" t="s" s="0">
        <v>103</v>
      </c>
      <c r="BA900" t="s" s="0">
        <v>133</v>
      </c>
      <c r="BB900" t="s" s="0">
        <v>381</v>
      </c>
      <c r="BC900" t="s" s="0">
        <v>81</v>
      </c>
      <c r="BD900" t="s" s="0">
        <v>81</v>
      </c>
      <c r="BE900" t="s" s="0">
        <v>81</v>
      </c>
      <c r="BF900" t="s" s="0">
        <v>81</v>
      </c>
      <c r="BG900" t="s" s="0">
        <v>81</v>
      </c>
      <c r="BH900" t="s" s="0">
        <v>81</v>
      </c>
      <c r="BI900" t="s" s="0">
        <v>19517</v>
      </c>
      <c r="BJ900" t="s" s="0">
        <v>19518</v>
      </c>
      <c r="BK900" t="s" s="1790">
        <f>HYPERLINK("http://dx.doi.org/10.1371/journal.pdig.0001575","http://dx.doi.org/10.1371/journal.pdig.0001575")</f>
        <v>19519</v>
      </c>
      <c r="BL900" t="s" s="0">
        <v>81</v>
      </c>
      <c r="BM900" t="s" s="0">
        <v>81</v>
      </c>
      <c r="BN900" t="s" s="0">
        <v>486</v>
      </c>
      <c r="BO900" t="s" s="0">
        <v>792</v>
      </c>
      <c r="BP900" t="s" s="0">
        <v>792</v>
      </c>
      <c r="BQ900" t="s" s="0">
        <v>19520</v>
      </c>
      <c r="BR900" t="s" s="0">
        <v>81</v>
      </c>
      <c r="BS900" t="s" s="0">
        <v>19521</v>
      </c>
      <c r="BT900" t="s" s="1791">
        <f>HYPERLINK("https://www.webofscience.com/wos/woscc/full-record/WOS:001843015600006","View Record in Web of Science")</f>
        <v>114</v>
      </c>
      <c r="BU900" t="s" s="0">
        <v>301</v>
      </c>
      <c r="BV900" t="s" s="0">
        <v>81</v>
      </c>
      <c r="BW900" t="s" s="0">
        <v>81</v>
      </c>
      <c r="BX900" t="s" s="0">
        <v>116</v>
      </c>
    </row>
    <row r="901">
      <c r="A901" t="s" s="0">
        <v>77</v>
      </c>
      <c r="B901" t="s" s="0">
        <v>77</v>
      </c>
      <c r="C901" t="s" s="0">
        <v>77</v>
      </c>
      <c r="D901" t="s" s="0">
        <v>77</v>
      </c>
      <c r="E901" t="s" s="0">
        <v>19522</v>
      </c>
      <c r="F901" t="s" s="0">
        <v>19523</v>
      </c>
      <c r="G901" t="s" s="0">
        <v>19524</v>
      </c>
      <c r="H901" t="s" s="0">
        <v>81</v>
      </c>
      <c r="I901" t="s" s="0">
        <v>82</v>
      </c>
      <c r="J901" t="s" s="0">
        <v>19525</v>
      </c>
      <c r="K901" t="s" s="0">
        <v>19526</v>
      </c>
      <c r="L901" t="s" s="0">
        <v>19527</v>
      </c>
      <c r="M901" t="s" s="0">
        <v>19528</v>
      </c>
      <c r="N901" t="s" s="0">
        <v>19529</v>
      </c>
      <c r="O901" t="s" s="0">
        <v>19530</v>
      </c>
      <c r="P901" t="s" s="0">
        <v>19531</v>
      </c>
      <c r="Q901" t="s" s="0">
        <v>87</v>
      </c>
      <c r="R901" t="s" s="0">
        <v>81</v>
      </c>
      <c r="S901" t="s" s="0">
        <v>81</v>
      </c>
      <c r="T901" t="s" s="0">
        <v>81</v>
      </c>
      <c r="U901" t="s" s="0">
        <v>81</v>
      </c>
      <c r="V901" t="s" s="0">
        <v>19532</v>
      </c>
      <c r="W901" t="s" s="0">
        <v>10271</v>
      </c>
      <c r="X901" t="s" s="0">
        <v>81</v>
      </c>
      <c r="Y901" t="s" s="0">
        <v>81</v>
      </c>
      <c r="Z901" t="s" s="0">
        <v>90</v>
      </c>
      <c r="AA901" t="s" s="0">
        <v>91</v>
      </c>
      <c r="AB901" t="s" s="0">
        <v>81</v>
      </c>
      <c r="AC901" t="s" s="0">
        <v>81</v>
      </c>
      <c r="AD901" t="s" s="0">
        <v>81</v>
      </c>
      <c r="AE901" t="s" s="0">
        <v>81</v>
      </c>
      <c r="AF901" t="s" s="0">
        <v>81</v>
      </c>
      <c r="AG901" t="s" s="0">
        <v>19533</v>
      </c>
      <c r="AH901" t="s" s="0">
        <v>19534</v>
      </c>
      <c r="AI901" t="s" s="0">
        <v>19535</v>
      </c>
      <c r="AJ901" t="s" s="0">
        <v>19536</v>
      </c>
      <c r="AK901" t="s" s="0">
        <v>81</v>
      </c>
      <c r="AL901" t="s" s="0">
        <v>914</v>
      </c>
      <c r="AM901" t="s" s="0">
        <v>97</v>
      </c>
      <c r="AN901" t="s" s="0">
        <v>156</v>
      </c>
      <c r="AO901" t="s" s="0">
        <v>97</v>
      </c>
      <c r="AP901" t="s" s="0">
        <v>175</v>
      </c>
      <c r="AQ901" t="s" s="0">
        <v>6120</v>
      </c>
      <c r="AR901" t="s" s="0">
        <v>2571</v>
      </c>
      <c r="AS901" t="s" s="0">
        <v>6121</v>
      </c>
      <c r="AT901" t="s" s="0">
        <v>10274</v>
      </c>
      <c r="AU901" t="s" s="0">
        <v>10275</v>
      </c>
      <c r="AV901" t="s" s="0">
        <v>81</v>
      </c>
      <c r="AW901" t="s" s="0">
        <v>10276</v>
      </c>
      <c r="AX901" t="s" s="0">
        <v>10277</v>
      </c>
      <c r="AY901" t="s" s="0">
        <v>320</v>
      </c>
      <c r="AZ901" t="s" s="0">
        <v>185</v>
      </c>
      <c r="BA901" t="s" s="0">
        <v>253</v>
      </c>
      <c r="BB901" t="s" s="0">
        <v>19537</v>
      </c>
      <c r="BC901" t="s" s="0">
        <v>81</v>
      </c>
      <c r="BD901" t="s" s="0">
        <v>81</v>
      </c>
      <c r="BE901" t="s" s="0">
        <v>81</v>
      </c>
      <c r="BF901" t="s" s="0">
        <v>81</v>
      </c>
      <c r="BG901" t="s" s="0">
        <v>81</v>
      </c>
      <c r="BH901" t="s" s="0">
        <v>81</v>
      </c>
      <c r="BI901" t="s" s="0">
        <v>19538</v>
      </c>
      <c r="BJ901" t="s" s="0">
        <v>19539</v>
      </c>
      <c r="BK901" t="s" s="1792">
        <f>HYPERLINK("http://dx.doi.org/10.1142/S0218213024600078","http://dx.doi.org/10.1142/S0218213024600078")</f>
        <v>19540</v>
      </c>
      <c r="BL901" t="s" s="0">
        <v>81</v>
      </c>
      <c r="BM901" t="s" s="0">
        <v>81</v>
      </c>
      <c r="BN901" t="s" s="0">
        <v>135</v>
      </c>
      <c r="BO901" t="s" s="0">
        <v>2009</v>
      </c>
      <c r="BP901" t="s" s="0">
        <v>152</v>
      </c>
      <c r="BQ901" t="s" s="0">
        <v>19541</v>
      </c>
      <c r="BR901" t="s" s="0">
        <v>19542</v>
      </c>
      <c r="BS901" t="s" s="0">
        <v>19543</v>
      </c>
      <c r="BT901" t="s" s="1793">
        <f>HYPERLINK("https://www.webofscience.com/wos/woscc/full-record/WOS:001206876800005","View Record in Web of Science")</f>
        <v>114</v>
      </c>
      <c r="BU901" t="s" s="0">
        <v>233</v>
      </c>
      <c r="BV901" t="s" s="0">
        <v>81</v>
      </c>
      <c r="BW901" t="s" s="0">
        <v>81</v>
      </c>
      <c r="BX901" t="s" s="0">
        <v>116</v>
      </c>
    </row>
    <row r="902">
      <c r="A902" t="s" s="0">
        <v>77</v>
      </c>
      <c r="B902" t="s" s="0">
        <v>77</v>
      </c>
      <c r="C902" t="s" s="0">
        <v>77</v>
      </c>
      <c r="D902" t="s" s="0">
        <v>77</v>
      </c>
      <c r="E902" t="s" s="0">
        <v>19544</v>
      </c>
      <c r="F902" t="s" s="0">
        <v>19545</v>
      </c>
      <c r="G902" t="s" s="0">
        <v>19546</v>
      </c>
      <c r="H902" t="s" s="0">
        <v>81</v>
      </c>
      <c r="I902" t="s" s="0">
        <v>82</v>
      </c>
      <c r="J902" t="s" s="0">
        <v>19547</v>
      </c>
      <c r="K902" t="s" s="0">
        <v>19548</v>
      </c>
      <c r="L902" t="s" s="0">
        <v>19549</v>
      </c>
      <c r="M902" t="s" s="0">
        <v>19550</v>
      </c>
      <c r="N902" t="s" s="0">
        <v>7004</v>
      </c>
      <c r="O902" t="s" s="0">
        <v>19551</v>
      </c>
      <c r="P902" t="s" s="0">
        <v>19552</v>
      </c>
      <c r="Q902" t="s" s="0">
        <v>87</v>
      </c>
      <c r="R902" t="s" s="0">
        <v>81</v>
      </c>
      <c r="S902" t="s" s="0">
        <v>81</v>
      </c>
      <c r="T902" t="s" s="0">
        <v>81</v>
      </c>
      <c r="U902" t="s" s="0">
        <v>81</v>
      </c>
      <c r="V902" t="s" s="0">
        <v>19553</v>
      </c>
      <c r="W902" t="s" s="0">
        <v>10734</v>
      </c>
      <c r="X902" t="s" s="0">
        <v>81</v>
      </c>
      <c r="Y902" t="s" s="0">
        <v>81</v>
      </c>
      <c r="Z902" t="s" s="0">
        <v>90</v>
      </c>
      <c r="AA902" t="s" s="0">
        <v>91</v>
      </c>
      <c r="AB902" t="s" s="0">
        <v>81</v>
      </c>
      <c r="AC902" t="s" s="0">
        <v>81</v>
      </c>
      <c r="AD902" t="s" s="0">
        <v>81</v>
      </c>
      <c r="AE902" t="s" s="0">
        <v>81</v>
      </c>
      <c r="AF902" t="s" s="0">
        <v>81</v>
      </c>
      <c r="AG902" t="s" s="0">
        <v>81</v>
      </c>
      <c r="AH902" t="s" s="0">
        <v>4100</v>
      </c>
      <c r="AI902" t="s" s="0">
        <v>19554</v>
      </c>
      <c r="AJ902" t="s" s="0">
        <v>19555</v>
      </c>
      <c r="AK902" t="s" s="0">
        <v>81</v>
      </c>
      <c r="AL902" t="s" s="0">
        <v>2955</v>
      </c>
      <c r="AM902" t="s" s="0">
        <v>175</v>
      </c>
      <c r="AN902" t="s" s="0">
        <v>175</v>
      </c>
      <c r="AO902" t="s" s="0">
        <v>133</v>
      </c>
      <c r="AP902" t="s" s="0">
        <v>133</v>
      </c>
      <c r="AQ902" t="s" s="0">
        <v>915</v>
      </c>
      <c r="AR902" t="s" s="0">
        <v>916</v>
      </c>
      <c r="AS902" t="s" s="0">
        <v>917</v>
      </c>
      <c r="AT902" t="s" s="0">
        <v>81</v>
      </c>
      <c r="AU902" t="s" s="0">
        <v>10738</v>
      </c>
      <c r="AV902" t="s" s="0">
        <v>81</v>
      </c>
      <c r="AW902" t="s" s="0">
        <v>10739</v>
      </c>
      <c r="AX902" t="s" s="0">
        <v>10740</v>
      </c>
      <c r="AY902" t="s" s="0">
        <v>10189</v>
      </c>
      <c r="AZ902" t="s" s="0">
        <v>290</v>
      </c>
      <c r="BA902" t="s" s="0">
        <v>211</v>
      </c>
      <c r="BB902" t="s" s="0">
        <v>97</v>
      </c>
      <c r="BC902" t="s" s="0">
        <v>81</v>
      </c>
      <c r="BD902" t="s" s="0">
        <v>81</v>
      </c>
      <c r="BE902" t="s" s="0">
        <v>81</v>
      </c>
      <c r="BF902" t="s" s="0">
        <v>81</v>
      </c>
      <c r="BG902" t="s" s="0">
        <v>81</v>
      </c>
      <c r="BH902" t="s" s="0">
        <v>81</v>
      </c>
      <c r="BI902" t="s" s="0">
        <v>291</v>
      </c>
      <c r="BJ902" t="s" s="0">
        <v>19556</v>
      </c>
      <c r="BK902" t="s" s="1794">
        <f>HYPERLINK("http://dx.doi.org/10.1038/s41698-025-01180-5","http://dx.doi.org/10.1038/s41698-025-01180-5")</f>
        <v>19557</v>
      </c>
      <c r="BL902" t="s" s="0">
        <v>81</v>
      </c>
      <c r="BM902" t="s" s="0">
        <v>81</v>
      </c>
      <c r="BN902" t="s" s="0">
        <v>191</v>
      </c>
      <c r="BO902" t="s" s="0">
        <v>1380</v>
      </c>
      <c r="BP902" t="s" s="0">
        <v>1380</v>
      </c>
      <c r="BQ902" t="s" s="0">
        <v>19558</v>
      </c>
      <c r="BR902" t="s" s="0">
        <v>19559</v>
      </c>
      <c r="BS902" t="s" s="0">
        <v>19560</v>
      </c>
      <c r="BT902" t="s" s="1795">
        <f>HYPERLINK("https://www.webofscience.com/wos/woscc/full-record/WOS:001660325400001","View Record in Web of Science")</f>
        <v>114</v>
      </c>
      <c r="BU902" t="s" s="0">
        <v>301</v>
      </c>
      <c r="BV902" t="s" s="0">
        <v>81</v>
      </c>
      <c r="BW902" t="s" s="0">
        <v>81</v>
      </c>
      <c r="BX902" t="s" s="0">
        <v>116</v>
      </c>
    </row>
    <row r="903">
      <c r="A903" t="s" s="0">
        <v>77</v>
      </c>
      <c r="B903" t="s" s="0">
        <v>77</v>
      </c>
      <c r="C903" t="s" s="0">
        <v>97</v>
      </c>
      <c r="D903" t="s" s="0">
        <v>77</v>
      </c>
      <c r="E903" t="s" s="0">
        <v>19561</v>
      </c>
      <c r="F903" t="s" s="0">
        <v>19562</v>
      </c>
      <c r="G903" t="s" s="0">
        <v>19563</v>
      </c>
      <c r="H903" t="s" s="0">
        <v>81</v>
      </c>
      <c r="I903" t="s" s="0">
        <v>82</v>
      </c>
      <c r="J903" t="s" s="0">
        <v>19564</v>
      </c>
      <c r="K903" t="s" s="0">
        <v>19565</v>
      </c>
      <c r="L903" t="s" s="0">
        <v>81</v>
      </c>
      <c r="M903" t="s" s="0">
        <v>81</v>
      </c>
      <c r="N903" t="s" s="0">
        <v>81</v>
      </c>
      <c r="O903" t="s" s="0">
        <v>19566</v>
      </c>
      <c r="P903" t="s" s="0">
        <v>19567</v>
      </c>
      <c r="Q903" t="s" s="0">
        <v>87</v>
      </c>
      <c r="R903" t="s" s="0">
        <v>81</v>
      </c>
      <c r="S903" t="s" s="0">
        <v>81</v>
      </c>
      <c r="T903" t="s" s="0">
        <v>81</v>
      </c>
      <c r="U903" t="s" s="0">
        <v>81</v>
      </c>
      <c r="V903" t="s" s="0">
        <v>19568</v>
      </c>
      <c r="W903" t="s" s="0">
        <v>19569</v>
      </c>
      <c r="X903" t="s" s="0">
        <v>81</v>
      </c>
      <c r="Y903" t="s" s="0">
        <v>81</v>
      </c>
      <c r="Z903" t="s" s="0">
        <v>90</v>
      </c>
      <c r="AA903" t="s" s="0">
        <v>91</v>
      </c>
      <c r="AB903" t="s" s="0">
        <v>81</v>
      </c>
      <c r="AC903" t="s" s="0">
        <v>81</v>
      </c>
      <c r="AD903" t="s" s="0">
        <v>81</v>
      </c>
      <c r="AE903" t="s" s="0">
        <v>81</v>
      </c>
      <c r="AF903" t="s" s="0">
        <v>81</v>
      </c>
      <c r="AG903" t="s" s="0">
        <v>19570</v>
      </c>
      <c r="AH903" t="s" s="0">
        <v>81</v>
      </c>
      <c r="AI903" t="s" s="0">
        <v>19571</v>
      </c>
      <c r="AJ903" t="s" s="0">
        <v>19572</v>
      </c>
      <c r="AK903" t="s" s="0">
        <v>81</v>
      </c>
      <c r="AL903" t="s" s="0">
        <v>1685</v>
      </c>
      <c r="AM903" t="s" s="0">
        <v>175</v>
      </c>
      <c r="AN903" t="s" s="0">
        <v>133</v>
      </c>
      <c r="AO903" t="s" s="0">
        <v>196</v>
      </c>
      <c r="AP903" t="s" s="0">
        <v>133</v>
      </c>
      <c r="AQ903" t="s" s="0">
        <v>726</v>
      </c>
      <c r="AR903" t="s" s="0">
        <v>727</v>
      </c>
      <c r="AS903" t="s" s="0">
        <v>728</v>
      </c>
      <c r="AT903" t="s" s="0">
        <v>19573</v>
      </c>
      <c r="AU903" t="s" s="0">
        <v>19574</v>
      </c>
      <c r="AV903" t="s" s="0">
        <v>81</v>
      </c>
      <c r="AW903" t="s" s="0">
        <v>19575</v>
      </c>
      <c r="AX903" t="s" s="0">
        <v>19576</v>
      </c>
      <c r="AY903" t="s" s="0">
        <v>578</v>
      </c>
      <c r="AZ903" t="s" s="0">
        <v>290</v>
      </c>
      <c r="BA903" t="s" s="0">
        <v>671</v>
      </c>
      <c r="BB903" t="s" s="0">
        <v>261</v>
      </c>
      <c r="BC903" t="s" s="0">
        <v>81</v>
      </c>
      <c r="BD903" t="s" s="0">
        <v>81</v>
      </c>
      <c r="BE903" t="s" s="0">
        <v>81</v>
      </c>
      <c r="BF903" t="s" s="0">
        <v>81</v>
      </c>
      <c r="BG903" t="s" s="0">
        <v>81</v>
      </c>
      <c r="BH903" t="s" s="0">
        <v>81</v>
      </c>
      <c r="BI903" t="s" s="0">
        <v>19577</v>
      </c>
      <c r="BJ903" t="s" s="0">
        <v>19578</v>
      </c>
      <c r="BK903" t="s" s="1796">
        <f>HYPERLINK("http://dx.doi.org/10.1111/codi.70232","http://dx.doi.org/10.1111/codi.70232")</f>
        <v>19579</v>
      </c>
      <c r="BL903" t="s" s="0">
        <v>81</v>
      </c>
      <c r="BM903" t="s" s="0">
        <v>81</v>
      </c>
      <c r="BN903" t="s" s="0">
        <v>291</v>
      </c>
      <c r="BO903" t="s" s="0">
        <v>19580</v>
      </c>
      <c r="BP903" t="s" s="0">
        <v>19580</v>
      </c>
      <c r="BQ903" t="s" s="0">
        <v>19581</v>
      </c>
      <c r="BR903" t="s" s="0">
        <v>19582</v>
      </c>
      <c r="BS903" t="s" s="0">
        <v>19583</v>
      </c>
      <c r="BT903" t="s" s="1797">
        <f>HYPERLINK("https://www.webofscience.com/wos/woscc/full-record/WOS:001586796500023","View Record in Web of Science")</f>
        <v>114</v>
      </c>
      <c r="BU903" t="s" s="0">
        <v>19584</v>
      </c>
      <c r="BV903" t="s" s="0">
        <v>81</v>
      </c>
      <c r="BW903" t="s" s="0">
        <v>81</v>
      </c>
      <c r="BX903" t="s" s="0">
        <v>116</v>
      </c>
    </row>
    <row r="904">
      <c r="A904" t="s" s="0">
        <v>77</v>
      </c>
      <c r="B904" t="s" s="0">
        <v>77</v>
      </c>
      <c r="C904" t="s" s="0">
        <v>77</v>
      </c>
      <c r="D904" t="s" s="0">
        <v>77</v>
      </c>
      <c r="E904" t="s" s="0">
        <v>19585</v>
      </c>
      <c r="F904" t="s" s="0">
        <v>19586</v>
      </c>
      <c r="G904" t="s" s="0">
        <v>19587</v>
      </c>
      <c r="H904" t="s" s="0">
        <v>81</v>
      </c>
      <c r="I904" t="s" s="0">
        <v>238</v>
      </c>
      <c r="J904" t="s" s="0">
        <v>19588</v>
      </c>
      <c r="K904" t="s" s="0">
        <v>19589</v>
      </c>
      <c r="L904" t="s" s="0">
        <v>19590</v>
      </c>
      <c r="M904" t="s" s="0">
        <v>19591</v>
      </c>
      <c r="N904" t="s" s="0">
        <v>19592</v>
      </c>
      <c r="O904" t="s" s="0">
        <v>19593</v>
      </c>
      <c r="P904" t="s" s="0">
        <v>6162</v>
      </c>
      <c r="Q904" t="s" s="0">
        <v>87</v>
      </c>
      <c r="R904" t="s" s="0">
        <v>81</v>
      </c>
      <c r="S904" t="s" s="0">
        <v>81</v>
      </c>
      <c r="T904" t="s" s="0">
        <v>81</v>
      </c>
      <c r="U904" t="s" s="0">
        <v>81</v>
      </c>
      <c r="V904" t="s" s="0">
        <v>19594</v>
      </c>
      <c r="W904" t="s" s="0">
        <v>19595</v>
      </c>
      <c r="X904" t="s" s="0">
        <v>81</v>
      </c>
      <c r="Y904" t="s" s="0">
        <v>81</v>
      </c>
      <c r="Z904" t="s" s="0">
        <v>90</v>
      </c>
      <c r="AA904" t="s" s="0">
        <v>91</v>
      </c>
      <c r="AB904" t="s" s="0">
        <v>81</v>
      </c>
      <c r="AC904" t="s" s="0">
        <v>81</v>
      </c>
      <c r="AD904" t="s" s="0">
        <v>81</v>
      </c>
      <c r="AE904" t="s" s="0">
        <v>81</v>
      </c>
      <c r="AF904" t="s" s="0">
        <v>81</v>
      </c>
      <c r="AG904" t="s" s="0">
        <v>19596</v>
      </c>
      <c r="AH904" t="s" s="0">
        <v>19597</v>
      </c>
      <c r="AI904" t="s" s="0">
        <v>19598</v>
      </c>
      <c r="AJ904" t="s" s="0">
        <v>81</v>
      </c>
      <c r="AK904" t="s" s="0">
        <v>81</v>
      </c>
      <c r="AL904" t="s" s="0">
        <v>1049</v>
      </c>
      <c r="AM904" t="s" s="0">
        <v>77</v>
      </c>
      <c r="AN904" t="s" s="0">
        <v>77</v>
      </c>
      <c r="AO904" t="s" s="0">
        <v>77</v>
      </c>
      <c r="AP904" t="s" s="0">
        <v>77</v>
      </c>
      <c r="AQ904" t="s" s="0">
        <v>368</v>
      </c>
      <c r="AR904" t="s" s="0">
        <v>369</v>
      </c>
      <c r="AS904" t="s" s="0">
        <v>370</v>
      </c>
      <c r="AT904" t="s" s="0">
        <v>81</v>
      </c>
      <c r="AU904" t="s" s="0">
        <v>19599</v>
      </c>
      <c r="AV904" t="s" s="0">
        <v>81</v>
      </c>
      <c r="AW904" t="s" s="0">
        <v>19600</v>
      </c>
      <c r="AX904" t="s" s="0">
        <v>19601</v>
      </c>
      <c r="AY904" t="s" s="0">
        <v>1351</v>
      </c>
      <c r="AZ904" t="s" s="0">
        <v>103</v>
      </c>
      <c r="BA904" t="s" s="0">
        <v>316</v>
      </c>
      <c r="BB904" t="s" s="0">
        <v>81</v>
      </c>
      <c r="BC904" t="s" s="0">
        <v>81</v>
      </c>
      <c r="BD904" t="s" s="0">
        <v>81</v>
      </c>
      <c r="BE904" t="s" s="0">
        <v>81</v>
      </c>
      <c r="BF904" t="s" s="0">
        <v>81</v>
      </c>
      <c r="BG904" t="s" s="0">
        <v>81</v>
      </c>
      <c r="BH904" t="s" s="0">
        <v>81</v>
      </c>
      <c r="BI904" t="s" s="0">
        <v>19602</v>
      </c>
      <c r="BJ904" t="s" s="0">
        <v>19603</v>
      </c>
      <c r="BK904" t="s" s="1798">
        <f>HYPERLINK("http://dx.doi.org/10.3389/fbinf.2026.1827014","http://dx.doi.org/10.3389/fbinf.2026.1827014")</f>
        <v>19604</v>
      </c>
      <c r="BL904" t="s" s="0">
        <v>81</v>
      </c>
      <c r="BM904" t="s" s="0">
        <v>849</v>
      </c>
      <c r="BN904" t="s" s="0">
        <v>434</v>
      </c>
      <c r="BO904" t="s" s="0">
        <v>6950</v>
      </c>
      <c r="BP904" t="s" s="0">
        <v>6950</v>
      </c>
      <c r="BQ904" t="s" s="0">
        <v>19605</v>
      </c>
      <c r="BR904" t="s" s="0">
        <v>19606</v>
      </c>
      <c r="BS904" t="s" s="0">
        <v>19607</v>
      </c>
      <c r="BT904" t="s" s="1799">
        <f>HYPERLINK("https://www.webofscience.com/wos/woscc/full-record/WOS:001800532600001","View Record in Web of Science")</f>
        <v>114</v>
      </c>
      <c r="BU904" t="s" s="0">
        <v>301</v>
      </c>
      <c r="BV904" t="s" s="0">
        <v>81</v>
      </c>
      <c r="BW904" t="s" s="0">
        <v>81</v>
      </c>
      <c r="BX904" t="s" s="0">
        <v>116</v>
      </c>
    </row>
    <row r="905">
      <c r="A905" t="s" s="0">
        <v>77</v>
      </c>
      <c r="B905" t="s" s="0">
        <v>77</v>
      </c>
      <c r="C905" t="s" s="0">
        <v>77</v>
      </c>
      <c r="D905" t="s" s="0">
        <v>77</v>
      </c>
      <c r="E905" t="s" s="0">
        <v>19608</v>
      </c>
      <c r="F905" t="s" s="0">
        <v>19609</v>
      </c>
      <c r="G905" t="s" s="0">
        <v>19610</v>
      </c>
      <c r="H905" t="s" s="0">
        <v>81</v>
      </c>
      <c r="I905" t="s" s="0">
        <v>528</v>
      </c>
      <c r="J905" t="s" s="0">
        <v>19611</v>
      </c>
      <c r="K905" t="s" s="0">
        <v>19612</v>
      </c>
      <c r="L905" t="s" s="0">
        <v>19613</v>
      </c>
      <c r="M905" t="s" s="0">
        <v>19614</v>
      </c>
      <c r="N905" t="s" s="0">
        <v>19615</v>
      </c>
      <c r="O905" t="s" s="0">
        <v>19616</v>
      </c>
      <c r="P905" t="s" s="0">
        <v>19617</v>
      </c>
      <c r="Q905" t="s" s="0">
        <v>87</v>
      </c>
      <c r="R905" t="s" s="0">
        <v>81</v>
      </c>
      <c r="S905" t="s" s="0">
        <v>81</v>
      </c>
      <c r="T905" t="s" s="0">
        <v>81</v>
      </c>
      <c r="U905" t="s" s="0">
        <v>81</v>
      </c>
      <c r="V905" t="s" s="0">
        <v>19618</v>
      </c>
      <c r="W905" t="s" s="0">
        <v>4472</v>
      </c>
      <c r="X905" t="s" s="0">
        <v>81</v>
      </c>
      <c r="Y905" t="s" s="0">
        <v>81</v>
      </c>
      <c r="Z905" t="s" s="0">
        <v>90</v>
      </c>
      <c r="AA905" t="s" s="0">
        <v>91</v>
      </c>
      <c r="AB905" t="s" s="0">
        <v>81</v>
      </c>
      <c r="AC905" t="s" s="0">
        <v>81</v>
      </c>
      <c r="AD905" t="s" s="0">
        <v>81</v>
      </c>
      <c r="AE905" t="s" s="0">
        <v>81</v>
      </c>
      <c r="AF905" t="s" s="0">
        <v>81</v>
      </c>
      <c r="AG905" t="s" s="0">
        <v>19619</v>
      </c>
      <c r="AH905" t="s" s="0">
        <v>19620</v>
      </c>
      <c r="AI905" t="s" s="0">
        <v>19621</v>
      </c>
      <c r="AJ905" t="s" s="0">
        <v>19622</v>
      </c>
      <c r="AK905" t="s" s="0">
        <v>81</v>
      </c>
      <c r="AL905" t="s" s="0">
        <v>5567</v>
      </c>
      <c r="AM905" t="s" s="0">
        <v>77</v>
      </c>
      <c r="AN905" t="s" s="0">
        <v>77</v>
      </c>
      <c r="AO905" t="s" s="0">
        <v>156</v>
      </c>
      <c r="AP905" t="s" s="0">
        <v>156</v>
      </c>
      <c r="AQ905" t="s" s="0">
        <v>284</v>
      </c>
      <c r="AR905" t="s" s="0">
        <v>285</v>
      </c>
      <c r="AS905" t="s" s="0">
        <v>286</v>
      </c>
      <c r="AT905" t="s" s="0">
        <v>81</v>
      </c>
      <c r="AU905" t="s" s="0">
        <v>4476</v>
      </c>
      <c r="AV905" t="s" s="0">
        <v>81</v>
      </c>
      <c r="AW905" t="s" s="0">
        <v>4477</v>
      </c>
      <c r="AX905" t="s" s="0">
        <v>4478</v>
      </c>
      <c r="AY905" t="s" s="0">
        <v>19623</v>
      </c>
      <c r="AZ905" t="s" s="0">
        <v>290</v>
      </c>
      <c r="BA905" t="s" s="0">
        <v>486</v>
      </c>
      <c r="BB905" t="s" s="0">
        <v>434</v>
      </c>
      <c r="BC905" t="s" s="0">
        <v>81</v>
      </c>
      <c r="BD905" t="s" s="0">
        <v>81</v>
      </c>
      <c r="BE905" t="s" s="0">
        <v>81</v>
      </c>
      <c r="BF905" t="s" s="0">
        <v>81</v>
      </c>
      <c r="BG905" t="s" s="0">
        <v>81</v>
      </c>
      <c r="BH905" t="s" s="0">
        <v>81</v>
      </c>
      <c r="BI905" t="s" s="0">
        <v>19624</v>
      </c>
      <c r="BJ905" t="s" s="0">
        <v>19625</v>
      </c>
      <c r="BK905" t="s" s="1800">
        <f>HYPERLINK("http://dx.doi.org/10.3390/healthcare13243199","http://dx.doi.org/10.3390/healthcare13243199")</f>
        <v>19626</v>
      </c>
      <c r="BL905" t="s" s="0">
        <v>81</v>
      </c>
      <c r="BM905" t="s" s="0">
        <v>81</v>
      </c>
      <c r="BN905" t="s" s="0">
        <v>109</v>
      </c>
      <c r="BO905" t="s" s="0">
        <v>4481</v>
      </c>
      <c r="BP905" t="s" s="0">
        <v>4482</v>
      </c>
      <c r="BQ905" t="s" s="0">
        <v>19627</v>
      </c>
      <c r="BR905" t="s" s="0">
        <v>19628</v>
      </c>
      <c r="BS905" t="s" s="0">
        <v>19629</v>
      </c>
      <c r="BT905" t="s" s="1801">
        <f>HYPERLINK("https://www.webofscience.com/wos/woscc/full-record/WOS:001646631600001","View Record in Web of Science")</f>
        <v>114</v>
      </c>
      <c r="BU905" t="s" s="0">
        <v>301</v>
      </c>
      <c r="BV905" t="s" s="0">
        <v>81</v>
      </c>
      <c r="BW905" t="s" s="0">
        <v>81</v>
      </c>
      <c r="BX905" t="s" s="0">
        <v>116</v>
      </c>
    </row>
    <row r="906">
      <c r="A906" t="s" s="0">
        <v>77</v>
      </c>
      <c r="B906" t="s" s="0">
        <v>77</v>
      </c>
      <c r="C906" t="s" s="0">
        <v>77</v>
      </c>
      <c r="D906" t="s" s="0">
        <v>77</v>
      </c>
      <c r="E906" t="s" s="0">
        <v>19630</v>
      </c>
      <c r="F906" t="s" s="0">
        <v>19631</v>
      </c>
      <c r="G906" t="s" s="0">
        <v>19632</v>
      </c>
      <c r="H906" t="s" s="0">
        <v>81</v>
      </c>
      <c r="I906" t="s" s="0">
        <v>238</v>
      </c>
      <c r="J906" t="s" s="0">
        <v>19633</v>
      </c>
      <c r="K906" t="s" s="0">
        <v>19634</v>
      </c>
      <c r="L906" t="s" s="0">
        <v>81</v>
      </c>
      <c r="M906" t="s" s="0">
        <v>81</v>
      </c>
      <c r="N906" t="s" s="0">
        <v>81</v>
      </c>
      <c r="O906" t="s" s="0">
        <v>19635</v>
      </c>
      <c r="P906" t="s" s="0">
        <v>19636</v>
      </c>
      <c r="Q906" t="s" s="0">
        <v>87</v>
      </c>
      <c r="R906" t="s" s="0">
        <v>81</v>
      </c>
      <c r="S906" t="s" s="0">
        <v>81</v>
      </c>
      <c r="T906" t="s" s="0">
        <v>81</v>
      </c>
      <c r="U906" t="s" s="0">
        <v>81</v>
      </c>
      <c r="V906" t="s" s="0">
        <v>19637</v>
      </c>
      <c r="W906" t="s" s="0">
        <v>886</v>
      </c>
      <c r="X906" t="s" s="0">
        <v>81</v>
      </c>
      <c r="Y906" t="s" s="0">
        <v>81</v>
      </c>
      <c r="Z906" t="s" s="0">
        <v>90</v>
      </c>
      <c r="AA906" t="s" s="0">
        <v>91</v>
      </c>
      <c r="AB906" t="s" s="0">
        <v>81</v>
      </c>
      <c r="AC906" t="s" s="0">
        <v>81</v>
      </c>
      <c r="AD906" t="s" s="0">
        <v>81</v>
      </c>
      <c r="AE906" t="s" s="0">
        <v>81</v>
      </c>
      <c r="AF906" t="s" s="0">
        <v>81</v>
      </c>
      <c r="AG906" t="s" s="0">
        <v>19638</v>
      </c>
      <c r="AH906" t="s" s="0">
        <v>19639</v>
      </c>
      <c r="AI906" t="s" s="0">
        <v>81</v>
      </c>
      <c r="AJ906" t="s" s="0">
        <v>81</v>
      </c>
      <c r="AK906" t="s" s="0">
        <v>81</v>
      </c>
      <c r="AL906" t="s" s="0">
        <v>756</v>
      </c>
      <c r="AM906" t="s" s="0">
        <v>77</v>
      </c>
      <c r="AN906" t="s" s="0">
        <v>77</v>
      </c>
      <c r="AO906" t="s" s="0">
        <v>77</v>
      </c>
      <c r="AP906" t="s" s="0">
        <v>77</v>
      </c>
      <c r="AQ906" t="s" s="0">
        <v>368</v>
      </c>
      <c r="AR906" t="s" s="0">
        <v>369</v>
      </c>
      <c r="AS906" t="s" s="0">
        <v>370</v>
      </c>
      <c r="AT906" t="s" s="0">
        <v>81</v>
      </c>
      <c r="AU906" t="s" s="0">
        <v>891</v>
      </c>
      <c r="AV906" t="s" s="0">
        <v>81</v>
      </c>
      <c r="AW906" t="s" s="0">
        <v>892</v>
      </c>
      <c r="AX906" t="s" s="0">
        <v>893</v>
      </c>
      <c r="AY906" t="s" s="0">
        <v>19640</v>
      </c>
      <c r="AZ906" t="s" s="0">
        <v>103</v>
      </c>
      <c r="BA906" t="s" s="0">
        <v>261</v>
      </c>
      <c r="BB906" t="s" s="0">
        <v>81</v>
      </c>
      <c r="BC906" t="s" s="0">
        <v>81</v>
      </c>
      <c r="BD906" t="s" s="0">
        <v>81</v>
      </c>
      <c r="BE906" t="s" s="0">
        <v>81</v>
      </c>
      <c r="BF906" t="s" s="0">
        <v>81</v>
      </c>
      <c r="BG906" t="s" s="0">
        <v>81</v>
      </c>
      <c r="BH906" t="s" s="0">
        <v>81</v>
      </c>
      <c r="BI906" t="s" s="0">
        <v>19641</v>
      </c>
      <c r="BJ906" t="s" s="0">
        <v>19642</v>
      </c>
      <c r="BK906" t="s" s="1802">
        <f>HYPERLINK("http://dx.doi.org/10.3389/frai.2026.1882814","http://dx.doi.org/10.3389/frai.2026.1882814")</f>
        <v>19643</v>
      </c>
      <c r="BL906" t="s" s="0">
        <v>81</v>
      </c>
      <c r="BM906" t="s" s="0">
        <v>81</v>
      </c>
      <c r="BN906" t="s" s="0">
        <v>191</v>
      </c>
      <c r="BO906" t="s" s="0">
        <v>898</v>
      </c>
      <c r="BP906" t="s" s="0">
        <v>152</v>
      </c>
      <c r="BQ906" t="s" s="0">
        <v>19644</v>
      </c>
      <c r="BR906" t="s" s="0">
        <v>81</v>
      </c>
      <c r="BS906" t="s" s="0">
        <v>19645</v>
      </c>
      <c r="BT906" t="s" s="1803">
        <f>HYPERLINK("https://www.webofscience.com/wos/woscc/full-record/WOS:001841346200001","View Record in Web of Science")</f>
        <v>114</v>
      </c>
      <c r="BU906" t="s" s="0">
        <v>301</v>
      </c>
      <c r="BV906" t="s" s="0">
        <v>81</v>
      </c>
      <c r="BW906" t="s" s="0">
        <v>81</v>
      </c>
      <c r="BX906" t="s" s="0">
        <v>116</v>
      </c>
    </row>
    <row r="907">
      <c r="A907" t="s" s="0">
        <v>77</v>
      </c>
      <c r="B907" t="s" s="0">
        <v>77</v>
      </c>
      <c r="C907" t="s" s="0">
        <v>77</v>
      </c>
      <c r="D907" t="s" s="0">
        <v>77</v>
      </c>
      <c r="E907" t="s" s="0">
        <v>19646</v>
      </c>
      <c r="F907" t="s" s="0">
        <v>19647</v>
      </c>
      <c r="G907" t="s" s="0">
        <v>19648</v>
      </c>
      <c r="H907" t="s" s="0">
        <v>81</v>
      </c>
      <c r="I907" t="s" s="0">
        <v>238</v>
      </c>
      <c r="J907" t="s" s="0">
        <v>19649</v>
      </c>
      <c r="K907" t="s" s="0">
        <v>19650</v>
      </c>
      <c r="L907" t="s" s="0">
        <v>19651</v>
      </c>
      <c r="M907" t="s" s="0">
        <v>19651</v>
      </c>
      <c r="N907" t="s" s="0">
        <v>19652</v>
      </c>
      <c r="O907" t="s" s="0">
        <v>19653</v>
      </c>
      <c r="P907" t="s" s="0">
        <v>19654</v>
      </c>
      <c r="Q907" t="s" s="0">
        <v>87</v>
      </c>
      <c r="R907" t="s" s="0">
        <v>81</v>
      </c>
      <c r="S907" t="s" s="0">
        <v>81</v>
      </c>
      <c r="T907" t="s" s="0">
        <v>81</v>
      </c>
      <c r="U907" t="s" s="0">
        <v>81</v>
      </c>
      <c r="V907" t="s" s="0">
        <v>19655</v>
      </c>
      <c r="W907" t="s" s="0">
        <v>19656</v>
      </c>
      <c r="X907" t="s" s="0">
        <v>81</v>
      </c>
      <c r="Y907" t="s" s="0">
        <v>81</v>
      </c>
      <c r="Z907" t="s" s="0">
        <v>90</v>
      </c>
      <c r="AA907" t="s" s="0">
        <v>91</v>
      </c>
      <c r="AB907" t="s" s="0">
        <v>81</v>
      </c>
      <c r="AC907" t="s" s="0">
        <v>81</v>
      </c>
      <c r="AD907" t="s" s="0">
        <v>81</v>
      </c>
      <c r="AE907" t="s" s="0">
        <v>81</v>
      </c>
      <c r="AF907" t="s" s="0">
        <v>81</v>
      </c>
      <c r="AG907" t="s" s="0">
        <v>19657</v>
      </c>
      <c r="AH907" t="s" s="0">
        <v>1440</v>
      </c>
      <c r="AI907" t="s" s="0">
        <v>19658</v>
      </c>
      <c r="AJ907" t="s" s="0">
        <v>19659</v>
      </c>
      <c r="AK907" t="s" s="0">
        <v>81</v>
      </c>
      <c r="AL907" t="s" s="0">
        <v>150</v>
      </c>
      <c r="AM907" t="s" s="0">
        <v>135</v>
      </c>
      <c r="AN907" t="s" s="0">
        <v>176</v>
      </c>
      <c r="AO907" t="s" s="0">
        <v>156</v>
      </c>
      <c r="AP907" t="s" s="0">
        <v>1912</v>
      </c>
      <c r="AQ907" t="s" s="0">
        <v>9827</v>
      </c>
      <c r="AR907" t="s" s="0">
        <v>546</v>
      </c>
      <c r="AS907" t="s" s="0">
        <v>9828</v>
      </c>
      <c r="AT907" t="s" s="0">
        <v>19660</v>
      </c>
      <c r="AU907" t="s" s="0">
        <v>19661</v>
      </c>
      <c r="AV907" t="s" s="0">
        <v>81</v>
      </c>
      <c r="AW907" t="s" s="0">
        <v>19662</v>
      </c>
      <c r="AX907" t="s" s="0">
        <v>19663</v>
      </c>
      <c r="AY907" t="s" s="0">
        <v>4409</v>
      </c>
      <c r="AZ907" t="s" s="0">
        <v>185</v>
      </c>
      <c r="BA907" t="s" s="0">
        <v>890</v>
      </c>
      <c r="BB907" t="s" s="0">
        <v>156</v>
      </c>
      <c r="BC907" t="s" s="0">
        <v>4172</v>
      </c>
      <c r="BD907" t="s" s="0">
        <v>81</v>
      </c>
      <c r="BE907" t="s" s="0">
        <v>81</v>
      </c>
      <c r="BF907" t="s" s="0">
        <v>81</v>
      </c>
      <c r="BG907" t="s" s="0">
        <v>13368</v>
      </c>
      <c r="BH907" t="s" s="0">
        <v>13369</v>
      </c>
      <c r="BI907" t="s" s="0">
        <v>81</v>
      </c>
      <c r="BJ907" t="s" s="0">
        <v>19664</v>
      </c>
      <c r="BK907" t="s" s="1804">
        <f>HYPERLINK("http://dx.doi.org/10.1177/17449871231215696","http://dx.doi.org/10.1177/17449871231215696")</f>
        <v>19665</v>
      </c>
      <c r="BL907" t="s" s="0">
        <v>81</v>
      </c>
      <c r="BM907" t="s" s="0">
        <v>190</v>
      </c>
      <c r="BN907" t="s" s="0">
        <v>191</v>
      </c>
      <c r="BO907" t="s" s="0">
        <v>5034</v>
      </c>
      <c r="BP907" t="s" s="0">
        <v>5034</v>
      </c>
      <c r="BQ907" t="s" s="0">
        <v>19666</v>
      </c>
      <c r="BR907" t="s" s="0">
        <v>19667</v>
      </c>
      <c r="BS907" t="s" s="0">
        <v>19668</v>
      </c>
      <c r="BT907" t="s" s="1805">
        <f>HYPERLINK("https://www.webofscience.com/wos/woscc/full-record/WOS:001176160000001","View Record in Web of Science")</f>
        <v>114</v>
      </c>
      <c r="BU907" t="s" s="0">
        <v>155</v>
      </c>
      <c r="BV907" t="s" s="0">
        <v>81</v>
      </c>
      <c r="BW907" t="s" s="0">
        <v>81</v>
      </c>
      <c r="BX907" t="s" s="0">
        <v>116</v>
      </c>
    </row>
    <row r="908">
      <c r="A908" t="s" s="0">
        <v>77</v>
      </c>
      <c r="B908" t="s" s="0">
        <v>77</v>
      </c>
      <c r="C908" t="s" s="0">
        <v>77</v>
      </c>
      <c r="D908" t="s" s="0">
        <v>77</v>
      </c>
      <c r="E908" t="s" s="0">
        <v>19669</v>
      </c>
      <c r="F908" t="s" s="0">
        <v>19670</v>
      </c>
      <c r="G908" t="s" s="0">
        <v>19671</v>
      </c>
      <c r="H908" t="s" s="0">
        <v>81</v>
      </c>
      <c r="I908" t="s" s="0">
        <v>238</v>
      </c>
      <c r="J908" t="s" s="0">
        <v>19672</v>
      </c>
      <c r="K908" t="s" s="0">
        <v>19673</v>
      </c>
      <c r="L908" t="s" s="0">
        <v>81</v>
      </c>
      <c r="M908" t="s" s="0">
        <v>81</v>
      </c>
      <c r="N908" t="s" s="0">
        <v>81</v>
      </c>
      <c r="O908" t="s" s="0">
        <v>19674</v>
      </c>
      <c r="P908" t="s" s="0">
        <v>19675</v>
      </c>
      <c r="Q908" t="s" s="0">
        <v>87</v>
      </c>
      <c r="R908" t="s" s="0">
        <v>81</v>
      </c>
      <c r="S908" t="s" s="0">
        <v>81</v>
      </c>
      <c r="T908" t="s" s="0">
        <v>81</v>
      </c>
      <c r="U908" t="s" s="0">
        <v>81</v>
      </c>
      <c r="V908" t="s" s="0">
        <v>19676</v>
      </c>
      <c r="W908" t="s" s="0">
        <v>10144</v>
      </c>
      <c r="X908" t="s" s="0">
        <v>81</v>
      </c>
      <c r="Y908" t="s" s="0">
        <v>81</v>
      </c>
      <c r="Z908" t="s" s="0">
        <v>90</v>
      </c>
      <c r="AA908" t="s" s="0">
        <v>91</v>
      </c>
      <c r="AB908" t="s" s="0">
        <v>81</v>
      </c>
      <c r="AC908" t="s" s="0">
        <v>81</v>
      </c>
      <c r="AD908" t="s" s="0">
        <v>81</v>
      </c>
      <c r="AE908" t="s" s="0">
        <v>81</v>
      </c>
      <c r="AF908" t="s" s="0">
        <v>81</v>
      </c>
      <c r="AG908" t="s" s="0">
        <v>19677</v>
      </c>
      <c r="AH908" t="s" s="0">
        <v>19678</v>
      </c>
      <c r="AI908" t="s" s="0">
        <v>19679</v>
      </c>
      <c r="AJ908" t="s" s="0">
        <v>19680</v>
      </c>
      <c r="AK908" t="s" s="0">
        <v>81</v>
      </c>
      <c r="AL908" t="s" s="0">
        <v>756</v>
      </c>
      <c r="AM908" t="s" s="0">
        <v>77</v>
      </c>
      <c r="AN908" t="s" s="0">
        <v>156</v>
      </c>
      <c r="AO908" t="s" s="0">
        <v>234</v>
      </c>
      <c r="AP908" t="s" s="0">
        <v>234</v>
      </c>
      <c r="AQ908" t="s" s="0">
        <v>3061</v>
      </c>
      <c r="AR908" t="s" s="0">
        <v>3062</v>
      </c>
      <c r="AS908" t="s" s="0">
        <v>3063</v>
      </c>
      <c r="AT908" t="s" s="0">
        <v>81</v>
      </c>
      <c r="AU908" t="s" s="0">
        <v>10146</v>
      </c>
      <c r="AV908" t="s" s="0">
        <v>81</v>
      </c>
      <c r="AW908" t="s" s="0">
        <v>10147</v>
      </c>
      <c r="AX908" t="s" s="0">
        <v>10148</v>
      </c>
      <c r="AY908" t="s" s="0">
        <v>103</v>
      </c>
      <c r="AZ908" t="s" s="0">
        <v>103</v>
      </c>
      <c r="BA908" t="s" s="0">
        <v>211</v>
      </c>
      <c r="BB908" t="s" s="0">
        <v>81</v>
      </c>
      <c r="BC908" t="s" s="0">
        <v>81</v>
      </c>
      <c r="BD908" t="s" s="0">
        <v>81</v>
      </c>
      <c r="BE908" t="s" s="0">
        <v>81</v>
      </c>
      <c r="BF908" t="s" s="0">
        <v>81</v>
      </c>
      <c r="BG908" t="s" s="0">
        <v>81</v>
      </c>
      <c r="BH908" t="s" s="0">
        <v>81</v>
      </c>
      <c r="BI908" t="s" s="0">
        <v>19681</v>
      </c>
      <c r="BJ908" t="s" s="0">
        <v>19682</v>
      </c>
      <c r="BK908" t="s" s="1806">
        <f>HYPERLINK("http://dx.doi.org/10.2196/82667","http://dx.doi.org/10.2196/82667")</f>
        <v>19683</v>
      </c>
      <c r="BL908" t="s" s="0">
        <v>81</v>
      </c>
      <c r="BM908" t="s" s="0">
        <v>81</v>
      </c>
      <c r="BN908" t="s" s="0">
        <v>486</v>
      </c>
      <c r="BO908" t="s" s="0">
        <v>792</v>
      </c>
      <c r="BP908" t="s" s="0">
        <v>792</v>
      </c>
      <c r="BQ908" t="s" s="0">
        <v>19684</v>
      </c>
      <c r="BR908" t="s" s="0">
        <v>19685</v>
      </c>
      <c r="BS908" t="s" s="0">
        <v>19686</v>
      </c>
      <c r="BT908" t="s" s="1807">
        <f>HYPERLINK("https://www.webofscience.com/wos/woscc/full-record/WOS:001771795100033","View Record in Web of Science")</f>
        <v>114</v>
      </c>
      <c r="BU908" t="s" s="0">
        <v>301</v>
      </c>
      <c r="BV908" t="s" s="0">
        <v>81</v>
      </c>
      <c r="BW908" t="s" s="0">
        <v>81</v>
      </c>
      <c r="BX908" t="s" s="0">
        <v>116</v>
      </c>
    </row>
    <row r="909">
      <c r="A909" t="s" s="0">
        <v>77</v>
      </c>
      <c r="B909" t="s" s="0">
        <v>77</v>
      </c>
      <c r="C909" t="s" s="0">
        <v>77</v>
      </c>
      <c r="D909" t="s" s="0">
        <v>77</v>
      </c>
      <c r="E909" t="s" s="0">
        <v>19687</v>
      </c>
      <c r="F909" t="s" s="0">
        <v>19688</v>
      </c>
      <c r="G909" t="s" s="0">
        <v>19689</v>
      </c>
      <c r="H909" t="s" s="0">
        <v>81</v>
      </c>
      <c r="I909" t="s" s="0">
        <v>82</v>
      </c>
      <c r="J909" t="s" s="0">
        <v>19690</v>
      </c>
      <c r="K909" t="s" s="0">
        <v>19691</v>
      </c>
      <c r="L909" t="s" s="0">
        <v>19692</v>
      </c>
      <c r="M909" t="s" s="0">
        <v>19693</v>
      </c>
      <c r="N909" t="s" s="0">
        <v>19694</v>
      </c>
      <c r="O909" t="s" s="0">
        <v>19695</v>
      </c>
      <c r="P909" t="s" s="0">
        <v>19696</v>
      </c>
      <c r="Q909" t="s" s="0">
        <v>87</v>
      </c>
      <c r="R909" t="s" s="0">
        <v>81</v>
      </c>
      <c r="S909" t="s" s="0">
        <v>81</v>
      </c>
      <c r="T909" t="s" s="0">
        <v>81</v>
      </c>
      <c r="U909" t="s" s="0">
        <v>81</v>
      </c>
      <c r="V909" t="s" s="0">
        <v>19697</v>
      </c>
      <c r="W909" t="s" s="0">
        <v>19698</v>
      </c>
      <c r="X909" t="s" s="0">
        <v>81</v>
      </c>
      <c r="Y909" t="s" s="0">
        <v>81</v>
      </c>
      <c r="Z909" t="s" s="0">
        <v>90</v>
      </c>
      <c r="AA909" t="s" s="0">
        <v>91</v>
      </c>
      <c r="AB909" t="s" s="0">
        <v>81</v>
      </c>
      <c r="AC909" t="s" s="0">
        <v>81</v>
      </c>
      <c r="AD909" t="s" s="0">
        <v>81</v>
      </c>
      <c r="AE909" t="s" s="0">
        <v>81</v>
      </c>
      <c r="AF909" t="s" s="0">
        <v>81</v>
      </c>
      <c r="AG909" t="s" s="0">
        <v>19699</v>
      </c>
      <c r="AH909" t="s" s="0">
        <v>19700</v>
      </c>
      <c r="AI909" t="s" s="0">
        <v>81</v>
      </c>
      <c r="AJ909" t="s" s="0">
        <v>19701</v>
      </c>
      <c r="AK909" t="s" s="0">
        <v>81</v>
      </c>
      <c r="AL909" t="s" s="0">
        <v>5451</v>
      </c>
      <c r="AM909" t="s" s="0">
        <v>77</v>
      </c>
      <c r="AN909" t="s" s="0">
        <v>77</v>
      </c>
      <c r="AO909" t="s" s="0">
        <v>175</v>
      </c>
      <c r="AP909" t="s" s="0">
        <v>175</v>
      </c>
      <c r="AQ909" t="s" s="0">
        <v>603</v>
      </c>
      <c r="AR909" t="s" s="0">
        <v>604</v>
      </c>
      <c r="AS909" t="s" s="0">
        <v>605</v>
      </c>
      <c r="AT909" t="s" s="0">
        <v>19702</v>
      </c>
      <c r="AU909" t="s" s="0">
        <v>19703</v>
      </c>
      <c r="AV909" t="s" s="0">
        <v>81</v>
      </c>
      <c r="AW909" t="s" s="0">
        <v>19704</v>
      </c>
      <c r="AX909" t="s" s="0">
        <v>19705</v>
      </c>
      <c r="AY909" t="s" s="0">
        <v>19706</v>
      </c>
      <c r="AZ909" t="s" s="0">
        <v>103</v>
      </c>
      <c r="BA909" t="s" s="0">
        <v>324</v>
      </c>
      <c r="BB909" t="s" s="0">
        <v>156</v>
      </c>
      <c r="BC909" t="s" s="0">
        <v>81</v>
      </c>
      <c r="BD909" t="s" s="0">
        <v>81</v>
      </c>
      <c r="BE909" t="s" s="0">
        <v>81</v>
      </c>
      <c r="BF909" t="s" s="0">
        <v>81</v>
      </c>
      <c r="BG909" t="s" s="0">
        <v>19707</v>
      </c>
      <c r="BH909" t="s" s="0">
        <v>10167</v>
      </c>
      <c r="BI909" t="s" s="0">
        <v>81</v>
      </c>
      <c r="BJ909" t="s" s="0">
        <v>19708</v>
      </c>
      <c r="BK909" t="s" s="1808">
        <f>HYPERLINK("http://dx.doi.org/10.1080/10618600.2025.2561905","http://dx.doi.org/10.1080/10618600.2025.2561905")</f>
        <v>19709</v>
      </c>
      <c r="BL909" t="s" s="0">
        <v>81</v>
      </c>
      <c r="BM909" t="s" s="0">
        <v>1743</v>
      </c>
      <c r="BN909" t="s" s="0">
        <v>925</v>
      </c>
      <c r="BO909" t="s" s="0">
        <v>19710</v>
      </c>
      <c r="BP909" t="s" s="0">
        <v>3693</v>
      </c>
      <c r="BQ909" t="s" s="0">
        <v>19711</v>
      </c>
      <c r="BR909" t="s" s="0">
        <v>81</v>
      </c>
      <c r="BS909" t="s" s="0">
        <v>19712</v>
      </c>
      <c r="BT909" t="s" s="1809">
        <f>HYPERLINK("https://www.webofscience.com/wos/woscc/full-record/WOS:001619647400001","View Record in Web of Science")</f>
        <v>114</v>
      </c>
      <c r="BU909" t="s" s="0">
        <v>1055</v>
      </c>
      <c r="BV909" t="s" s="0">
        <v>81</v>
      </c>
      <c r="BW909" t="s" s="0">
        <v>81</v>
      </c>
      <c r="BX909" t="s" s="0">
        <v>116</v>
      </c>
    </row>
    <row r="910">
      <c r="A910" t="s" s="0">
        <v>77</v>
      </c>
      <c r="B910" t="s" s="0">
        <v>77</v>
      </c>
      <c r="C910" t="s" s="0">
        <v>77</v>
      </c>
      <c r="D910" t="s" s="0">
        <v>77</v>
      </c>
      <c r="E910" t="s" s="0">
        <v>19713</v>
      </c>
      <c r="F910" t="s" s="0">
        <v>19714</v>
      </c>
      <c r="G910" t="s" s="0">
        <v>19715</v>
      </c>
      <c r="H910" t="s" s="0">
        <v>81</v>
      </c>
      <c r="I910" t="s" s="0">
        <v>82</v>
      </c>
      <c r="J910" t="s" s="0">
        <v>19716</v>
      </c>
      <c r="K910" t="s" s="0">
        <v>19717</v>
      </c>
      <c r="L910" t="s" s="0">
        <v>81</v>
      </c>
      <c r="M910" t="s" s="0">
        <v>81</v>
      </c>
      <c r="N910" t="s" s="0">
        <v>81</v>
      </c>
      <c r="O910" t="s" s="0">
        <v>19718</v>
      </c>
      <c r="P910" t="s" s="0">
        <v>19719</v>
      </c>
      <c r="Q910" t="s" s="0">
        <v>87</v>
      </c>
      <c r="R910" t="s" s="0">
        <v>81</v>
      </c>
      <c r="S910" t="s" s="0">
        <v>81</v>
      </c>
      <c r="T910" t="s" s="0">
        <v>81</v>
      </c>
      <c r="U910" t="s" s="0">
        <v>81</v>
      </c>
      <c r="V910" t="s" s="0">
        <v>19720</v>
      </c>
      <c r="W910" t="s" s="0">
        <v>910</v>
      </c>
      <c r="X910" t="s" s="0">
        <v>81</v>
      </c>
      <c r="Y910" t="s" s="0">
        <v>81</v>
      </c>
      <c r="Z910" t="s" s="0">
        <v>90</v>
      </c>
      <c r="AA910" t="s" s="0">
        <v>91</v>
      </c>
      <c r="AB910" t="s" s="0">
        <v>81</v>
      </c>
      <c r="AC910" t="s" s="0">
        <v>81</v>
      </c>
      <c r="AD910" t="s" s="0">
        <v>81</v>
      </c>
      <c r="AE910" t="s" s="0">
        <v>81</v>
      </c>
      <c r="AF910" t="s" s="0">
        <v>81</v>
      </c>
      <c r="AG910" t="s" s="0">
        <v>19721</v>
      </c>
      <c r="AH910" t="s" s="0">
        <v>81</v>
      </c>
      <c r="AI910" t="s" s="0">
        <v>81</v>
      </c>
      <c r="AJ910" t="s" s="0">
        <v>81</v>
      </c>
      <c r="AK910" t="s" s="0">
        <v>81</v>
      </c>
      <c r="AL910" t="s" s="0">
        <v>344</v>
      </c>
      <c r="AM910" t="s" s="0">
        <v>77</v>
      </c>
      <c r="AN910" t="s" s="0">
        <v>77</v>
      </c>
      <c r="AO910" t="s" s="0">
        <v>77</v>
      </c>
      <c r="AP910" t="s" s="0">
        <v>77</v>
      </c>
      <c r="AQ910" t="s" s="0">
        <v>915</v>
      </c>
      <c r="AR910" t="s" s="0">
        <v>916</v>
      </c>
      <c r="AS910" t="s" s="0">
        <v>917</v>
      </c>
      <c r="AT910" t="s" s="0">
        <v>918</v>
      </c>
      <c r="AU910" t="s" s="0">
        <v>81</v>
      </c>
      <c r="AV910" t="s" s="0">
        <v>81</v>
      </c>
      <c r="AW910" t="s" s="0">
        <v>919</v>
      </c>
      <c r="AX910" t="s" s="0">
        <v>920</v>
      </c>
      <c r="AY910" t="s" s="0">
        <v>19722</v>
      </c>
      <c r="AZ910" t="s" s="0">
        <v>103</v>
      </c>
      <c r="BA910" t="s" s="0">
        <v>925</v>
      </c>
      <c r="BB910" t="s" s="0">
        <v>97</v>
      </c>
      <c r="BC910" t="s" s="0">
        <v>81</v>
      </c>
      <c r="BD910" t="s" s="0">
        <v>81</v>
      </c>
      <c r="BE910" t="s" s="0">
        <v>81</v>
      </c>
      <c r="BF910" t="s" s="0">
        <v>81</v>
      </c>
      <c r="BG910" t="s" s="0">
        <v>81</v>
      </c>
      <c r="BH910" t="s" s="0">
        <v>81</v>
      </c>
      <c r="BI910" t="s" s="0">
        <v>19723</v>
      </c>
      <c r="BJ910" t="s" s="0">
        <v>19724</v>
      </c>
      <c r="BK910" t="s" s="1810">
        <f>HYPERLINK("http://dx.doi.org/10.1038/s41598-026-49129-3","http://dx.doi.org/10.1038/s41598-026-49129-3")</f>
        <v>19725</v>
      </c>
      <c r="BL910" t="s" s="0">
        <v>81</v>
      </c>
      <c r="BM910" t="s" s="0">
        <v>3366</v>
      </c>
      <c r="BN910" t="s" s="0">
        <v>134</v>
      </c>
      <c r="BO910" t="s" s="0">
        <v>926</v>
      </c>
      <c r="BP910" t="s" s="0">
        <v>927</v>
      </c>
      <c r="BQ910" t="s" s="0">
        <v>19726</v>
      </c>
      <c r="BR910" t="s" s="0">
        <v>19727</v>
      </c>
      <c r="BS910" t="s" s="0">
        <v>19728</v>
      </c>
      <c r="BT910" t="s" s="1811">
        <f>HYPERLINK("https://www.webofscience.com/wos/woscc/full-record/WOS:001820044500005","View Record in Web of Science")</f>
        <v>114</v>
      </c>
      <c r="BU910" t="s" s="0">
        <v>301</v>
      </c>
      <c r="BV910" t="s" s="0">
        <v>81</v>
      </c>
      <c r="BW910" t="s" s="0">
        <v>81</v>
      </c>
      <c r="BX910" t="s" s="0">
        <v>116</v>
      </c>
    </row>
    <row r="911">
      <c r="A911" t="s" s="0">
        <v>77</v>
      </c>
      <c r="B911" t="s" s="0">
        <v>77</v>
      </c>
      <c r="C911" t="s" s="0">
        <v>77</v>
      </c>
      <c r="D911" t="s" s="0">
        <v>77</v>
      </c>
      <c r="E911" t="s" s="0">
        <v>19729</v>
      </c>
      <c r="F911" t="s" s="0">
        <v>19730</v>
      </c>
      <c r="G911" t="s" s="0">
        <v>19731</v>
      </c>
      <c r="H911" t="s" s="0">
        <v>81</v>
      </c>
      <c r="I911" t="s" s="0">
        <v>238</v>
      </c>
      <c r="J911" t="s" s="0">
        <v>19732</v>
      </c>
      <c r="K911" t="s" s="0">
        <v>19733</v>
      </c>
      <c r="L911" t="s" s="0">
        <v>81</v>
      </c>
      <c r="M911" t="s" s="0">
        <v>81</v>
      </c>
      <c r="N911" t="s" s="0">
        <v>81</v>
      </c>
      <c r="O911" t="s" s="0">
        <v>19734</v>
      </c>
      <c r="P911" t="s" s="0">
        <v>10142</v>
      </c>
      <c r="Q911" t="s" s="0">
        <v>87</v>
      </c>
      <c r="R911" t="s" s="0">
        <v>81</v>
      </c>
      <c r="S911" t="s" s="0">
        <v>81</v>
      </c>
      <c r="T911" t="s" s="0">
        <v>81</v>
      </c>
      <c r="U911" t="s" s="0">
        <v>81</v>
      </c>
      <c r="V911" t="s" s="0">
        <v>19735</v>
      </c>
      <c r="W911" t="s" s="0">
        <v>19736</v>
      </c>
      <c r="X911" t="s" s="0">
        <v>81</v>
      </c>
      <c r="Y911" t="s" s="0">
        <v>81</v>
      </c>
      <c r="Z911" t="s" s="0">
        <v>90</v>
      </c>
      <c r="AA911" t="s" s="0">
        <v>91</v>
      </c>
      <c r="AB911" t="s" s="0">
        <v>81</v>
      </c>
      <c r="AC911" t="s" s="0">
        <v>81</v>
      </c>
      <c r="AD911" t="s" s="0">
        <v>81</v>
      </c>
      <c r="AE911" t="s" s="0">
        <v>81</v>
      </c>
      <c r="AF911" t="s" s="0">
        <v>81</v>
      </c>
      <c r="AG911" t="s" s="0">
        <v>19737</v>
      </c>
      <c r="AH911" t="s" s="0">
        <v>81</v>
      </c>
      <c r="AI911" t="s" s="0">
        <v>81</v>
      </c>
      <c r="AJ911" t="s" s="0">
        <v>81</v>
      </c>
      <c r="AK911" t="s" s="0">
        <v>81</v>
      </c>
      <c r="AL911" t="s" s="0">
        <v>134</v>
      </c>
      <c r="AM911" t="s" s="0">
        <v>133</v>
      </c>
      <c r="AN911" t="s" s="0">
        <v>316</v>
      </c>
      <c r="AO911" t="s" s="0">
        <v>77</v>
      </c>
      <c r="AP911" t="s" s="0">
        <v>133</v>
      </c>
      <c r="AQ911" t="s" s="0">
        <v>19738</v>
      </c>
      <c r="AR911" t="s" s="0">
        <v>4821</v>
      </c>
      <c r="AS911" t="s" s="0">
        <v>19739</v>
      </c>
      <c r="AT911" t="s" s="0">
        <v>19740</v>
      </c>
      <c r="AU911" t="s" s="0">
        <v>19741</v>
      </c>
      <c r="AV911" t="s" s="0">
        <v>81</v>
      </c>
      <c r="AW911" t="s" s="0">
        <v>19742</v>
      </c>
      <c r="AX911" t="s" s="0">
        <v>19743</v>
      </c>
      <c r="AY911" t="s" s="0">
        <v>615</v>
      </c>
      <c r="AZ911" t="s" s="0">
        <v>290</v>
      </c>
      <c r="BA911" t="s" s="0">
        <v>104</v>
      </c>
      <c r="BB911" t="s" s="0">
        <v>156</v>
      </c>
      <c r="BC911" t="s" s="0">
        <v>81</v>
      </c>
      <c r="BD911" t="s" s="0">
        <v>81</v>
      </c>
      <c r="BE911" t="s" s="0">
        <v>81</v>
      </c>
      <c r="BF911" t="s" s="0">
        <v>81</v>
      </c>
      <c r="BG911" t="s" s="0">
        <v>3425</v>
      </c>
      <c r="BH911" t="s" s="0">
        <v>2296</v>
      </c>
      <c r="BI911" t="s" s="0">
        <v>81</v>
      </c>
      <c r="BJ911" t="s" s="0">
        <v>19744</v>
      </c>
      <c r="BK911" t="s" s="1812">
        <f>HYPERLINK("http://dx.doi.org/10.5582/irdr.2025.01030","http://dx.doi.org/10.5582/irdr.2025.01030")</f>
        <v>19745</v>
      </c>
      <c r="BL911" t="s" s="0">
        <v>81</v>
      </c>
      <c r="BM911" t="s" s="0">
        <v>81</v>
      </c>
      <c r="BN911" t="s" s="0">
        <v>133</v>
      </c>
      <c r="BO911" t="s" s="0">
        <v>296</v>
      </c>
      <c r="BP911" t="s" s="0">
        <v>297</v>
      </c>
      <c r="BQ911" t="s" s="0">
        <v>19746</v>
      </c>
      <c r="BR911" t="s" s="0">
        <v>19747</v>
      </c>
      <c r="BS911" t="s" s="0">
        <v>19748</v>
      </c>
      <c r="BT911" t="s" s="1813">
        <f>HYPERLINK("https://www.webofscience.com/wos/woscc/full-record/WOS:001504782700001","View Record in Web of Science")</f>
        <v>114</v>
      </c>
      <c r="BU911" t="s" s="0">
        <v>301</v>
      </c>
      <c r="BV911" t="s" s="0">
        <v>81</v>
      </c>
      <c r="BW911" t="s" s="0">
        <v>81</v>
      </c>
      <c r="BX911" t="s" s="0">
        <v>116</v>
      </c>
    </row>
    <row r="912">
      <c r="A912" t="s" s="0">
        <v>77</v>
      </c>
      <c r="B912" t="s" s="0">
        <v>77</v>
      </c>
      <c r="C912" t="s" s="0">
        <v>77</v>
      </c>
      <c r="D912" t="s" s="0">
        <v>77</v>
      </c>
      <c r="E912" t="s" s="0">
        <v>19749</v>
      </c>
      <c r="F912" t="s" s="0">
        <v>19750</v>
      </c>
      <c r="G912" t="s" s="0">
        <v>19751</v>
      </c>
      <c r="H912" t="s" s="0">
        <v>81</v>
      </c>
      <c r="I912" t="s" s="0">
        <v>82</v>
      </c>
      <c r="J912" t="s" s="0">
        <v>19752</v>
      </c>
      <c r="K912" t="s" s="0">
        <v>19753</v>
      </c>
      <c r="L912" t="s" s="0">
        <v>81</v>
      </c>
      <c r="M912" t="s" s="0">
        <v>81</v>
      </c>
      <c r="N912" t="s" s="0">
        <v>81</v>
      </c>
      <c r="O912" t="s" s="0">
        <v>19754</v>
      </c>
      <c r="P912" t="s" s="0">
        <v>19755</v>
      </c>
      <c r="Q912" t="s" s="0">
        <v>87</v>
      </c>
      <c r="R912" t="s" s="0">
        <v>81</v>
      </c>
      <c r="S912" t="s" s="0">
        <v>81</v>
      </c>
      <c r="T912" t="s" s="0">
        <v>81</v>
      </c>
      <c r="U912" t="s" s="0">
        <v>81</v>
      </c>
      <c r="V912" t="s" s="0">
        <v>19756</v>
      </c>
      <c r="W912" t="s" s="0">
        <v>8288</v>
      </c>
      <c r="X912" t="s" s="0">
        <v>81</v>
      </c>
      <c r="Y912" t="s" s="0">
        <v>81</v>
      </c>
      <c r="Z912" t="s" s="0">
        <v>90</v>
      </c>
      <c r="AA912" t="s" s="0">
        <v>91</v>
      </c>
      <c r="AB912" t="s" s="0">
        <v>81</v>
      </c>
      <c r="AC912" t="s" s="0">
        <v>81</v>
      </c>
      <c r="AD912" t="s" s="0">
        <v>81</v>
      </c>
      <c r="AE912" t="s" s="0">
        <v>81</v>
      </c>
      <c r="AF912" t="s" s="0">
        <v>81</v>
      </c>
      <c r="AG912" t="s" s="0">
        <v>19757</v>
      </c>
      <c r="AH912" t="s" s="0">
        <v>19758</v>
      </c>
      <c r="AI912" t="s" s="0">
        <v>19759</v>
      </c>
      <c r="AJ912" t="s" s="0">
        <v>19760</v>
      </c>
      <c r="AK912" t="s" s="0">
        <v>81</v>
      </c>
      <c r="AL912" t="s" s="0">
        <v>4754</v>
      </c>
      <c r="AM912" t="s" s="0">
        <v>97</v>
      </c>
      <c r="AN912" t="s" s="0">
        <v>97</v>
      </c>
      <c r="AO912" t="s" s="0">
        <v>97</v>
      </c>
      <c r="AP912" t="s" s="0">
        <v>196</v>
      </c>
      <c r="AQ912" t="s" s="0">
        <v>8290</v>
      </c>
      <c r="AR912" t="s" s="0">
        <v>8291</v>
      </c>
      <c r="AS912" t="s" s="0">
        <v>8292</v>
      </c>
      <c r="AT912" t="s" s="0">
        <v>8293</v>
      </c>
      <c r="AU912" t="s" s="0">
        <v>81</v>
      </c>
      <c r="AV912" t="s" s="0">
        <v>81</v>
      </c>
      <c r="AW912" t="s" s="0">
        <v>8294</v>
      </c>
      <c r="AX912" t="s" s="0">
        <v>8295</v>
      </c>
      <c r="AY912" t="s" s="0">
        <v>9498</v>
      </c>
      <c r="AZ912" t="s" s="0">
        <v>290</v>
      </c>
      <c r="BA912" t="s" s="0">
        <v>485</v>
      </c>
      <c r="BB912" t="s" s="0">
        <v>211</v>
      </c>
      <c r="BC912" t="s" s="0">
        <v>81</v>
      </c>
      <c r="BD912" t="s" s="0">
        <v>81</v>
      </c>
      <c r="BE912" t="s" s="0">
        <v>81</v>
      </c>
      <c r="BF912" t="s" s="0">
        <v>81</v>
      </c>
      <c r="BG912" t="s" s="0">
        <v>19761</v>
      </c>
      <c r="BH912" t="s" s="0">
        <v>19762</v>
      </c>
      <c r="BI912" t="s" s="0">
        <v>81</v>
      </c>
      <c r="BJ912" t="s" s="0">
        <v>19763</v>
      </c>
      <c r="BK912" t="s" s="1814">
        <f>HYPERLINK("http://dx.doi.org/10.3837/tiis.2025.10.009","http://dx.doi.org/10.3837/tiis.2025.10.009")</f>
        <v>19764</v>
      </c>
      <c r="BL912" t="s" s="0">
        <v>81</v>
      </c>
      <c r="BM912" t="s" s="0">
        <v>81</v>
      </c>
      <c r="BN912" t="s" s="0">
        <v>252</v>
      </c>
      <c r="BO912" t="s" s="0">
        <v>5915</v>
      </c>
      <c r="BP912" t="s" s="0">
        <v>3593</v>
      </c>
      <c r="BQ912" t="s" s="0">
        <v>19765</v>
      </c>
      <c r="BR912" t="s" s="0">
        <v>81</v>
      </c>
      <c r="BS912" t="s" s="0">
        <v>19766</v>
      </c>
      <c r="BT912" t="s" s="1815">
        <f>HYPERLINK("https://www.webofscience.com/wos/woscc/full-record/WOS:001608998600009","View Record in Web of Science")</f>
        <v>114</v>
      </c>
      <c r="BU912" t="s" s="0">
        <v>115</v>
      </c>
      <c r="BV912" t="s" s="0">
        <v>81</v>
      </c>
      <c r="BW912" t="s" s="0">
        <v>81</v>
      </c>
      <c r="BX912" t="s" s="0">
        <v>116</v>
      </c>
    </row>
    <row r="913">
      <c r="A913" t="s" s="0">
        <v>77</v>
      </c>
      <c r="B913" t="s" s="0">
        <v>77</v>
      </c>
      <c r="C913" t="s" s="0">
        <v>97</v>
      </c>
      <c r="D913" t="s" s="0">
        <v>77</v>
      </c>
      <c r="E913" t="s" s="0">
        <v>19767</v>
      </c>
      <c r="F913" t="s" s="0">
        <v>19768</v>
      </c>
      <c r="G913" t="s" s="0">
        <v>19769</v>
      </c>
      <c r="H913" t="s" s="0">
        <v>81</v>
      </c>
      <c r="I913" t="s" s="0">
        <v>528</v>
      </c>
      <c r="J913" t="s" s="0">
        <v>19770</v>
      </c>
      <c r="K913" t="s" s="0">
        <v>19771</v>
      </c>
      <c r="L913" t="s" s="0">
        <v>81</v>
      </c>
      <c r="M913" t="s" s="0">
        <v>81</v>
      </c>
      <c r="N913" t="s" s="0">
        <v>81</v>
      </c>
      <c r="O913" t="s" s="0">
        <v>19772</v>
      </c>
      <c r="P913" t="s" s="0">
        <v>19773</v>
      </c>
      <c r="Q913" t="s" s="0">
        <v>87</v>
      </c>
      <c r="R913" t="s" s="0">
        <v>81</v>
      </c>
      <c r="S913" t="s" s="0">
        <v>81</v>
      </c>
      <c r="T913" t="s" s="0">
        <v>81</v>
      </c>
      <c r="U913" t="s" s="0">
        <v>81</v>
      </c>
      <c r="V913" t="s" s="0">
        <v>19774</v>
      </c>
      <c r="W913" t="s" s="0">
        <v>19775</v>
      </c>
      <c r="X913" t="s" s="0">
        <v>81</v>
      </c>
      <c r="Y913" t="s" s="0">
        <v>81</v>
      </c>
      <c r="Z913" t="s" s="0">
        <v>90</v>
      </c>
      <c r="AA913" t="s" s="0">
        <v>91</v>
      </c>
      <c r="AB913" t="s" s="0">
        <v>81</v>
      </c>
      <c r="AC913" t="s" s="0">
        <v>81</v>
      </c>
      <c r="AD913" t="s" s="0">
        <v>81</v>
      </c>
      <c r="AE913" t="s" s="0">
        <v>81</v>
      </c>
      <c r="AF913" t="s" s="0">
        <v>81</v>
      </c>
      <c r="AG913" t="s" s="0">
        <v>19776</v>
      </c>
      <c r="AH913" t="s" s="0">
        <v>81</v>
      </c>
      <c r="AI913" t="s" s="0">
        <v>19777</v>
      </c>
      <c r="AJ913" t="s" s="0">
        <v>19778</v>
      </c>
      <c r="AK913" t="s" s="0">
        <v>81</v>
      </c>
      <c r="AL913" t="s" s="0">
        <v>696</v>
      </c>
      <c r="AM913" t="s" s="0">
        <v>175</v>
      </c>
      <c r="AN913" t="s" s="0">
        <v>133</v>
      </c>
      <c r="AO913" t="s" s="0">
        <v>874</v>
      </c>
      <c r="AP913" t="s" s="0">
        <v>1049</v>
      </c>
      <c r="AQ913" t="s" s="0">
        <v>284</v>
      </c>
      <c r="AR913" t="s" s="0">
        <v>285</v>
      </c>
      <c r="AS913" t="s" s="0">
        <v>286</v>
      </c>
      <c r="AT913" t="s" s="0">
        <v>81</v>
      </c>
      <c r="AU913" t="s" s="0">
        <v>19779</v>
      </c>
      <c r="AV913" t="s" s="0">
        <v>81</v>
      </c>
      <c r="AW913" t="s" s="0">
        <v>19780</v>
      </c>
      <c r="AX913" t="s" s="0">
        <v>19781</v>
      </c>
      <c r="AY913" t="s" s="0">
        <v>19782</v>
      </c>
      <c r="AZ913" t="s" s="0">
        <v>290</v>
      </c>
      <c r="BA913" t="s" s="0">
        <v>222</v>
      </c>
      <c r="BB913" t="s" s="0">
        <v>222</v>
      </c>
      <c r="BC913" t="s" s="0">
        <v>81</v>
      </c>
      <c r="BD913" t="s" s="0">
        <v>81</v>
      </c>
      <c r="BE913" t="s" s="0">
        <v>81</v>
      </c>
      <c r="BF913" t="s" s="0">
        <v>81</v>
      </c>
      <c r="BG913" t="s" s="0">
        <v>81</v>
      </c>
      <c r="BH913" t="s" s="0">
        <v>81</v>
      </c>
      <c r="BI913" t="s" s="0">
        <v>19783</v>
      </c>
      <c r="BJ913" t="s" s="0">
        <v>19784</v>
      </c>
      <c r="BK913" t="s" s="1816">
        <f>HYPERLINK("http://dx.doi.org/10.3390/su17178058","http://dx.doi.org/10.3390/su17178058")</f>
        <v>19785</v>
      </c>
      <c r="BL913" t="s" s="0">
        <v>81</v>
      </c>
      <c r="BM913" t="s" s="0">
        <v>81</v>
      </c>
      <c r="BN913" t="s" s="0">
        <v>295</v>
      </c>
      <c r="BO913" t="s" s="0">
        <v>19786</v>
      </c>
      <c r="BP913" t="s" s="0">
        <v>19787</v>
      </c>
      <c r="BQ913" t="s" s="0">
        <v>19788</v>
      </c>
      <c r="BR913" t="s" s="0">
        <v>81</v>
      </c>
      <c r="BS913" t="s" s="0">
        <v>19789</v>
      </c>
      <c r="BT913" t="s" s="1817">
        <f>HYPERLINK("https://www.webofscience.com/wos/woscc/full-record/WOS:001570024600001","View Record in Web of Science")</f>
        <v>114</v>
      </c>
      <c r="BU913" t="s" s="0">
        <v>115</v>
      </c>
      <c r="BV913" t="s" s="0">
        <v>81</v>
      </c>
      <c r="BW913" t="s" s="0">
        <v>81</v>
      </c>
      <c r="BX913" t="s" s="0">
        <v>116</v>
      </c>
    </row>
    <row r="914">
      <c r="A914" t="s" s="0">
        <v>77</v>
      </c>
      <c r="B914" t="s" s="0">
        <v>77</v>
      </c>
      <c r="C914" t="s" s="0">
        <v>77</v>
      </c>
      <c r="D914" t="s" s="0">
        <v>77</v>
      </c>
      <c r="E914" t="s" s="0">
        <v>19790</v>
      </c>
      <c r="F914" t="s" s="0">
        <v>19791</v>
      </c>
      <c r="G914" t="s" s="0">
        <v>19792</v>
      </c>
      <c r="H914" t="s" s="0">
        <v>81</v>
      </c>
      <c r="I914" t="s" s="0">
        <v>82</v>
      </c>
      <c r="J914" t="s" s="0">
        <v>19793</v>
      </c>
      <c r="K914" t="s" s="0">
        <v>19794</v>
      </c>
      <c r="L914" t="s" s="0">
        <v>19795</v>
      </c>
      <c r="M914" t="s" s="0">
        <v>1221</v>
      </c>
      <c r="N914" t="s" s="0">
        <v>19796</v>
      </c>
      <c r="O914" t="s" s="0">
        <v>19797</v>
      </c>
      <c r="P914" t="s" s="0">
        <v>19798</v>
      </c>
      <c r="Q914" t="s" s="0">
        <v>87</v>
      </c>
      <c r="R914" t="s" s="0">
        <v>81</v>
      </c>
      <c r="S914" t="s" s="0">
        <v>81</v>
      </c>
      <c r="T914" t="s" s="0">
        <v>81</v>
      </c>
      <c r="U914" t="s" s="0">
        <v>81</v>
      </c>
      <c r="V914" t="s" s="0">
        <v>19799</v>
      </c>
      <c r="W914" t="s" s="0">
        <v>19800</v>
      </c>
      <c r="X914" t="s" s="0">
        <v>81</v>
      </c>
      <c r="Y914" t="s" s="0">
        <v>81</v>
      </c>
      <c r="Z914" t="s" s="0">
        <v>90</v>
      </c>
      <c r="AA914" t="s" s="0">
        <v>91</v>
      </c>
      <c r="AB914" t="s" s="0">
        <v>81</v>
      </c>
      <c r="AC914" t="s" s="0">
        <v>81</v>
      </c>
      <c r="AD914" t="s" s="0">
        <v>81</v>
      </c>
      <c r="AE914" t="s" s="0">
        <v>81</v>
      </c>
      <c r="AF914" t="s" s="0">
        <v>81</v>
      </c>
      <c r="AG914" t="s" s="0">
        <v>19801</v>
      </c>
      <c r="AH914" t="s" s="0">
        <v>19802</v>
      </c>
      <c r="AI914" t="s" s="0">
        <v>81</v>
      </c>
      <c r="AJ914" t="s" s="0">
        <v>81</v>
      </c>
      <c r="AK914" t="s" s="0">
        <v>81</v>
      </c>
      <c r="AL914" t="s" s="0">
        <v>1184</v>
      </c>
      <c r="AM914" t="s" s="0">
        <v>234</v>
      </c>
      <c r="AN914" t="s" s="0">
        <v>234</v>
      </c>
      <c r="AO914" t="s" s="0">
        <v>2447</v>
      </c>
      <c r="AP914" t="s" s="0">
        <v>15323</v>
      </c>
      <c r="AQ914" t="s" s="0">
        <v>136</v>
      </c>
      <c r="AR914" t="s" s="0">
        <v>137</v>
      </c>
      <c r="AS914" t="s" s="0">
        <v>138</v>
      </c>
      <c r="AT914" t="s" s="0">
        <v>19803</v>
      </c>
      <c r="AU914" t="s" s="0">
        <v>19804</v>
      </c>
      <c r="AV914" t="s" s="0">
        <v>81</v>
      </c>
      <c r="AW914" t="s" s="0">
        <v>19805</v>
      </c>
      <c r="AX914" t="s" s="0">
        <v>19806</v>
      </c>
      <c r="AY914" t="s" s="0">
        <v>1743</v>
      </c>
      <c r="AZ914" t="s" s="0">
        <v>290</v>
      </c>
      <c r="BA914" t="s" s="0">
        <v>11554</v>
      </c>
      <c r="BB914" t="s" s="0">
        <v>81</v>
      </c>
      <c r="BC914" t="s" s="0">
        <v>81</v>
      </c>
      <c r="BD914" t="s" s="0">
        <v>81</v>
      </c>
      <c r="BE914" t="s" s="0">
        <v>81</v>
      </c>
      <c r="BF914" t="s" s="0">
        <v>81</v>
      </c>
      <c r="BG914" t="s" s="0">
        <v>81</v>
      </c>
      <c r="BH914" t="s" s="0">
        <v>81</v>
      </c>
      <c r="BI914" t="s" s="0">
        <v>19807</v>
      </c>
      <c r="BJ914" t="s" s="0">
        <v>19808</v>
      </c>
      <c r="BK914" t="s" s="1818">
        <f>HYPERLINK("http://dx.doi.org/10.1016/j.dss.2025.114542","http://dx.doi.org/10.1016/j.dss.2025.114542")</f>
        <v>19809</v>
      </c>
      <c r="BL914" t="s" s="0">
        <v>81</v>
      </c>
      <c r="BM914" t="s" s="0">
        <v>578</v>
      </c>
      <c r="BN914" t="s" s="0">
        <v>485</v>
      </c>
      <c r="BO914" t="s" s="0">
        <v>19810</v>
      </c>
      <c r="BP914" t="s" s="0">
        <v>4975</v>
      </c>
      <c r="BQ914" t="s" s="0">
        <v>19811</v>
      </c>
      <c r="BR914" t="s" s="0">
        <v>81</v>
      </c>
      <c r="BS914" t="s" s="0">
        <v>19812</v>
      </c>
      <c r="BT914" t="s" s="1819">
        <f>HYPERLINK("https://www.webofscience.com/wos/woscc/full-record/WOS:001584861800001","View Record in Web of Science")</f>
        <v>114</v>
      </c>
      <c r="BU914" t="s" s="0">
        <v>81</v>
      </c>
      <c r="BV914" t="s" s="0">
        <v>81</v>
      </c>
      <c r="BW914" t="s" s="0">
        <v>81</v>
      </c>
      <c r="BX914" t="s" s="0">
        <v>116</v>
      </c>
    </row>
    <row r="915">
      <c r="A915" t="s" s="0">
        <v>77</v>
      </c>
      <c r="B915" t="s" s="0">
        <v>77</v>
      </c>
      <c r="C915" t="s" s="0">
        <v>77</v>
      </c>
      <c r="D915" t="s" s="0">
        <v>77</v>
      </c>
      <c r="E915" t="s" s="0">
        <v>19813</v>
      </c>
      <c r="F915" t="s" s="0">
        <v>19814</v>
      </c>
      <c r="G915" t="s" s="0">
        <v>19815</v>
      </c>
      <c r="H915" t="s" s="0">
        <v>81</v>
      </c>
      <c r="I915" t="s" s="0">
        <v>238</v>
      </c>
      <c r="J915" t="s" s="0">
        <v>19816</v>
      </c>
      <c r="K915" t="s" s="0">
        <v>19817</v>
      </c>
      <c r="L915" t="s" s="0">
        <v>81</v>
      </c>
      <c r="M915" t="s" s="0">
        <v>81</v>
      </c>
      <c r="N915" t="s" s="0">
        <v>81</v>
      </c>
      <c r="O915" t="s" s="0">
        <v>19818</v>
      </c>
      <c r="P915" t="s" s="0">
        <v>19819</v>
      </c>
      <c r="Q915" t="s" s="0">
        <v>87</v>
      </c>
      <c r="R915" t="s" s="0">
        <v>81</v>
      </c>
      <c r="S915" t="s" s="0">
        <v>81</v>
      </c>
      <c r="T915" t="s" s="0">
        <v>81</v>
      </c>
      <c r="U915" t="s" s="0">
        <v>81</v>
      </c>
      <c r="V915" t="s" s="0">
        <v>19820</v>
      </c>
      <c r="W915" t="s" s="0">
        <v>19821</v>
      </c>
      <c r="X915" t="s" s="0">
        <v>81</v>
      </c>
      <c r="Y915" t="s" s="0">
        <v>81</v>
      </c>
      <c r="Z915" t="s" s="0">
        <v>90</v>
      </c>
      <c r="AA915" t="s" s="0">
        <v>91</v>
      </c>
      <c r="AB915" t="s" s="0">
        <v>81</v>
      </c>
      <c r="AC915" t="s" s="0">
        <v>81</v>
      </c>
      <c r="AD915" t="s" s="0">
        <v>81</v>
      </c>
      <c r="AE915" t="s" s="0">
        <v>81</v>
      </c>
      <c r="AF915" t="s" s="0">
        <v>81</v>
      </c>
      <c r="AG915" t="s" s="0">
        <v>19822</v>
      </c>
      <c r="AH915" t="s" s="0">
        <v>19823</v>
      </c>
      <c r="AI915" t="s" s="0">
        <v>81</v>
      </c>
      <c r="AJ915" t="s" s="0">
        <v>81</v>
      </c>
      <c r="AK915" t="s" s="0">
        <v>81</v>
      </c>
      <c r="AL915" t="s" s="0">
        <v>96</v>
      </c>
      <c r="AM915" t="s" s="0">
        <v>196</v>
      </c>
      <c r="AN915" t="s" s="0">
        <v>234</v>
      </c>
      <c r="AO915" t="s" s="0">
        <v>77</v>
      </c>
      <c r="AP915" t="s" s="0">
        <v>261</v>
      </c>
      <c r="AQ915" t="s" s="0">
        <v>5049</v>
      </c>
      <c r="AR915" t="s" s="0">
        <v>5050</v>
      </c>
      <c r="AS915" t="s" s="0">
        <v>5051</v>
      </c>
      <c r="AT915" t="s" s="0">
        <v>19824</v>
      </c>
      <c r="AU915" t="s" s="0">
        <v>19825</v>
      </c>
      <c r="AV915" t="s" s="0">
        <v>81</v>
      </c>
      <c r="AW915" t="s" s="0">
        <v>19826</v>
      </c>
      <c r="AX915" t="s" s="0">
        <v>19827</v>
      </c>
      <c r="AY915" t="s" s="0">
        <v>19828</v>
      </c>
      <c r="AZ915" t="s" s="0">
        <v>185</v>
      </c>
      <c r="BA915" t="s" s="0">
        <v>228</v>
      </c>
      <c r="BB915" t="s" s="0">
        <v>133</v>
      </c>
      <c r="BC915" t="s" s="0">
        <v>81</v>
      </c>
      <c r="BD915" t="s" s="0">
        <v>81</v>
      </c>
      <c r="BE915" t="s" s="0">
        <v>81</v>
      </c>
      <c r="BF915" t="s" s="0">
        <v>81</v>
      </c>
      <c r="BG915" t="s" s="0">
        <v>7051</v>
      </c>
      <c r="BH915" t="s" s="0">
        <v>19829</v>
      </c>
      <c r="BI915" t="s" s="0">
        <v>81</v>
      </c>
      <c r="BJ915" t="s" s="0">
        <v>19830</v>
      </c>
      <c r="BK915" t="s" s="1820">
        <f>HYPERLINK("http://dx.doi.org/10.1108/DPRG-01-2024-0008","http://dx.doi.org/10.1108/DPRG-01-2024-0008")</f>
        <v>19831</v>
      </c>
      <c r="BL915" t="s" s="0">
        <v>81</v>
      </c>
      <c r="BM915" t="s" s="0">
        <v>320</v>
      </c>
      <c r="BN915" t="s" s="0">
        <v>291</v>
      </c>
      <c r="BO915" t="s" s="0">
        <v>8153</v>
      </c>
      <c r="BP915" t="s" s="0">
        <v>8153</v>
      </c>
      <c r="BQ915" t="s" s="0">
        <v>19832</v>
      </c>
      <c r="BR915" t="s" s="0">
        <v>81</v>
      </c>
      <c r="BS915" t="s" s="0">
        <v>19833</v>
      </c>
      <c r="BT915" t="s" s="1821">
        <f>HYPERLINK("https://www.webofscience.com/wos/woscc/full-record/WOS:001234643400001","View Record in Web of Science")</f>
        <v>114</v>
      </c>
      <c r="BU915" t="s" s="0">
        <v>1055</v>
      </c>
      <c r="BV915" t="s" s="0">
        <v>81</v>
      </c>
      <c r="BW915" t="s" s="0">
        <v>81</v>
      </c>
      <c r="BX915" t="s" s="0">
        <v>116</v>
      </c>
    </row>
    <row r="916">
      <c r="A916" t="s" s="0">
        <v>77</v>
      </c>
      <c r="B916" t="s" s="0">
        <v>77</v>
      </c>
      <c r="C916" t="s" s="0">
        <v>77</v>
      </c>
      <c r="D916" t="s" s="0">
        <v>77</v>
      </c>
      <c r="E916" t="s" s="0">
        <v>19834</v>
      </c>
      <c r="F916" t="s" s="0">
        <v>19835</v>
      </c>
      <c r="G916" t="s" s="0">
        <v>19836</v>
      </c>
      <c r="H916" t="s" s="0">
        <v>81</v>
      </c>
      <c r="I916" t="s" s="0">
        <v>82</v>
      </c>
      <c r="J916" t="s" s="0">
        <v>19837</v>
      </c>
      <c r="K916" t="s" s="0">
        <v>19838</v>
      </c>
      <c r="L916" t="s" s="0">
        <v>19839</v>
      </c>
      <c r="M916" t="s" s="0">
        <v>19839</v>
      </c>
      <c r="N916" t="s" s="0">
        <v>19840</v>
      </c>
      <c r="O916" t="s" s="0">
        <v>19841</v>
      </c>
      <c r="P916" t="s" s="0">
        <v>19842</v>
      </c>
      <c r="Q916" t="s" s="0">
        <v>87</v>
      </c>
      <c r="R916" t="s" s="0">
        <v>81</v>
      </c>
      <c r="S916" t="s" s="0">
        <v>81</v>
      </c>
      <c r="T916" t="s" s="0">
        <v>81</v>
      </c>
      <c r="U916" t="s" s="0">
        <v>81</v>
      </c>
      <c r="V916" t="s" s="0">
        <v>19843</v>
      </c>
      <c r="W916" t="s" s="0">
        <v>3058</v>
      </c>
      <c r="X916" t="s" s="0">
        <v>81</v>
      </c>
      <c r="Y916" t="s" s="0">
        <v>81</v>
      </c>
      <c r="Z916" t="s" s="0">
        <v>90</v>
      </c>
      <c r="AA916" t="s" s="0">
        <v>91</v>
      </c>
      <c r="AB916" t="s" s="0">
        <v>81</v>
      </c>
      <c r="AC916" t="s" s="0">
        <v>81</v>
      </c>
      <c r="AD916" t="s" s="0">
        <v>81</v>
      </c>
      <c r="AE916" t="s" s="0">
        <v>81</v>
      </c>
      <c r="AF916" t="s" s="0">
        <v>81</v>
      </c>
      <c r="AG916" t="s" s="0">
        <v>19844</v>
      </c>
      <c r="AH916" t="s" s="0">
        <v>81</v>
      </c>
      <c r="AI916" t="s" s="0">
        <v>19845</v>
      </c>
      <c r="AJ916" t="s" s="0">
        <v>81</v>
      </c>
      <c r="AK916" t="s" s="0">
        <v>81</v>
      </c>
      <c r="AL916" t="s" s="0">
        <v>734</v>
      </c>
      <c r="AM916" t="s" s="0">
        <v>234</v>
      </c>
      <c r="AN916" t="s" s="0">
        <v>381</v>
      </c>
      <c r="AO916" t="s" s="0">
        <v>134</v>
      </c>
      <c r="AP916" t="s" s="0">
        <v>134</v>
      </c>
      <c r="AQ916" t="s" s="0">
        <v>3061</v>
      </c>
      <c r="AR916" t="s" s="0">
        <v>3062</v>
      </c>
      <c r="AS916" t="s" s="0">
        <v>3063</v>
      </c>
      <c r="AT916" t="s" s="0">
        <v>3064</v>
      </c>
      <c r="AU916" t="s" s="0">
        <v>3065</v>
      </c>
      <c r="AV916" t="s" s="0">
        <v>81</v>
      </c>
      <c r="AW916" t="s" s="0">
        <v>3066</v>
      </c>
      <c r="AX916" t="s" s="0">
        <v>3067</v>
      </c>
      <c r="AY916" t="s" s="0">
        <v>1562</v>
      </c>
      <c r="AZ916" t="s" s="0">
        <v>103</v>
      </c>
      <c r="BA916" t="s" s="0">
        <v>176</v>
      </c>
      <c r="BB916" t="s" s="0">
        <v>81</v>
      </c>
      <c r="BC916" t="s" s="0">
        <v>81</v>
      </c>
      <c r="BD916" t="s" s="0">
        <v>81</v>
      </c>
      <c r="BE916" t="s" s="0">
        <v>81</v>
      </c>
      <c r="BF916" t="s" s="0">
        <v>81</v>
      </c>
      <c r="BG916" t="s" s="0">
        <v>81</v>
      </c>
      <c r="BH916" t="s" s="0">
        <v>81</v>
      </c>
      <c r="BI916" t="s" s="0">
        <v>19846</v>
      </c>
      <c r="BJ916" t="s" s="0">
        <v>19847</v>
      </c>
      <c r="BK916" t="s" s="1822">
        <f>HYPERLINK("http://dx.doi.org/10.2196/87969","http://dx.doi.org/10.2196/87969")</f>
        <v>19848</v>
      </c>
      <c r="BL916" t="s" s="0">
        <v>81</v>
      </c>
      <c r="BM916" t="s" s="0">
        <v>81</v>
      </c>
      <c r="BN916" t="s" s="0">
        <v>295</v>
      </c>
      <c r="BO916" t="s" s="0">
        <v>792</v>
      </c>
      <c r="BP916" t="s" s="0">
        <v>792</v>
      </c>
      <c r="BQ916" t="s" s="0">
        <v>19849</v>
      </c>
      <c r="BR916" t="s" s="0">
        <v>19850</v>
      </c>
      <c r="BS916" t="s" s="0">
        <v>19851</v>
      </c>
      <c r="BT916" t="s" s="1823">
        <f>HYPERLINK("https://www.webofscience.com/wos/woscc/full-record/WOS:001682182200003","View Record in Web of Science")</f>
        <v>114</v>
      </c>
      <c r="BU916" t="s" s="0">
        <v>301</v>
      </c>
      <c r="BV916" t="s" s="0">
        <v>81</v>
      </c>
      <c r="BW916" t="s" s="0">
        <v>81</v>
      </c>
      <c r="BX916" t="s" s="0">
        <v>116</v>
      </c>
    </row>
    <row r="917">
      <c r="A917" t="s" s="0">
        <v>77</v>
      </c>
      <c r="B917" t="s" s="0">
        <v>77</v>
      </c>
      <c r="C917" t="s" s="0">
        <v>77</v>
      </c>
      <c r="D917" t="s" s="0">
        <v>77</v>
      </c>
      <c r="E917" t="s" s="0">
        <v>19852</v>
      </c>
      <c r="F917" t="s" s="0">
        <v>19853</v>
      </c>
      <c r="G917" t="s" s="0">
        <v>19854</v>
      </c>
      <c r="H917" t="s" s="0">
        <v>81</v>
      </c>
      <c r="I917" t="s" s="0">
        <v>589</v>
      </c>
      <c r="J917" t="s" s="0">
        <v>19855</v>
      </c>
      <c r="K917" t="s" s="0">
        <v>19856</v>
      </c>
      <c r="L917" t="s" s="0">
        <v>19857</v>
      </c>
      <c r="M917" t="s" s="0">
        <v>19858</v>
      </c>
      <c r="N917" t="s" s="0">
        <v>19859</v>
      </c>
      <c r="O917" t="s" s="0">
        <v>19860</v>
      </c>
      <c r="P917" t="s" s="0">
        <v>19861</v>
      </c>
      <c r="Q917" t="s" s="0">
        <v>87</v>
      </c>
      <c r="R917" t="s" s="0">
        <v>81</v>
      </c>
      <c r="S917" t="s" s="0">
        <v>81</v>
      </c>
      <c r="T917" t="s" s="0">
        <v>81</v>
      </c>
      <c r="U917" t="s" s="0">
        <v>81</v>
      </c>
      <c r="V917" t="s" s="0">
        <v>19862</v>
      </c>
      <c r="W917" t="s" s="0">
        <v>19863</v>
      </c>
      <c r="X917" t="s" s="0">
        <v>81</v>
      </c>
      <c r="Y917" t="s" s="0">
        <v>81</v>
      </c>
      <c r="Z917" t="s" s="0">
        <v>90</v>
      </c>
      <c r="AA917" t="s" s="0">
        <v>91</v>
      </c>
      <c r="AB917" t="s" s="0">
        <v>81</v>
      </c>
      <c r="AC917" t="s" s="0">
        <v>81</v>
      </c>
      <c r="AD917" t="s" s="0">
        <v>81</v>
      </c>
      <c r="AE917" t="s" s="0">
        <v>81</v>
      </c>
      <c r="AF917" t="s" s="0">
        <v>81</v>
      </c>
      <c r="AG917" t="s" s="0">
        <v>19864</v>
      </c>
      <c r="AH917" t="s" s="0">
        <v>19865</v>
      </c>
      <c r="AI917" t="s" s="0">
        <v>19866</v>
      </c>
      <c r="AJ917" t="s" s="0">
        <v>81</v>
      </c>
      <c r="AK917" t="s" s="0">
        <v>81</v>
      </c>
      <c r="AL917" t="s" s="0">
        <v>14448</v>
      </c>
      <c r="AM917" t="s" s="0">
        <v>156</v>
      </c>
      <c r="AN917" t="s" s="0">
        <v>156</v>
      </c>
      <c r="AO917" t="s" s="0">
        <v>133</v>
      </c>
      <c r="AP917" t="s" s="0">
        <v>133</v>
      </c>
      <c r="AQ917" t="s" s="0">
        <v>177</v>
      </c>
      <c r="AR917" t="s" s="0">
        <v>178</v>
      </c>
      <c r="AS917" t="s" s="0">
        <v>179</v>
      </c>
      <c r="AT917" t="s" s="0">
        <v>19867</v>
      </c>
      <c r="AU917" t="s" s="0">
        <v>19868</v>
      </c>
      <c r="AV917" t="s" s="0">
        <v>81</v>
      </c>
      <c r="AW917" t="s" s="0">
        <v>19869</v>
      </c>
      <c r="AX917" t="s" s="0">
        <v>19870</v>
      </c>
      <c r="AY917" t="s" s="0">
        <v>6101</v>
      </c>
      <c r="AZ917" t="s" s="0">
        <v>103</v>
      </c>
      <c r="BA917" t="s" s="0">
        <v>1685</v>
      </c>
      <c r="BB917" t="s" s="0">
        <v>81</v>
      </c>
      <c r="BC917" t="s" s="0">
        <v>81</v>
      </c>
      <c r="BD917" t="s" s="0">
        <v>81</v>
      </c>
      <c r="BE917" t="s" s="0">
        <v>81</v>
      </c>
      <c r="BF917" t="s" s="0">
        <v>81</v>
      </c>
      <c r="BG917" t="s" s="0">
        <v>81</v>
      </c>
      <c r="BH917" t="s" s="0">
        <v>81</v>
      </c>
      <c r="BI917" t="s" s="0">
        <v>19871</v>
      </c>
      <c r="BJ917" t="s" s="0">
        <v>19872</v>
      </c>
      <c r="BK917" t="s" s="1824">
        <f>HYPERLINK("http://dx.doi.org/10.1016/j.techsoc.2026.103389","http://dx.doi.org/10.1016/j.techsoc.2026.103389")</f>
        <v>19873</v>
      </c>
      <c r="BL917" t="s" s="0">
        <v>81</v>
      </c>
      <c r="BM917" t="s" s="0">
        <v>81</v>
      </c>
      <c r="BN917" t="s" s="0">
        <v>486</v>
      </c>
      <c r="BO917" t="s" s="0">
        <v>19874</v>
      </c>
      <c r="BP917" t="s" s="0">
        <v>19875</v>
      </c>
      <c r="BQ917" t="s" s="0">
        <v>19876</v>
      </c>
      <c r="BR917" t="s" s="0">
        <v>81</v>
      </c>
      <c r="BS917" t="s" s="0">
        <v>19877</v>
      </c>
      <c r="BT917" t="s" s="1825">
        <f>HYPERLINK("https://www.webofscience.com/wos/woscc/full-record/WOS:001792040300001","View Record in Web of Science")</f>
        <v>114</v>
      </c>
      <c r="BU917" t="s" s="0">
        <v>3140</v>
      </c>
      <c r="BV917" t="s" s="0">
        <v>81</v>
      </c>
      <c r="BW917" t="s" s="0">
        <v>81</v>
      </c>
      <c r="BX917" t="s" s="0">
        <v>116</v>
      </c>
    </row>
    <row r="918">
      <c r="A918" t="s" s="0">
        <v>77</v>
      </c>
      <c r="B918" t="s" s="0">
        <v>77</v>
      </c>
      <c r="C918" t="s" s="0">
        <v>77</v>
      </c>
      <c r="D918" t="s" s="0">
        <v>77</v>
      </c>
      <c r="E918" t="s" s="0">
        <v>19878</v>
      </c>
      <c r="F918" t="s" s="0">
        <v>19879</v>
      </c>
      <c r="G918" t="s" s="0">
        <v>19880</v>
      </c>
      <c r="H918" t="s" s="0">
        <v>81</v>
      </c>
      <c r="I918" t="s" s="0">
        <v>82</v>
      </c>
      <c r="J918" t="s" s="0">
        <v>19881</v>
      </c>
      <c r="K918" t="s" s="0">
        <v>19882</v>
      </c>
      <c r="L918" t="s" s="0">
        <v>81</v>
      </c>
      <c r="M918" t="s" s="0">
        <v>81</v>
      </c>
      <c r="N918" t="s" s="0">
        <v>81</v>
      </c>
      <c r="O918" t="s" s="0">
        <v>19883</v>
      </c>
      <c r="P918" t="s" s="0">
        <v>19884</v>
      </c>
      <c r="Q918" t="s" s="0">
        <v>87</v>
      </c>
      <c r="R918" t="s" s="0">
        <v>81</v>
      </c>
      <c r="S918" t="s" s="0">
        <v>81</v>
      </c>
      <c r="T918" t="s" s="0">
        <v>81</v>
      </c>
      <c r="U918" t="s" s="0">
        <v>81</v>
      </c>
      <c r="V918" t="s" s="0">
        <v>19885</v>
      </c>
      <c r="W918" t="s" s="0">
        <v>18811</v>
      </c>
      <c r="X918" t="s" s="0">
        <v>81</v>
      </c>
      <c r="Y918" t="s" s="0">
        <v>81</v>
      </c>
      <c r="Z918" t="s" s="0">
        <v>90</v>
      </c>
      <c r="AA918" t="s" s="0">
        <v>91</v>
      </c>
      <c r="AB918" t="s" s="0">
        <v>81</v>
      </c>
      <c r="AC918" t="s" s="0">
        <v>81</v>
      </c>
      <c r="AD918" t="s" s="0">
        <v>81</v>
      </c>
      <c r="AE918" t="s" s="0">
        <v>81</v>
      </c>
      <c r="AF918" t="s" s="0">
        <v>81</v>
      </c>
      <c r="AG918" t="s" s="0">
        <v>19886</v>
      </c>
      <c r="AH918" t="s" s="0">
        <v>19887</v>
      </c>
      <c r="AI918" t="s" s="0">
        <v>81</v>
      </c>
      <c r="AJ918" t="s" s="0">
        <v>81</v>
      </c>
      <c r="AK918" t="s" s="0">
        <v>81</v>
      </c>
      <c r="AL918" t="s" s="0">
        <v>96</v>
      </c>
      <c r="AM918" t="s" s="0">
        <v>77</v>
      </c>
      <c r="AN918" t="s" s="0">
        <v>77</v>
      </c>
      <c r="AO918" t="s" s="0">
        <v>316</v>
      </c>
      <c r="AP918" t="s" s="0">
        <v>316</v>
      </c>
      <c r="AQ918" t="s" s="0">
        <v>3016</v>
      </c>
      <c r="AR918" t="s" s="0">
        <v>546</v>
      </c>
      <c r="AS918" t="s" s="0">
        <v>11501</v>
      </c>
      <c r="AT918" t="s" s="0">
        <v>18816</v>
      </c>
      <c r="AU918" t="s" s="0">
        <v>18817</v>
      </c>
      <c r="AV918" t="s" s="0">
        <v>81</v>
      </c>
      <c r="AW918" t="s" s="0">
        <v>18818</v>
      </c>
      <c r="AX918" t="s" s="0">
        <v>18819</v>
      </c>
      <c r="AY918" t="s" s="0">
        <v>19888</v>
      </c>
      <c r="AZ918" t="s" s="0">
        <v>103</v>
      </c>
      <c r="BA918" t="s" s="0">
        <v>174</v>
      </c>
      <c r="BB918" t="s" s="0">
        <v>133</v>
      </c>
      <c r="BC918" t="s" s="0">
        <v>81</v>
      </c>
      <c r="BD918" t="s" s="0">
        <v>81</v>
      </c>
      <c r="BE918" t="s" s="0">
        <v>81</v>
      </c>
      <c r="BF918" t="s" s="0">
        <v>81</v>
      </c>
      <c r="BG918" t="s" s="0">
        <v>81</v>
      </c>
      <c r="BH918" t="s" s="0">
        <v>81</v>
      </c>
      <c r="BI918" t="s" s="0">
        <v>406</v>
      </c>
      <c r="BJ918" t="s" s="0">
        <v>19889</v>
      </c>
      <c r="BK918" t="s" s="1826">
        <f>HYPERLINK("http://dx.doi.org/10.1007/s44443-026-00647-0","http://dx.doi.org/10.1007/s44443-026-00647-0")</f>
        <v>19890</v>
      </c>
      <c r="BL918" t="s" s="0">
        <v>81</v>
      </c>
      <c r="BM918" t="s" s="0">
        <v>143</v>
      </c>
      <c r="BN918" t="s" s="0">
        <v>874</v>
      </c>
      <c r="BO918" t="s" s="0">
        <v>5722</v>
      </c>
      <c r="BP918" t="s" s="0">
        <v>152</v>
      </c>
      <c r="BQ918" t="s" s="0">
        <v>19891</v>
      </c>
      <c r="BR918" t="s" s="0">
        <v>81</v>
      </c>
      <c r="BS918" t="s" s="0">
        <v>19892</v>
      </c>
      <c r="BT918" t="s" s="1827">
        <f>HYPERLINK("https://www.webofscience.com/wos/woscc/full-record/WOS:001796912600003","View Record in Web of Science")</f>
        <v>114</v>
      </c>
      <c r="BU918" t="s" s="0">
        <v>115</v>
      </c>
      <c r="BV918" t="s" s="0">
        <v>81</v>
      </c>
      <c r="BW918" t="s" s="0">
        <v>81</v>
      </c>
      <c r="BX918" t="s" s="0">
        <v>116</v>
      </c>
    </row>
    <row r="919">
      <c r="A919" t="s" s="0">
        <v>77</v>
      </c>
      <c r="B919" t="s" s="0">
        <v>77</v>
      </c>
      <c r="C919" t="s" s="0">
        <v>77</v>
      </c>
      <c r="D919" t="s" s="0">
        <v>77</v>
      </c>
      <c r="E919" t="s" s="0">
        <v>19893</v>
      </c>
      <c r="F919" t="s" s="0">
        <v>19894</v>
      </c>
      <c r="G919" t="s" s="0">
        <v>19895</v>
      </c>
      <c r="H919" t="s" s="0">
        <v>81</v>
      </c>
      <c r="I919" t="s" s="0">
        <v>82</v>
      </c>
      <c r="J919" t="s" s="0">
        <v>19896</v>
      </c>
      <c r="K919" t="s" s="0">
        <v>19897</v>
      </c>
      <c r="L919" t="s" s="0">
        <v>19898</v>
      </c>
      <c r="M919" t="s" s="0">
        <v>12936</v>
      </c>
      <c r="N919" t="s" s="0">
        <v>19899</v>
      </c>
      <c r="O919" t="s" s="0">
        <v>19900</v>
      </c>
      <c r="P919" t="s" s="0">
        <v>19901</v>
      </c>
      <c r="Q919" t="s" s="0">
        <v>87</v>
      </c>
      <c r="R919" t="s" s="0">
        <v>81</v>
      </c>
      <c r="S919" t="s" s="0">
        <v>81</v>
      </c>
      <c r="T919" t="s" s="0">
        <v>81</v>
      </c>
      <c r="U919" t="s" s="0">
        <v>81</v>
      </c>
      <c r="V919" t="s" s="0">
        <v>19902</v>
      </c>
      <c r="W919" t="s" s="0">
        <v>8617</v>
      </c>
      <c r="X919" t="s" s="0">
        <v>81</v>
      </c>
      <c r="Y919" t="s" s="0">
        <v>81</v>
      </c>
      <c r="Z919" t="s" s="0">
        <v>90</v>
      </c>
      <c r="AA919" t="s" s="0">
        <v>91</v>
      </c>
      <c r="AB919" t="s" s="0">
        <v>81</v>
      </c>
      <c r="AC919" t="s" s="0">
        <v>81</v>
      </c>
      <c r="AD919" t="s" s="0">
        <v>81</v>
      </c>
      <c r="AE919" t="s" s="0">
        <v>81</v>
      </c>
      <c r="AF919" t="s" s="0">
        <v>81</v>
      </c>
      <c r="AG919" t="s" s="0">
        <v>19903</v>
      </c>
      <c r="AH919" t="s" s="0">
        <v>19904</v>
      </c>
      <c r="AI919" t="s" s="0">
        <v>19905</v>
      </c>
      <c r="AJ919" t="s" s="0">
        <v>19906</v>
      </c>
      <c r="AK919" t="s" s="0">
        <v>81</v>
      </c>
      <c r="AL919" t="s" s="0">
        <v>253</v>
      </c>
      <c r="AM919" t="s" s="0">
        <v>77</v>
      </c>
      <c r="AN919" t="s" s="0">
        <v>77</v>
      </c>
      <c r="AO919" t="s" s="0">
        <v>156</v>
      </c>
      <c r="AP919" t="s" s="0">
        <v>156</v>
      </c>
      <c r="AQ919" t="s" s="0">
        <v>98</v>
      </c>
      <c r="AR919" t="s" s="0">
        <v>99</v>
      </c>
      <c r="AS919" t="s" s="0">
        <v>100</v>
      </c>
      <c r="AT919" t="s" s="0">
        <v>8622</v>
      </c>
      <c r="AU919" t="s" s="0">
        <v>8623</v>
      </c>
      <c r="AV919" t="s" s="0">
        <v>81</v>
      </c>
      <c r="AW919" t="s" s="0">
        <v>8624</v>
      </c>
      <c r="AX919" t="s" s="0">
        <v>8625</v>
      </c>
      <c r="AY919" t="s" s="0">
        <v>143</v>
      </c>
      <c r="AZ919" t="s" s="0">
        <v>103</v>
      </c>
      <c r="BA919" t="s" s="0">
        <v>1837</v>
      </c>
      <c r="BB919" t="s" s="0">
        <v>196</v>
      </c>
      <c r="BC919" t="s" s="0">
        <v>81</v>
      </c>
      <c r="BD919" t="s" s="0">
        <v>81</v>
      </c>
      <c r="BE919" t="s" s="0">
        <v>81</v>
      </c>
      <c r="BF919" t="s" s="0">
        <v>81</v>
      </c>
      <c r="BG919" t="s" s="0">
        <v>19907</v>
      </c>
      <c r="BH919" t="s" s="0">
        <v>16822</v>
      </c>
      <c r="BI919" t="s" s="0">
        <v>81</v>
      </c>
      <c r="BJ919" t="s" s="0">
        <v>19908</v>
      </c>
      <c r="BK919" t="s" s="1828">
        <f>HYPERLINK("http://dx.doi.org/10.1109/TBME.2025.3597527","http://dx.doi.org/10.1109/TBME.2025.3597527")</f>
        <v>19909</v>
      </c>
      <c r="BL919" t="s" s="0">
        <v>81</v>
      </c>
      <c r="BM919" t="s" s="0">
        <v>81</v>
      </c>
      <c r="BN919" t="s" s="0">
        <v>211</v>
      </c>
      <c r="BO919" t="s" s="0">
        <v>2082</v>
      </c>
      <c r="BP919" t="s" s="0">
        <v>1003</v>
      </c>
      <c r="BQ919" t="s" s="0">
        <v>19910</v>
      </c>
      <c r="BR919" t="s" s="0">
        <v>19911</v>
      </c>
      <c r="BS919" t="s" s="0">
        <v>19912</v>
      </c>
      <c r="BT919" t="s" s="1829">
        <f>HYPERLINK("https://www.webofscience.com/wos/woscc/full-record/WOS:001695492700010","View Record in Web of Science")</f>
        <v>114</v>
      </c>
      <c r="BU919" t="s" s="0">
        <v>233</v>
      </c>
      <c r="BV919" t="s" s="0">
        <v>81</v>
      </c>
      <c r="BW919" t="s" s="0">
        <v>81</v>
      </c>
      <c r="BX919" t="s" s="0">
        <v>116</v>
      </c>
    </row>
    <row r="920">
      <c r="A920" t="s" s="0">
        <v>77</v>
      </c>
      <c r="B920" t="s" s="0">
        <v>77</v>
      </c>
      <c r="C920" t="s" s="0">
        <v>77</v>
      </c>
      <c r="D920" t="s" s="0">
        <v>77</v>
      </c>
      <c r="E920" t="s" s="0">
        <v>19913</v>
      </c>
      <c r="F920" t="s" s="0">
        <v>19914</v>
      </c>
      <c r="G920" t="s" s="0">
        <v>19915</v>
      </c>
      <c r="H920" t="s" s="0">
        <v>81</v>
      </c>
      <c r="I920" t="s" s="0">
        <v>82</v>
      </c>
      <c r="J920" t="s" s="0">
        <v>19916</v>
      </c>
      <c r="K920" t="s" s="0">
        <v>19917</v>
      </c>
      <c r="L920" t="s" s="0">
        <v>81</v>
      </c>
      <c r="M920" t="s" s="0">
        <v>81</v>
      </c>
      <c r="N920" t="s" s="0">
        <v>19918</v>
      </c>
      <c r="O920" t="s" s="0">
        <v>19919</v>
      </c>
      <c r="P920" t="s" s="0">
        <v>19920</v>
      </c>
      <c r="Q920" t="s" s="0">
        <v>87</v>
      </c>
      <c r="R920" t="s" s="0">
        <v>81</v>
      </c>
      <c r="S920" t="s" s="0">
        <v>81</v>
      </c>
      <c r="T920" t="s" s="0">
        <v>81</v>
      </c>
      <c r="U920" t="s" s="0">
        <v>81</v>
      </c>
      <c r="V920" t="s" s="0">
        <v>19921</v>
      </c>
      <c r="W920" t="s" s="0">
        <v>3058</v>
      </c>
      <c r="X920" t="s" s="0">
        <v>81</v>
      </c>
      <c r="Y920" t="s" s="0">
        <v>81</v>
      </c>
      <c r="Z920" t="s" s="0">
        <v>90</v>
      </c>
      <c r="AA920" t="s" s="0">
        <v>91</v>
      </c>
      <c r="AB920" t="s" s="0">
        <v>81</v>
      </c>
      <c r="AC920" t="s" s="0">
        <v>81</v>
      </c>
      <c r="AD920" t="s" s="0">
        <v>81</v>
      </c>
      <c r="AE920" t="s" s="0">
        <v>81</v>
      </c>
      <c r="AF920" t="s" s="0">
        <v>81</v>
      </c>
      <c r="AG920" t="s" s="0">
        <v>19922</v>
      </c>
      <c r="AH920" t="s" s="0">
        <v>81</v>
      </c>
      <c r="AI920" t="s" s="0">
        <v>81</v>
      </c>
      <c r="AJ920" t="s" s="0">
        <v>81</v>
      </c>
      <c r="AK920" t="s" s="0">
        <v>81</v>
      </c>
      <c r="AL920" t="s" s="0">
        <v>173</v>
      </c>
      <c r="AM920" t="s" s="0">
        <v>77</v>
      </c>
      <c r="AN920" t="s" s="0">
        <v>77</v>
      </c>
      <c r="AO920" t="s" s="0">
        <v>156</v>
      </c>
      <c r="AP920" t="s" s="0">
        <v>156</v>
      </c>
      <c r="AQ920" t="s" s="0">
        <v>3061</v>
      </c>
      <c r="AR920" t="s" s="0">
        <v>3062</v>
      </c>
      <c r="AS920" t="s" s="0">
        <v>3063</v>
      </c>
      <c r="AT920" t="s" s="0">
        <v>3064</v>
      </c>
      <c r="AU920" t="s" s="0">
        <v>3065</v>
      </c>
      <c r="AV920" t="s" s="0">
        <v>81</v>
      </c>
      <c r="AW920" t="s" s="0">
        <v>3066</v>
      </c>
      <c r="AX920" t="s" s="0">
        <v>3067</v>
      </c>
      <c r="AY920" t="s" s="0">
        <v>5497</v>
      </c>
      <c r="AZ920" t="s" s="0">
        <v>103</v>
      </c>
      <c r="BA920" t="s" s="0">
        <v>176</v>
      </c>
      <c r="BB920" t="s" s="0">
        <v>81</v>
      </c>
      <c r="BC920" t="s" s="0">
        <v>81</v>
      </c>
      <c r="BD920" t="s" s="0">
        <v>81</v>
      </c>
      <c r="BE920" t="s" s="0">
        <v>81</v>
      </c>
      <c r="BF920" t="s" s="0">
        <v>81</v>
      </c>
      <c r="BG920" t="s" s="0">
        <v>81</v>
      </c>
      <c r="BH920" t="s" s="0">
        <v>81</v>
      </c>
      <c r="BI920" t="s" s="0">
        <v>19923</v>
      </c>
      <c r="BJ920" t="s" s="0">
        <v>19924</v>
      </c>
      <c r="BK920" t="s" s="1830">
        <f>HYPERLINK("http://dx.doi.org/10.2196/88058","http://dx.doi.org/10.2196/88058")</f>
        <v>19925</v>
      </c>
      <c r="BL920" t="s" s="0">
        <v>81</v>
      </c>
      <c r="BM920" t="s" s="0">
        <v>81</v>
      </c>
      <c r="BN920" t="s" s="0">
        <v>211</v>
      </c>
      <c r="BO920" t="s" s="0">
        <v>792</v>
      </c>
      <c r="BP920" t="s" s="0">
        <v>792</v>
      </c>
      <c r="BQ920" t="s" s="0">
        <v>5501</v>
      </c>
      <c r="BR920" t="s" s="0">
        <v>19926</v>
      </c>
      <c r="BS920" t="s" s="0">
        <v>19927</v>
      </c>
      <c r="BT920" t="s" s="1831">
        <f>HYPERLINK("https://www.webofscience.com/wos/woscc/full-record/WOS:001814621800004","View Record in Web of Science")</f>
        <v>114</v>
      </c>
      <c r="BU920" t="s" s="0">
        <v>301</v>
      </c>
      <c r="BV920" t="s" s="0">
        <v>81</v>
      </c>
      <c r="BW920" t="s" s="0">
        <v>81</v>
      </c>
      <c r="BX920" t="s" s="0">
        <v>116</v>
      </c>
    </row>
    <row r="921">
      <c r="A921" t="s" s="0">
        <v>97</v>
      </c>
      <c r="B921" t="s" s="0">
        <v>77</v>
      </c>
      <c r="C921" t="s" s="0">
        <v>77</v>
      </c>
      <c r="D921" t="s" s="0">
        <v>77</v>
      </c>
      <c r="E921" t="s" s="0">
        <v>19928</v>
      </c>
      <c r="F921" t="s" s="0">
        <v>19929</v>
      </c>
      <c r="G921" t="s" s="0">
        <v>19930</v>
      </c>
      <c r="H921" t="s" s="0">
        <v>81</v>
      </c>
      <c r="I921" t="s" s="0">
        <v>238</v>
      </c>
      <c r="J921" t="s" s="0">
        <v>19931</v>
      </c>
      <c r="K921" t="s" s="0">
        <v>19932</v>
      </c>
      <c r="L921" t="s" s="0">
        <v>81</v>
      </c>
      <c r="M921" t="s" s="0">
        <v>81</v>
      </c>
      <c r="N921" t="s" s="0">
        <v>81</v>
      </c>
      <c r="O921" t="s" s="0">
        <v>19933</v>
      </c>
      <c r="P921" t="s" s="0">
        <v>81</v>
      </c>
      <c r="Q921" t="s" s="0">
        <v>87</v>
      </c>
      <c r="R921" t="s" s="0">
        <v>81</v>
      </c>
      <c r="S921" t="s" s="0">
        <v>81</v>
      </c>
      <c r="T921" t="s" s="0">
        <v>81</v>
      </c>
      <c r="U921" t="s" s="0">
        <v>81</v>
      </c>
      <c r="V921" t="s" s="0">
        <v>19934</v>
      </c>
      <c r="W921" t="s" s="0">
        <v>7676</v>
      </c>
      <c r="X921" t="s" s="0">
        <v>81</v>
      </c>
      <c r="Y921" t="s" s="0">
        <v>81</v>
      </c>
      <c r="Z921" t="s" s="0">
        <v>90</v>
      </c>
      <c r="AA921" t="s" s="0">
        <v>91</v>
      </c>
      <c r="AB921" t="s" s="0">
        <v>81</v>
      </c>
      <c r="AC921" t="s" s="0">
        <v>81</v>
      </c>
      <c r="AD921" t="s" s="0">
        <v>81</v>
      </c>
      <c r="AE921" t="s" s="0">
        <v>81</v>
      </c>
      <c r="AF921" t="s" s="0">
        <v>81</v>
      </c>
      <c r="AG921" t="s" s="0">
        <v>19935</v>
      </c>
      <c r="AH921" t="s" s="0">
        <v>81</v>
      </c>
      <c r="AI921" t="s" s="0">
        <v>19936</v>
      </c>
      <c r="AJ921" t="s" s="0">
        <v>19937</v>
      </c>
      <c r="AK921" t="s" s="0">
        <v>81</v>
      </c>
      <c r="AL921" t="s" s="0">
        <v>222</v>
      </c>
      <c r="AM921" t="s" s="0">
        <v>485</v>
      </c>
      <c r="AN921" t="s" s="0">
        <v>210</v>
      </c>
      <c r="AO921" t="s" s="0">
        <v>175</v>
      </c>
      <c r="AP921" t="s" s="0">
        <v>399</v>
      </c>
      <c r="AQ921" t="s" s="0">
        <v>136</v>
      </c>
      <c r="AR921" t="s" s="0">
        <v>137</v>
      </c>
      <c r="AS921" t="s" s="0">
        <v>138</v>
      </c>
      <c r="AT921" t="s" s="0">
        <v>7680</v>
      </c>
      <c r="AU921" t="s" s="0">
        <v>81</v>
      </c>
      <c r="AV921" t="s" s="0">
        <v>81</v>
      </c>
      <c r="AW921" t="s" s="0">
        <v>7681</v>
      </c>
      <c r="AX921" t="s" s="0">
        <v>7682</v>
      </c>
      <c r="AY921" t="s" s="0">
        <v>4409</v>
      </c>
      <c r="AZ921" t="s" s="0">
        <v>185</v>
      </c>
      <c r="BA921" t="s" s="0">
        <v>485</v>
      </c>
      <c r="BB921" t="s" s="0">
        <v>81</v>
      </c>
      <c r="BC921" t="s" s="0">
        <v>81</v>
      </c>
      <c r="BD921" t="s" s="0">
        <v>81</v>
      </c>
      <c r="BE921" t="s" s="0">
        <v>81</v>
      </c>
      <c r="BF921" t="s" s="0">
        <v>81</v>
      </c>
      <c r="BG921" t="s" s="0">
        <v>81</v>
      </c>
      <c r="BH921" t="s" s="0">
        <v>81</v>
      </c>
      <c r="BI921" t="s" s="0">
        <v>19938</v>
      </c>
      <c r="BJ921" t="s" s="0">
        <v>19939</v>
      </c>
      <c r="BK921" t="s" s="1832">
        <f>HYPERLINK("http://dx.doi.org/10.1016/j.simpa.2024.100619","http://dx.doi.org/10.1016/j.simpa.2024.100619")</f>
        <v>19940</v>
      </c>
      <c r="BL921" t="s" s="0">
        <v>81</v>
      </c>
      <c r="BM921" t="s" s="0">
        <v>190</v>
      </c>
      <c r="BN921" t="s" s="0">
        <v>175</v>
      </c>
      <c r="BO921" t="s" s="0">
        <v>7685</v>
      </c>
      <c r="BP921" t="s" s="0">
        <v>152</v>
      </c>
      <c r="BQ921" t="s" s="0">
        <v>19941</v>
      </c>
      <c r="BR921" t="s" s="0">
        <v>81</v>
      </c>
      <c r="BS921" t="s" s="0">
        <v>19942</v>
      </c>
      <c r="BT921" t="s" s="1833">
        <f>HYPERLINK("https://www.webofscience.com/wos/woscc/full-record/WOS:001186949300001","View Record in Web of Science")</f>
        <v>114</v>
      </c>
      <c r="BU921" t="s" s="0">
        <v>115</v>
      </c>
      <c r="BV921" t="s" s="0">
        <v>81</v>
      </c>
      <c r="BW921" t="s" s="0">
        <v>81</v>
      </c>
      <c r="BX921" t="s" s="0">
        <v>116</v>
      </c>
    </row>
    <row r="922">
      <c r="A922" t="s" s="0">
        <v>77</v>
      </c>
      <c r="B922" t="s" s="0">
        <v>77</v>
      </c>
      <c r="C922" t="s" s="0">
        <v>77</v>
      </c>
      <c r="D922" t="s" s="0">
        <v>77</v>
      </c>
      <c r="E922" t="s" s="0">
        <v>19943</v>
      </c>
      <c r="F922" t="s" s="0">
        <v>19944</v>
      </c>
      <c r="G922" t="s" s="0">
        <v>19945</v>
      </c>
      <c r="H922" t="s" s="0">
        <v>81</v>
      </c>
      <c r="I922" t="s" s="0">
        <v>238</v>
      </c>
      <c r="J922" t="s" s="0">
        <v>19946</v>
      </c>
      <c r="K922" t="s" s="0">
        <v>81</v>
      </c>
      <c r="L922" t="s" s="0">
        <v>81</v>
      </c>
      <c r="M922" t="s" s="0">
        <v>81</v>
      </c>
      <c r="N922" t="s" s="0">
        <v>81</v>
      </c>
      <c r="O922" t="s" s="0">
        <v>19947</v>
      </c>
      <c r="P922" t="s" s="0">
        <v>19948</v>
      </c>
      <c r="Q922" t="s" s="0">
        <v>87</v>
      </c>
      <c r="R922" t="s" s="0">
        <v>81</v>
      </c>
      <c r="S922" t="s" s="0">
        <v>81</v>
      </c>
      <c r="T922" t="s" s="0">
        <v>81</v>
      </c>
      <c r="U922" t="s" s="0">
        <v>81</v>
      </c>
      <c r="V922" t="s" s="0">
        <v>19949</v>
      </c>
      <c r="W922" t="s" s="0">
        <v>18596</v>
      </c>
      <c r="X922" t="s" s="0">
        <v>81</v>
      </c>
      <c r="Y922" t="s" s="0">
        <v>81</v>
      </c>
      <c r="Z922" t="s" s="0">
        <v>90</v>
      </c>
      <c r="AA922" t="s" s="0">
        <v>91</v>
      </c>
      <c r="AB922" t="s" s="0">
        <v>81</v>
      </c>
      <c r="AC922" t="s" s="0">
        <v>81</v>
      </c>
      <c r="AD922" t="s" s="0">
        <v>81</v>
      </c>
      <c r="AE922" t="s" s="0">
        <v>81</v>
      </c>
      <c r="AF922" t="s" s="0">
        <v>81</v>
      </c>
      <c r="AG922" t="s" s="0">
        <v>19950</v>
      </c>
      <c r="AH922" t="s" s="0">
        <v>81</v>
      </c>
      <c r="AI922" t="s" s="0">
        <v>19951</v>
      </c>
      <c r="AJ922" t="s" s="0">
        <v>81</v>
      </c>
      <c r="AK922" t="s" s="0">
        <v>81</v>
      </c>
      <c r="AL922" t="s" s="0">
        <v>1511</v>
      </c>
      <c r="AM922" t="s" s="0">
        <v>97</v>
      </c>
      <c r="AN922" t="s" s="0">
        <v>97</v>
      </c>
      <c r="AO922" t="s" s="0">
        <v>196</v>
      </c>
      <c r="AP922" t="s" s="0">
        <v>175</v>
      </c>
      <c r="AQ922" t="s" s="0">
        <v>18600</v>
      </c>
      <c r="AR922" t="s" s="0">
        <v>4329</v>
      </c>
      <c r="AS922" t="s" s="0">
        <v>18601</v>
      </c>
      <c r="AT922" t="s" s="0">
        <v>18602</v>
      </c>
      <c r="AU922" t="s" s="0">
        <v>81</v>
      </c>
      <c r="AV922" t="s" s="0">
        <v>81</v>
      </c>
      <c r="AW922" t="s" s="0">
        <v>18603</v>
      </c>
      <c r="AX922" t="s" s="0">
        <v>18604</v>
      </c>
      <c r="AY922" t="s" s="0">
        <v>18605</v>
      </c>
      <c r="AZ922" t="s" s="0">
        <v>290</v>
      </c>
      <c r="BA922" t="s" s="0">
        <v>671</v>
      </c>
      <c r="BB922" t="s" s="0">
        <v>156</v>
      </c>
      <c r="BC922" t="s" s="0">
        <v>81</v>
      </c>
      <c r="BD922" t="s" s="0">
        <v>81</v>
      </c>
      <c r="BE922" t="s" s="0">
        <v>81</v>
      </c>
      <c r="BF922" t="s" s="0">
        <v>81</v>
      </c>
      <c r="BG922" t="s" s="0">
        <v>12881</v>
      </c>
      <c r="BH922" t="s" s="0">
        <v>11554</v>
      </c>
      <c r="BI922" t="s" s="0">
        <v>81</v>
      </c>
      <c r="BJ922" t="s" s="0">
        <v>19952</v>
      </c>
      <c r="BK922" t="s" s="1834">
        <f>HYPERLINK("http://dx.doi.org/10.25253/99.2025272.11","http://dx.doi.org/10.25253/99.2025272.11")</f>
        <v>19953</v>
      </c>
      <c r="BL922" t="s" s="0">
        <v>81</v>
      </c>
      <c r="BM922" t="s" s="0">
        <v>81</v>
      </c>
      <c r="BN922" t="s" s="0">
        <v>228</v>
      </c>
      <c r="BO922" t="s" s="0">
        <v>18609</v>
      </c>
      <c r="BP922" t="s" s="0">
        <v>9624</v>
      </c>
      <c r="BQ922" t="s" s="0">
        <v>18610</v>
      </c>
      <c r="BR922" t="s" s="0">
        <v>81</v>
      </c>
      <c r="BS922" t="s" s="0">
        <v>19954</v>
      </c>
      <c r="BT922" t="s" s="1835">
        <f>HYPERLINK("https://www.webofscience.com/wos/woscc/full-record/WOS:001552074400012","View Record in Web of Science")</f>
        <v>114</v>
      </c>
      <c r="BU922" t="s" s="0">
        <v>81</v>
      </c>
      <c r="BV922" t="s" s="0">
        <v>81</v>
      </c>
      <c r="BW922" t="s" s="0">
        <v>81</v>
      </c>
      <c r="BX922" t="s" s="0">
        <v>116</v>
      </c>
    </row>
    <row r="923">
      <c r="A923" t="s" s="0">
        <v>77</v>
      </c>
      <c r="B923" t="s" s="0">
        <v>77</v>
      </c>
      <c r="C923" t="s" s="0">
        <v>77</v>
      </c>
      <c r="D923" t="s" s="0">
        <v>77</v>
      </c>
      <c r="E923" t="s" s="0">
        <v>19955</v>
      </c>
      <c r="F923" t="s" s="0">
        <v>19956</v>
      </c>
      <c r="G923" t="s" s="0">
        <v>19957</v>
      </c>
      <c r="H923" t="s" s="0">
        <v>81</v>
      </c>
      <c r="I923" t="s" s="0">
        <v>238</v>
      </c>
      <c r="J923" t="s" s="0">
        <v>19958</v>
      </c>
      <c r="K923" t="s" s="0">
        <v>19959</v>
      </c>
      <c r="L923" t="s" s="0">
        <v>81</v>
      </c>
      <c r="M923" t="s" s="0">
        <v>81</v>
      </c>
      <c r="N923" t="s" s="0">
        <v>19960</v>
      </c>
      <c r="O923" t="s" s="0">
        <v>19961</v>
      </c>
      <c r="P923" t="s" s="0">
        <v>19962</v>
      </c>
      <c r="Q923" t="s" s="0">
        <v>87</v>
      </c>
      <c r="R923" t="s" s="0">
        <v>81</v>
      </c>
      <c r="S923" t="s" s="0">
        <v>81</v>
      </c>
      <c r="T923" t="s" s="0">
        <v>81</v>
      </c>
      <c r="U923" t="s" s="0">
        <v>81</v>
      </c>
      <c r="V923" t="s" s="0">
        <v>19963</v>
      </c>
      <c r="W923" t="s" s="0">
        <v>5199</v>
      </c>
      <c r="X923" t="s" s="0">
        <v>81</v>
      </c>
      <c r="Y923" t="s" s="0">
        <v>81</v>
      </c>
      <c r="Z923" t="s" s="0">
        <v>90</v>
      </c>
      <c r="AA923" t="s" s="0">
        <v>91</v>
      </c>
      <c r="AB923" t="s" s="0">
        <v>81</v>
      </c>
      <c r="AC923" t="s" s="0">
        <v>81</v>
      </c>
      <c r="AD923" t="s" s="0">
        <v>81</v>
      </c>
      <c r="AE923" t="s" s="0">
        <v>81</v>
      </c>
      <c r="AF923" t="s" s="0">
        <v>81</v>
      </c>
      <c r="AG923" t="s" s="0">
        <v>19964</v>
      </c>
      <c r="AH923" t="s" s="0">
        <v>81</v>
      </c>
      <c r="AI923" t="s" s="0">
        <v>19965</v>
      </c>
      <c r="AJ923" t="s" s="0">
        <v>81</v>
      </c>
      <c r="AK923" t="s" s="0">
        <v>81</v>
      </c>
      <c r="AL923" t="s" s="0">
        <v>3518</v>
      </c>
      <c r="AM923" t="s" s="0">
        <v>77</v>
      </c>
      <c r="AN923" t="s" s="0">
        <v>77</v>
      </c>
      <c r="AO923" t="s" s="0">
        <v>97</v>
      </c>
      <c r="AP923" t="s" s="0">
        <v>97</v>
      </c>
      <c r="AQ923" t="s" s="0">
        <v>3016</v>
      </c>
      <c r="AR923" t="s" s="0">
        <v>546</v>
      </c>
      <c r="AS923" t="s" s="0">
        <v>11501</v>
      </c>
      <c r="AT923" t="s" s="0">
        <v>5203</v>
      </c>
      <c r="AU923" t="s" s="0">
        <v>5204</v>
      </c>
      <c r="AV923" t="s" s="0">
        <v>81</v>
      </c>
      <c r="AW923" t="s" s="0">
        <v>5205</v>
      </c>
      <c r="AX923" t="s" s="0">
        <v>5206</v>
      </c>
      <c r="AY923" t="s" s="0">
        <v>15086</v>
      </c>
      <c r="AZ923" t="s" s="0">
        <v>103</v>
      </c>
      <c r="BA923" t="s" s="0">
        <v>210</v>
      </c>
      <c r="BB923" t="s" s="0">
        <v>97</v>
      </c>
      <c r="BC923" t="s" s="0">
        <v>81</v>
      </c>
      <c r="BD923" t="s" s="0">
        <v>81</v>
      </c>
      <c r="BE923" t="s" s="0">
        <v>81</v>
      </c>
      <c r="BF923" t="s" s="0">
        <v>81</v>
      </c>
      <c r="BG923" t="s" s="0">
        <v>81</v>
      </c>
      <c r="BH923" t="s" s="0">
        <v>81</v>
      </c>
      <c r="BI923" t="s" s="0">
        <v>19966</v>
      </c>
      <c r="BJ923" t="s" s="0">
        <v>19967</v>
      </c>
      <c r="BK923" t="s" s="1836">
        <f>HYPERLINK("http://dx.doi.org/10.1007/s41060-026-01210-w","http://dx.doi.org/10.1007/s41060-026-01210-w")</f>
        <v>19968</v>
      </c>
      <c r="BL923" t="s" s="0">
        <v>81</v>
      </c>
      <c r="BM923" t="s" s="0">
        <v>3366</v>
      </c>
      <c r="BN923" t="s" s="0">
        <v>367</v>
      </c>
      <c r="BO923" t="s" s="0">
        <v>898</v>
      </c>
      <c r="BP923" t="s" s="0">
        <v>152</v>
      </c>
      <c r="BQ923" t="s" s="0">
        <v>19969</v>
      </c>
      <c r="BR923" t="s" s="0">
        <v>81</v>
      </c>
      <c r="BS923" t="s" s="0">
        <v>19970</v>
      </c>
      <c r="BT923" t="s" s="1837">
        <f>HYPERLINK("https://www.webofscience.com/wos/woscc/full-record/WOS:001823855200001","View Record in Web of Science")</f>
        <v>114</v>
      </c>
      <c r="BU923" t="s" s="0">
        <v>1055</v>
      </c>
      <c r="BV923" t="s" s="0">
        <v>81</v>
      </c>
      <c r="BW923" t="s" s="0">
        <v>81</v>
      </c>
      <c r="BX923" t="s" s="0">
        <v>116</v>
      </c>
    </row>
    <row r="924">
      <c r="A924" t="s" s="0">
        <v>97</v>
      </c>
      <c r="B924" t="s" s="0">
        <v>77</v>
      </c>
      <c r="C924" t="s" s="0">
        <v>156</v>
      </c>
      <c r="D924" t="s" s="0">
        <v>77</v>
      </c>
      <c r="E924" t="s" s="0">
        <v>19971</v>
      </c>
      <c r="F924" t="s" s="0">
        <v>19972</v>
      </c>
      <c r="G924" t="s" s="0">
        <v>19973</v>
      </c>
      <c r="H924" t="s" s="0">
        <v>81</v>
      </c>
      <c r="I924" t="s" s="0">
        <v>238</v>
      </c>
      <c r="J924" t="s" s="0">
        <v>19974</v>
      </c>
      <c r="K924" t="s" s="0">
        <v>19975</v>
      </c>
      <c r="L924" t="s" s="0">
        <v>81</v>
      </c>
      <c r="M924" t="s" s="0">
        <v>81</v>
      </c>
      <c r="N924" t="s" s="0">
        <v>81</v>
      </c>
      <c r="O924" t="s" s="0">
        <v>19976</v>
      </c>
      <c r="P924" t="s" s="0">
        <v>19977</v>
      </c>
      <c r="Q924" t="s" s="0">
        <v>87</v>
      </c>
      <c r="R924" t="s" s="0">
        <v>81</v>
      </c>
      <c r="S924" t="s" s="0">
        <v>81</v>
      </c>
      <c r="T924" t="s" s="0">
        <v>81</v>
      </c>
      <c r="U924" t="s" s="0">
        <v>81</v>
      </c>
      <c r="V924" t="s" s="0">
        <v>19978</v>
      </c>
      <c r="W924" t="s" s="0">
        <v>19979</v>
      </c>
      <c r="X924" t="s" s="0">
        <v>81</v>
      </c>
      <c r="Y924" t="s" s="0">
        <v>81</v>
      </c>
      <c r="Z924" t="s" s="0">
        <v>90</v>
      </c>
      <c r="AA924" t="s" s="0">
        <v>1581</v>
      </c>
      <c r="AB924" t="s" s="0">
        <v>81</v>
      </c>
      <c r="AC924" t="s" s="0">
        <v>81</v>
      </c>
      <c r="AD924" t="s" s="0">
        <v>81</v>
      </c>
      <c r="AE924" t="s" s="0">
        <v>81</v>
      </c>
      <c r="AF924" t="s" s="0">
        <v>81</v>
      </c>
      <c r="AG924" t="s" s="0">
        <v>19980</v>
      </c>
      <c r="AH924" t="s" s="0">
        <v>81</v>
      </c>
      <c r="AI924" t="s" s="0">
        <v>81</v>
      </c>
      <c r="AJ924" t="s" s="0">
        <v>19981</v>
      </c>
      <c r="AK924" t="s" s="0">
        <v>81</v>
      </c>
      <c r="AL924" t="s" s="0">
        <v>109</v>
      </c>
      <c r="AM924" t="s" s="0">
        <v>316</v>
      </c>
      <c r="AN924" t="s" s="0">
        <v>234</v>
      </c>
      <c r="AO924" t="s" s="0">
        <v>77</v>
      </c>
      <c r="AP924" t="s" s="0">
        <v>133</v>
      </c>
      <c r="AQ924" t="s" s="0">
        <v>2662</v>
      </c>
      <c r="AR924" t="s" s="0">
        <v>2663</v>
      </c>
      <c r="AS924" t="s" s="0">
        <v>2664</v>
      </c>
      <c r="AT924" t="s" s="0">
        <v>19982</v>
      </c>
      <c r="AU924" t="s" s="0">
        <v>19983</v>
      </c>
      <c r="AV924" t="s" s="0">
        <v>81</v>
      </c>
      <c r="AW924" t="s" s="0">
        <v>19984</v>
      </c>
      <c r="AX924" t="s" s="0">
        <v>19985</v>
      </c>
      <c r="AY924" t="s" s="0">
        <v>81</v>
      </c>
      <c r="AZ924" t="s" s="0">
        <v>260</v>
      </c>
      <c r="BA924" t="s" s="0">
        <v>81</v>
      </c>
      <c r="BB924" t="s" s="0">
        <v>81</v>
      </c>
      <c r="BC924" t="s" s="0">
        <v>81</v>
      </c>
      <c r="BD924" t="s" s="0">
        <v>81</v>
      </c>
      <c r="BE924" t="s" s="0">
        <v>81</v>
      </c>
      <c r="BF924" t="s" s="0">
        <v>81</v>
      </c>
      <c r="BG924" t="s" s="0">
        <v>81</v>
      </c>
      <c r="BH924" t="s" s="0">
        <v>81</v>
      </c>
      <c r="BI924" t="s" s="0">
        <v>81</v>
      </c>
      <c r="BJ924" t="s" s="0">
        <v>19986</v>
      </c>
      <c r="BK924" t="s" s="1838">
        <f>HYPERLINK("http://dx.doi.org/10.1007/s12070-023-04415-8","http://dx.doi.org/10.1007/s12070-023-04415-8")</f>
        <v>19987</v>
      </c>
      <c r="BL924" t="s" s="0">
        <v>81</v>
      </c>
      <c r="BM924" t="s" s="0">
        <v>4259</v>
      </c>
      <c r="BN924" t="s" s="0">
        <v>234</v>
      </c>
      <c r="BO924" t="s" s="0">
        <v>4529</v>
      </c>
      <c r="BP924" t="s" s="0">
        <v>4529</v>
      </c>
      <c r="BQ924" t="s" s="0">
        <v>19988</v>
      </c>
      <c r="BR924" t="s" s="0">
        <v>19989</v>
      </c>
      <c r="BS924" t="s" s="0">
        <v>19990</v>
      </c>
      <c r="BT924" t="s" s="1839">
        <f>HYPERLINK("https://www.webofscience.com/wos/woscc/full-record/WOS:001126980600002","View Record in Web of Science")</f>
        <v>114</v>
      </c>
      <c r="BU924" t="s" s="0">
        <v>3140</v>
      </c>
      <c r="BV924" t="s" s="0">
        <v>81</v>
      </c>
      <c r="BW924" t="s" s="0">
        <v>81</v>
      </c>
      <c r="BX924" t="s" s="0">
        <v>116</v>
      </c>
    </row>
    <row r="925">
      <c r="A925" t="s" s="0">
        <v>77</v>
      </c>
      <c r="B925" t="s" s="0">
        <v>77</v>
      </c>
      <c r="C925" t="s" s="0">
        <v>77</v>
      </c>
      <c r="D925" t="s" s="0">
        <v>77</v>
      </c>
      <c r="E925" t="s" s="0">
        <v>19991</v>
      </c>
      <c r="F925" t="s" s="0">
        <v>19992</v>
      </c>
      <c r="G925" t="s" s="0">
        <v>19993</v>
      </c>
      <c r="H925" t="s" s="0">
        <v>81</v>
      </c>
      <c r="I925" t="s" s="0">
        <v>82</v>
      </c>
      <c r="J925" t="s" s="0">
        <v>19994</v>
      </c>
      <c r="K925" t="s" s="0">
        <v>19995</v>
      </c>
      <c r="L925" t="s" s="0">
        <v>19996</v>
      </c>
      <c r="M925" t="s" s="0">
        <v>19996</v>
      </c>
      <c r="N925" t="s" s="0">
        <v>19997</v>
      </c>
      <c r="O925" t="s" s="0">
        <v>19998</v>
      </c>
      <c r="P925" t="s" s="0">
        <v>360</v>
      </c>
      <c r="Q925" t="s" s="0">
        <v>87</v>
      </c>
      <c r="R925" t="s" s="0">
        <v>81</v>
      </c>
      <c r="S925" t="s" s="0">
        <v>81</v>
      </c>
      <c r="T925" t="s" s="0">
        <v>81</v>
      </c>
      <c r="U925" t="s" s="0">
        <v>81</v>
      </c>
      <c r="V925" t="s" s="0">
        <v>19999</v>
      </c>
      <c r="W925" t="s" s="0">
        <v>279</v>
      </c>
      <c r="X925" t="s" s="0">
        <v>81</v>
      </c>
      <c r="Y925" t="s" s="0">
        <v>81</v>
      </c>
      <c r="Z925" t="s" s="0">
        <v>90</v>
      </c>
      <c r="AA925" t="s" s="0">
        <v>91</v>
      </c>
      <c r="AB925" t="s" s="0">
        <v>81</v>
      </c>
      <c r="AC925" t="s" s="0">
        <v>81</v>
      </c>
      <c r="AD925" t="s" s="0">
        <v>81</v>
      </c>
      <c r="AE925" t="s" s="0">
        <v>81</v>
      </c>
      <c r="AF925" t="s" s="0">
        <v>81</v>
      </c>
      <c r="AG925" t="s" s="0">
        <v>20000</v>
      </c>
      <c r="AH925" t="s" s="0">
        <v>81</v>
      </c>
      <c r="AI925" t="s" s="0">
        <v>20001</v>
      </c>
      <c r="AJ925" t="s" s="0">
        <v>20002</v>
      </c>
      <c r="AK925" t="s" s="0">
        <v>81</v>
      </c>
      <c r="AL925" t="s" s="0">
        <v>5567</v>
      </c>
      <c r="AM925" t="s" s="0">
        <v>175</v>
      </c>
      <c r="AN925" t="s" s="0">
        <v>133</v>
      </c>
      <c r="AO925" t="s" s="0">
        <v>196</v>
      </c>
      <c r="AP925" t="s" s="0">
        <v>175</v>
      </c>
      <c r="AQ925" t="s" s="0">
        <v>284</v>
      </c>
      <c r="AR925" t="s" s="0">
        <v>285</v>
      </c>
      <c r="AS925" t="s" s="0">
        <v>286</v>
      </c>
      <c r="AT925" t="s" s="0">
        <v>81</v>
      </c>
      <c r="AU925" t="s" s="0">
        <v>287</v>
      </c>
      <c r="AV925" t="s" s="0">
        <v>81</v>
      </c>
      <c r="AW925" t="s" s="0">
        <v>279</v>
      </c>
      <c r="AX925" t="s" s="0">
        <v>288</v>
      </c>
      <c r="AY925" t="s" s="0">
        <v>20003</v>
      </c>
      <c r="AZ925" t="s" s="0">
        <v>103</v>
      </c>
      <c r="BA925" t="s" s="0">
        <v>925</v>
      </c>
      <c r="BB925" t="s" s="0">
        <v>97</v>
      </c>
      <c r="BC925" t="s" s="0">
        <v>81</v>
      </c>
      <c r="BD925" t="s" s="0">
        <v>81</v>
      </c>
      <c r="BE925" t="s" s="0">
        <v>81</v>
      </c>
      <c r="BF925" t="s" s="0">
        <v>81</v>
      </c>
      <c r="BG925" t="s" s="0">
        <v>81</v>
      </c>
      <c r="BH925" t="s" s="0">
        <v>81</v>
      </c>
      <c r="BI925" t="s" s="0">
        <v>6271</v>
      </c>
      <c r="BJ925" t="s" s="0">
        <v>20004</v>
      </c>
      <c r="BK925" t="s" s="1840">
        <f>HYPERLINK("http://dx.doi.org/10.3390/diagnostics16010159","http://dx.doi.org/10.3390/diagnostics16010159")</f>
        <v>20005</v>
      </c>
      <c r="BL925" t="s" s="0">
        <v>81</v>
      </c>
      <c r="BM925" t="s" s="0">
        <v>81</v>
      </c>
      <c r="BN925" t="s" s="0">
        <v>1883</v>
      </c>
      <c r="BO925" t="s" s="0">
        <v>296</v>
      </c>
      <c r="BP925" t="s" s="0">
        <v>297</v>
      </c>
      <c r="BQ925" t="s" s="0">
        <v>20006</v>
      </c>
      <c r="BR925" t="s" s="0">
        <v>20007</v>
      </c>
      <c r="BS925" t="s" s="0">
        <v>20008</v>
      </c>
      <c r="BT925" t="s" s="1841">
        <f>HYPERLINK("https://www.webofscience.com/wos/woscc/full-record/WOS:001657719900001","View Record in Web of Science")</f>
        <v>114</v>
      </c>
      <c r="BU925" t="s" s="0">
        <v>301</v>
      </c>
      <c r="BV925" t="s" s="0">
        <v>81</v>
      </c>
      <c r="BW925" t="s" s="0">
        <v>81</v>
      </c>
      <c r="BX925" t="s" s="0">
        <v>116</v>
      </c>
    </row>
    <row r="926">
      <c r="A926" t="s" s="0">
        <v>77</v>
      </c>
      <c r="B926" t="s" s="0">
        <v>77</v>
      </c>
      <c r="C926" t="s" s="0">
        <v>97</v>
      </c>
      <c r="D926" t="s" s="0">
        <v>77</v>
      </c>
      <c r="E926" t="s" s="0">
        <v>20009</v>
      </c>
      <c r="F926" t="s" s="0">
        <v>20010</v>
      </c>
      <c r="G926" t="s" s="0">
        <v>20011</v>
      </c>
      <c r="H926" t="s" s="0">
        <v>81</v>
      </c>
      <c r="I926" t="s" s="0">
        <v>238</v>
      </c>
      <c r="J926" t="s" s="0">
        <v>20012</v>
      </c>
      <c r="K926" t="s" s="0">
        <v>20013</v>
      </c>
      <c r="L926" t="s" s="0">
        <v>81</v>
      </c>
      <c r="M926" t="s" s="0">
        <v>81</v>
      </c>
      <c r="N926" t="s" s="0">
        <v>81</v>
      </c>
      <c r="O926" t="s" s="0">
        <v>20014</v>
      </c>
      <c r="P926" t="s" s="0">
        <v>20015</v>
      </c>
      <c r="Q926" t="s" s="0">
        <v>87</v>
      </c>
      <c r="R926" t="s" s="0">
        <v>81</v>
      </c>
      <c r="S926" t="s" s="0">
        <v>81</v>
      </c>
      <c r="T926" t="s" s="0">
        <v>81</v>
      </c>
      <c r="U926" t="s" s="0">
        <v>81</v>
      </c>
      <c r="V926" t="s" s="0">
        <v>20016</v>
      </c>
      <c r="W926" t="s" s="0">
        <v>1416</v>
      </c>
      <c r="X926" t="s" s="0">
        <v>81</v>
      </c>
      <c r="Y926" t="s" s="0">
        <v>81</v>
      </c>
      <c r="Z926" t="s" s="0">
        <v>90</v>
      </c>
      <c r="AA926" t="s" s="0">
        <v>91</v>
      </c>
      <c r="AB926" t="s" s="0">
        <v>81</v>
      </c>
      <c r="AC926" t="s" s="0">
        <v>81</v>
      </c>
      <c r="AD926" t="s" s="0">
        <v>81</v>
      </c>
      <c r="AE926" t="s" s="0">
        <v>81</v>
      </c>
      <c r="AF926" t="s" s="0">
        <v>81</v>
      </c>
      <c r="AG926" t="s" s="0">
        <v>20017</v>
      </c>
      <c r="AH926" t="s" s="0">
        <v>81</v>
      </c>
      <c r="AI926" t="s" s="0">
        <v>20018</v>
      </c>
      <c r="AJ926" t="s" s="0">
        <v>20019</v>
      </c>
      <c r="AK926" t="s" s="0">
        <v>81</v>
      </c>
      <c r="AL926" t="s" s="0">
        <v>315</v>
      </c>
      <c r="AM926" t="s" s="0">
        <v>486</v>
      </c>
      <c r="AN926" t="s" s="0">
        <v>291</v>
      </c>
      <c r="AO926" t="s" s="0">
        <v>211</v>
      </c>
      <c r="AP926" t="s" s="0">
        <v>344</v>
      </c>
      <c r="AQ926" t="s" s="0">
        <v>368</v>
      </c>
      <c r="AR926" t="s" s="0">
        <v>369</v>
      </c>
      <c r="AS926" t="s" s="0">
        <v>370</v>
      </c>
      <c r="AT926" t="s" s="0">
        <v>81</v>
      </c>
      <c r="AU926" t="s" s="0">
        <v>1421</v>
      </c>
      <c r="AV926" t="s" s="0">
        <v>81</v>
      </c>
      <c r="AW926" t="s" s="0">
        <v>1422</v>
      </c>
      <c r="AX926" t="s" s="0">
        <v>1423</v>
      </c>
      <c r="AY926" t="s" s="0">
        <v>20020</v>
      </c>
      <c r="AZ926" t="s" s="0">
        <v>290</v>
      </c>
      <c r="BA926" t="s" s="0">
        <v>234</v>
      </c>
      <c r="BB926" t="s" s="0">
        <v>81</v>
      </c>
      <c r="BC926" t="s" s="0">
        <v>81</v>
      </c>
      <c r="BD926" t="s" s="0">
        <v>81</v>
      </c>
      <c r="BE926" t="s" s="0">
        <v>81</v>
      </c>
      <c r="BF926" t="s" s="0">
        <v>81</v>
      </c>
      <c r="BG926" t="s" s="0">
        <v>81</v>
      </c>
      <c r="BH926" t="s" s="0">
        <v>81</v>
      </c>
      <c r="BI926" t="s" s="0">
        <v>20021</v>
      </c>
      <c r="BJ926" t="s" s="0">
        <v>20022</v>
      </c>
      <c r="BK926" t="s" s="1842">
        <f>HYPERLINK("http://dx.doi.org/10.3389/fdgth.2025.1512273","http://dx.doi.org/10.3389/fdgth.2025.1512273")</f>
        <v>20023</v>
      </c>
      <c r="BL926" t="s" s="0">
        <v>81</v>
      </c>
      <c r="BM926" t="s" s="0">
        <v>81</v>
      </c>
      <c r="BN926" t="s" s="0">
        <v>367</v>
      </c>
      <c r="BO926" t="s" s="0">
        <v>792</v>
      </c>
      <c r="BP926" t="s" s="0">
        <v>792</v>
      </c>
      <c r="BQ926" t="s" s="0">
        <v>20024</v>
      </c>
      <c r="BR926" t="s" s="0">
        <v>20025</v>
      </c>
      <c r="BS926" t="s" s="0">
        <v>20026</v>
      </c>
      <c r="BT926" t="s" s="1843">
        <f>HYPERLINK("https://www.webofscience.com/wos/woscc/full-record/WOS:001423337300001","View Record in Web of Science")</f>
        <v>114</v>
      </c>
      <c r="BU926" t="s" s="0">
        <v>301</v>
      </c>
      <c r="BV926" t="s" s="0">
        <v>81</v>
      </c>
      <c r="BW926" t="s" s="0">
        <v>81</v>
      </c>
      <c r="BX926" t="s" s="0">
        <v>116</v>
      </c>
    </row>
    <row r="927">
      <c r="A927" t="s" s="0">
        <v>77</v>
      </c>
      <c r="B927" t="s" s="0">
        <v>77</v>
      </c>
      <c r="C927" t="s" s="0">
        <v>97</v>
      </c>
      <c r="D927" t="s" s="0">
        <v>77</v>
      </c>
      <c r="E927" t="s" s="0">
        <v>20027</v>
      </c>
      <c r="F927" t="s" s="0">
        <v>20028</v>
      </c>
      <c r="G927" t="s" s="0">
        <v>20029</v>
      </c>
      <c r="H927" t="s" s="0">
        <v>81</v>
      </c>
      <c r="I927" t="s" s="0">
        <v>238</v>
      </c>
      <c r="J927" t="s" s="0">
        <v>20030</v>
      </c>
      <c r="K927" t="s" s="0">
        <v>20031</v>
      </c>
      <c r="L927" t="s" s="0">
        <v>20032</v>
      </c>
      <c r="M927" t="s" s="0">
        <v>20033</v>
      </c>
      <c r="N927" t="s" s="0">
        <v>20034</v>
      </c>
      <c r="O927" t="s" s="0">
        <v>20035</v>
      </c>
      <c r="P927" t="s" s="0">
        <v>20036</v>
      </c>
      <c r="Q927" t="s" s="0">
        <v>87</v>
      </c>
      <c r="R927" t="s" s="0">
        <v>81</v>
      </c>
      <c r="S927" t="s" s="0">
        <v>81</v>
      </c>
      <c r="T927" t="s" s="0">
        <v>81</v>
      </c>
      <c r="U927" t="s" s="0">
        <v>81</v>
      </c>
      <c r="V927" t="s" s="0">
        <v>20037</v>
      </c>
      <c r="W927" t="s" s="0">
        <v>20038</v>
      </c>
      <c r="X927" t="s" s="0">
        <v>81</v>
      </c>
      <c r="Y927" t="s" s="0">
        <v>81</v>
      </c>
      <c r="Z927" t="s" s="0">
        <v>90</v>
      </c>
      <c r="AA927" t="s" s="0">
        <v>91</v>
      </c>
      <c r="AB927" t="s" s="0">
        <v>81</v>
      </c>
      <c r="AC927" t="s" s="0">
        <v>81</v>
      </c>
      <c r="AD927" t="s" s="0">
        <v>81</v>
      </c>
      <c r="AE927" t="s" s="0">
        <v>81</v>
      </c>
      <c r="AF927" t="s" s="0">
        <v>81</v>
      </c>
      <c r="AG927" t="s" s="0">
        <v>20039</v>
      </c>
      <c r="AH927" t="s" s="0">
        <v>13619</v>
      </c>
      <c r="AI927" t="s" s="0">
        <v>20040</v>
      </c>
      <c r="AJ927" t="s" s="0">
        <v>20041</v>
      </c>
      <c r="AK927" t="s" s="0">
        <v>81</v>
      </c>
      <c r="AL927" t="s" s="0">
        <v>672</v>
      </c>
      <c r="AM927" t="s" s="0">
        <v>104</v>
      </c>
      <c r="AN927" t="s" s="0">
        <v>291</v>
      </c>
      <c r="AO927" t="s" s="0">
        <v>97</v>
      </c>
      <c r="AP927" t="s" s="0">
        <v>175</v>
      </c>
      <c r="AQ927" t="s" s="0">
        <v>20042</v>
      </c>
      <c r="AR927" t="s" s="0">
        <v>429</v>
      </c>
      <c r="AS927" t="s" s="0">
        <v>20043</v>
      </c>
      <c r="AT927" t="s" s="0">
        <v>81</v>
      </c>
      <c r="AU927" t="s" s="0">
        <v>20044</v>
      </c>
      <c r="AV927" t="s" s="0">
        <v>81</v>
      </c>
      <c r="AW927" t="s" s="0">
        <v>20045</v>
      </c>
      <c r="AX927" t="s" s="0">
        <v>20046</v>
      </c>
      <c r="AY927" t="s" s="0">
        <v>514</v>
      </c>
      <c r="AZ927" t="s" s="0">
        <v>185</v>
      </c>
      <c r="BA927" t="s" s="0">
        <v>381</v>
      </c>
      <c r="BB927" t="s" s="0">
        <v>20047</v>
      </c>
      <c r="BC927" t="s" s="0">
        <v>81</v>
      </c>
      <c r="BD927" t="s" s="0">
        <v>81</v>
      </c>
      <c r="BE927" t="s" s="0">
        <v>20048</v>
      </c>
      <c r="BF927" t="s" s="0">
        <v>81</v>
      </c>
      <c r="BG927" t="s" s="0">
        <v>81</v>
      </c>
      <c r="BH927" t="s" s="0">
        <v>81</v>
      </c>
      <c r="BI927" t="s" s="0">
        <v>5567</v>
      </c>
      <c r="BJ927" t="s" s="0">
        <v>20049</v>
      </c>
      <c r="BK927" t="s" s="1844">
        <f>HYPERLINK("http://dx.doi.org/10.1145/3637348","http://dx.doi.org/10.1145/3637348")</f>
        <v>20050</v>
      </c>
      <c r="BL927" t="s" s="0">
        <v>81</v>
      </c>
      <c r="BM927" t="s" s="0">
        <v>81</v>
      </c>
      <c r="BN927" t="s" s="0">
        <v>176</v>
      </c>
      <c r="BO927" t="s" s="0">
        <v>20051</v>
      </c>
      <c r="BP927" t="s" s="0">
        <v>152</v>
      </c>
      <c r="BQ927" t="s" s="0">
        <v>20052</v>
      </c>
      <c r="BR927" t="s" s="0">
        <v>81</v>
      </c>
      <c r="BS927" t="s" s="0">
        <v>20053</v>
      </c>
      <c r="BT927" t="s" s="1845">
        <f>HYPERLINK("https://www.webofscience.com/wos/woscc/full-record/WOS:001553128900003","View Record in Web of Science")</f>
        <v>114</v>
      </c>
      <c r="BU927" t="s" s="0">
        <v>81</v>
      </c>
      <c r="BV927" t="s" s="0">
        <v>81</v>
      </c>
      <c r="BW927" t="s" s="0">
        <v>81</v>
      </c>
      <c r="BX927" t="s" s="0">
        <v>116</v>
      </c>
    </row>
    <row r="928">
      <c r="A928" t="s" s="0">
        <v>77</v>
      </c>
      <c r="B928" t="s" s="0">
        <v>77</v>
      </c>
      <c r="C928" t="s" s="0">
        <v>77</v>
      </c>
      <c r="D928" t="s" s="0">
        <v>77</v>
      </c>
      <c r="E928" t="s" s="0">
        <v>20054</v>
      </c>
      <c r="F928" t="s" s="0">
        <v>20055</v>
      </c>
      <c r="G928" t="s" s="0">
        <v>20056</v>
      </c>
      <c r="H928" t="s" s="0">
        <v>81</v>
      </c>
      <c r="I928" t="s" s="0">
        <v>589</v>
      </c>
      <c r="J928" t="s" s="0">
        <v>20057</v>
      </c>
      <c r="K928" t="s" s="0">
        <v>20058</v>
      </c>
      <c r="L928" t="s" s="0">
        <v>81</v>
      </c>
      <c r="M928" t="s" s="0">
        <v>81</v>
      </c>
      <c r="N928" t="s" s="0">
        <v>81</v>
      </c>
      <c r="O928" t="s" s="0">
        <v>20059</v>
      </c>
      <c r="P928" t="s" s="0">
        <v>20060</v>
      </c>
      <c r="Q928" t="s" s="0">
        <v>87</v>
      </c>
      <c r="R928" t="s" s="0">
        <v>81</v>
      </c>
      <c r="S928" t="s" s="0">
        <v>81</v>
      </c>
      <c r="T928" t="s" s="0">
        <v>81</v>
      </c>
      <c r="U928" t="s" s="0">
        <v>81</v>
      </c>
      <c r="V928" t="s" s="0">
        <v>20061</v>
      </c>
      <c r="W928" t="s" s="0">
        <v>10054</v>
      </c>
      <c r="X928" t="s" s="0">
        <v>81</v>
      </c>
      <c r="Y928" t="s" s="0">
        <v>81</v>
      </c>
      <c r="Z928" t="s" s="0">
        <v>90</v>
      </c>
      <c r="AA928" t="s" s="0">
        <v>1581</v>
      </c>
      <c r="AB928" t="s" s="0">
        <v>81</v>
      </c>
      <c r="AC928" t="s" s="0">
        <v>81</v>
      </c>
      <c r="AD928" t="s" s="0">
        <v>81</v>
      </c>
      <c r="AE928" t="s" s="0">
        <v>81</v>
      </c>
      <c r="AF928" t="s" s="0">
        <v>81</v>
      </c>
      <c r="AG928" t="s" s="0">
        <v>20062</v>
      </c>
      <c r="AH928" t="s" s="0">
        <v>20063</v>
      </c>
      <c r="AI928" t="s" s="0">
        <v>81</v>
      </c>
      <c r="AJ928" t="s" s="0">
        <v>81</v>
      </c>
      <c r="AK928" t="s" s="0">
        <v>81</v>
      </c>
      <c r="AL928" t="s" s="0">
        <v>1883</v>
      </c>
      <c r="AM928" t="s" s="0">
        <v>77</v>
      </c>
      <c r="AN928" t="s" s="0">
        <v>77</v>
      </c>
      <c r="AO928" t="s" s="0">
        <v>77</v>
      </c>
      <c r="AP928" t="s" s="0">
        <v>77</v>
      </c>
      <c r="AQ928" t="s" s="0">
        <v>1809</v>
      </c>
      <c r="AR928" t="s" s="0">
        <v>1810</v>
      </c>
      <c r="AS928" t="s" s="0">
        <v>1811</v>
      </c>
      <c r="AT928" t="s" s="0">
        <v>10058</v>
      </c>
      <c r="AU928" t="s" s="0">
        <v>10059</v>
      </c>
      <c r="AV928" t="s" s="0">
        <v>81</v>
      </c>
      <c r="AW928" t="s" s="0">
        <v>10060</v>
      </c>
      <c r="AX928" t="s" s="0">
        <v>10061</v>
      </c>
      <c r="AY928" t="s" s="0">
        <v>81</v>
      </c>
      <c r="AZ928" t="s" s="0">
        <v>103</v>
      </c>
      <c r="BA928" t="s" s="0">
        <v>81</v>
      </c>
      <c r="BB928" t="s" s="0">
        <v>81</v>
      </c>
      <c r="BC928" t="s" s="0">
        <v>81</v>
      </c>
      <c r="BD928" t="s" s="0">
        <v>81</v>
      </c>
      <c r="BE928" t="s" s="0">
        <v>81</v>
      </c>
      <c r="BF928" t="s" s="0">
        <v>81</v>
      </c>
      <c r="BG928" t="s" s="0">
        <v>81</v>
      </c>
      <c r="BH928" t="s" s="0">
        <v>81</v>
      </c>
      <c r="BI928" t="s" s="0">
        <v>81</v>
      </c>
      <c r="BJ928" t="s" s="0">
        <v>20064</v>
      </c>
      <c r="BK928" t="s" s="1846">
        <f>HYPERLINK("http://dx.doi.org/10.1177/10519815261477732","http://dx.doi.org/10.1177/10519815261477732")</f>
        <v>20065</v>
      </c>
      <c r="BL928" t="s" s="0">
        <v>81</v>
      </c>
      <c r="BM928" t="s" s="0">
        <v>6101</v>
      </c>
      <c r="BN928" t="s" s="0">
        <v>261</v>
      </c>
      <c r="BO928" t="s" s="0">
        <v>850</v>
      </c>
      <c r="BP928" t="s" s="0">
        <v>850</v>
      </c>
      <c r="BQ928" t="s" s="0">
        <v>20066</v>
      </c>
      <c r="BR928" t="s" s="0">
        <v>20067</v>
      </c>
      <c r="BS928" t="s" s="0">
        <v>20068</v>
      </c>
      <c r="BT928" t="s" s="1847">
        <f>HYPERLINK("https://www.webofscience.com/wos/woscc/full-record/WOS:001853029900001","View Record in Web of Science")</f>
        <v>114</v>
      </c>
      <c r="BU928" t="s" s="0">
        <v>1055</v>
      </c>
      <c r="BV928" t="s" s="0">
        <v>81</v>
      </c>
      <c r="BW928" t="s" s="0">
        <v>81</v>
      </c>
      <c r="BX928" t="s" s="0">
        <v>116</v>
      </c>
    </row>
    <row r="929">
      <c r="A929" t="s" s="0">
        <v>77</v>
      </c>
      <c r="B929" t="s" s="0">
        <v>77</v>
      </c>
      <c r="C929" t="s" s="0">
        <v>77</v>
      </c>
      <c r="D929" t="s" s="0">
        <v>77</v>
      </c>
      <c r="E929" t="s" s="0">
        <v>20069</v>
      </c>
      <c r="F929" t="s" s="0">
        <v>20070</v>
      </c>
      <c r="G929" t="s" s="0">
        <v>20071</v>
      </c>
      <c r="H929" t="s" s="0">
        <v>81</v>
      </c>
      <c r="I929" t="s" s="0">
        <v>82</v>
      </c>
      <c r="J929" t="s" s="0">
        <v>20072</v>
      </c>
      <c r="K929" t="s" s="0">
        <v>20073</v>
      </c>
      <c r="L929" t="s" s="0">
        <v>81</v>
      </c>
      <c r="M929" t="s" s="0">
        <v>81</v>
      </c>
      <c r="N929" t="s" s="0">
        <v>81</v>
      </c>
      <c r="O929" t="s" s="0">
        <v>20074</v>
      </c>
      <c r="P929" t="s" s="0">
        <v>20075</v>
      </c>
      <c r="Q929" t="s" s="0">
        <v>87</v>
      </c>
      <c r="R929" t="s" s="0">
        <v>81</v>
      </c>
      <c r="S929" t="s" s="0">
        <v>81</v>
      </c>
      <c r="T929" t="s" s="0">
        <v>81</v>
      </c>
      <c r="U929" t="s" s="0">
        <v>81</v>
      </c>
      <c r="V929" t="s" s="0">
        <v>20076</v>
      </c>
      <c r="W929" t="s" s="0">
        <v>6057</v>
      </c>
      <c r="X929" t="s" s="0">
        <v>81</v>
      </c>
      <c r="Y929" t="s" s="0">
        <v>81</v>
      </c>
      <c r="Z929" t="s" s="0">
        <v>90</v>
      </c>
      <c r="AA929" t="s" s="0">
        <v>91</v>
      </c>
      <c r="AB929" t="s" s="0">
        <v>81</v>
      </c>
      <c r="AC929" t="s" s="0">
        <v>81</v>
      </c>
      <c r="AD929" t="s" s="0">
        <v>81</v>
      </c>
      <c r="AE929" t="s" s="0">
        <v>81</v>
      </c>
      <c r="AF929" t="s" s="0">
        <v>81</v>
      </c>
      <c r="AG929" t="s" s="0">
        <v>20077</v>
      </c>
      <c r="AH929" t="s" s="0">
        <v>20078</v>
      </c>
      <c r="AI929" t="s" s="0">
        <v>20079</v>
      </c>
      <c r="AJ929" t="s" s="0">
        <v>81</v>
      </c>
      <c r="AK929" t="s" s="0">
        <v>81</v>
      </c>
      <c r="AL929" t="s" s="0">
        <v>96</v>
      </c>
      <c r="AM929" t="s" s="0">
        <v>77</v>
      </c>
      <c r="AN929" t="s" s="0">
        <v>77</v>
      </c>
      <c r="AO929" t="s" s="0">
        <v>97</v>
      </c>
      <c r="AP929" t="s" s="0">
        <v>97</v>
      </c>
      <c r="AQ929" t="s" s="0">
        <v>3061</v>
      </c>
      <c r="AR929" t="s" s="0">
        <v>3062</v>
      </c>
      <c r="AS929" t="s" s="0">
        <v>3063</v>
      </c>
      <c r="AT929" t="s" s="0">
        <v>6061</v>
      </c>
      <c r="AU929" t="s" s="0">
        <v>81</v>
      </c>
      <c r="AV929" t="s" s="0">
        <v>81</v>
      </c>
      <c r="AW929" t="s" s="0">
        <v>6062</v>
      </c>
      <c r="AX929" t="s" s="0">
        <v>6063</v>
      </c>
      <c r="AY929" t="s" s="0">
        <v>103</v>
      </c>
      <c r="AZ929" t="s" s="0">
        <v>103</v>
      </c>
      <c r="BA929" t="s" s="0">
        <v>134</v>
      </c>
      <c r="BB929" t="s" s="0">
        <v>81</v>
      </c>
      <c r="BC929" t="s" s="0">
        <v>81</v>
      </c>
      <c r="BD929" t="s" s="0">
        <v>81</v>
      </c>
      <c r="BE929" t="s" s="0">
        <v>81</v>
      </c>
      <c r="BF929" t="s" s="0">
        <v>81</v>
      </c>
      <c r="BG929" t="s" s="0">
        <v>81</v>
      </c>
      <c r="BH929" t="s" s="0">
        <v>81</v>
      </c>
      <c r="BI929" t="s" s="0">
        <v>20080</v>
      </c>
      <c r="BJ929" t="s" s="0">
        <v>20081</v>
      </c>
      <c r="BK929" t="s" s="1848">
        <f>HYPERLINK("http://dx.doi.org/10.2196/85373","http://dx.doi.org/10.2196/85373")</f>
        <v>20082</v>
      </c>
      <c r="BL929" t="s" s="0">
        <v>81</v>
      </c>
      <c r="BM929" t="s" s="0">
        <v>81</v>
      </c>
      <c r="BN929" t="s" s="0">
        <v>485</v>
      </c>
      <c r="BO929" t="s" s="0">
        <v>6067</v>
      </c>
      <c r="BP929" t="s" s="0">
        <v>6068</v>
      </c>
      <c r="BQ929" t="s" s="0">
        <v>20083</v>
      </c>
      <c r="BR929" t="s" s="0">
        <v>20084</v>
      </c>
      <c r="BS929" t="s" s="0">
        <v>20085</v>
      </c>
      <c r="BT929" t="s" s="1849">
        <f>HYPERLINK("https://www.webofscience.com/wos/woscc/full-record/WOS:001791370500001","View Record in Web of Science")</f>
        <v>114</v>
      </c>
      <c r="BU929" t="s" s="0">
        <v>301</v>
      </c>
      <c r="BV929" t="s" s="0">
        <v>81</v>
      </c>
      <c r="BW929" t="s" s="0">
        <v>81</v>
      </c>
      <c r="BX929" t="s" s="0">
        <v>116</v>
      </c>
    </row>
    <row r="930">
      <c r="A930" t="s" s="0">
        <v>77</v>
      </c>
      <c r="B930" t="s" s="0">
        <v>77</v>
      </c>
      <c r="C930" t="s" s="0">
        <v>77</v>
      </c>
      <c r="D930" t="s" s="0">
        <v>77</v>
      </c>
      <c r="E930" t="s" s="0">
        <v>20086</v>
      </c>
      <c r="F930" t="s" s="0">
        <v>20087</v>
      </c>
      <c r="G930" t="s" s="0">
        <v>20088</v>
      </c>
      <c r="H930" t="s" s="0">
        <v>81</v>
      </c>
      <c r="I930" t="s" s="0">
        <v>238</v>
      </c>
      <c r="J930" t="s" s="0">
        <v>20089</v>
      </c>
      <c r="K930" t="s" s="0">
        <v>20090</v>
      </c>
      <c r="L930" t="s" s="0">
        <v>81</v>
      </c>
      <c r="M930" t="s" s="0">
        <v>81</v>
      </c>
      <c r="N930" t="s" s="0">
        <v>81</v>
      </c>
      <c r="O930" t="s" s="0">
        <v>20091</v>
      </c>
      <c r="P930" t="s" s="0">
        <v>81</v>
      </c>
      <c r="Q930" t="s" s="0">
        <v>87</v>
      </c>
      <c r="R930" t="s" s="0">
        <v>81</v>
      </c>
      <c r="S930" t="s" s="0">
        <v>81</v>
      </c>
      <c r="T930" t="s" s="0">
        <v>81</v>
      </c>
      <c r="U930" t="s" s="0">
        <v>81</v>
      </c>
      <c r="V930" t="s" s="0">
        <v>20092</v>
      </c>
      <c r="W930" t="s" s="0">
        <v>17937</v>
      </c>
      <c r="X930" t="s" s="0">
        <v>81</v>
      </c>
      <c r="Y930" t="s" s="0">
        <v>81</v>
      </c>
      <c r="Z930" t="s" s="0">
        <v>90</v>
      </c>
      <c r="AA930" t="s" s="0">
        <v>1581</v>
      </c>
      <c r="AB930" t="s" s="0">
        <v>81</v>
      </c>
      <c r="AC930" t="s" s="0">
        <v>81</v>
      </c>
      <c r="AD930" t="s" s="0">
        <v>81</v>
      </c>
      <c r="AE930" t="s" s="0">
        <v>81</v>
      </c>
      <c r="AF930" t="s" s="0">
        <v>81</v>
      </c>
      <c r="AG930" t="s" s="0">
        <v>20093</v>
      </c>
      <c r="AH930" t="s" s="0">
        <v>81</v>
      </c>
      <c r="AI930" t="s" s="0">
        <v>81</v>
      </c>
      <c r="AJ930" t="s" s="0">
        <v>81</v>
      </c>
      <c r="AK930" t="s" s="0">
        <v>81</v>
      </c>
      <c r="AL930" t="s" s="0">
        <v>2819</v>
      </c>
      <c r="AM930" t="s" s="0">
        <v>77</v>
      </c>
      <c r="AN930" t="s" s="0">
        <v>77</v>
      </c>
      <c r="AO930" t="s" s="0">
        <v>316</v>
      </c>
      <c r="AP930" t="s" s="0">
        <v>316</v>
      </c>
      <c r="AQ930" t="s" s="0">
        <v>5049</v>
      </c>
      <c r="AR930" t="s" s="0">
        <v>5050</v>
      </c>
      <c r="AS930" t="s" s="0">
        <v>5051</v>
      </c>
      <c r="AT930" t="s" s="0">
        <v>17940</v>
      </c>
      <c r="AU930" t="s" s="0">
        <v>17941</v>
      </c>
      <c r="AV930" t="s" s="0">
        <v>81</v>
      </c>
      <c r="AW930" t="s" s="0">
        <v>17942</v>
      </c>
      <c r="AX930" t="s" s="0">
        <v>17943</v>
      </c>
      <c r="AY930" t="s" s="0">
        <v>81</v>
      </c>
      <c r="AZ930" t="s" s="0">
        <v>103</v>
      </c>
      <c r="BA930" t="s" s="0">
        <v>81</v>
      </c>
      <c r="BB930" t="s" s="0">
        <v>81</v>
      </c>
      <c r="BC930" t="s" s="0">
        <v>81</v>
      </c>
      <c r="BD930" t="s" s="0">
        <v>81</v>
      </c>
      <c r="BE930" t="s" s="0">
        <v>81</v>
      </c>
      <c r="BF930" t="s" s="0">
        <v>81</v>
      </c>
      <c r="BG930" t="s" s="0">
        <v>81</v>
      </c>
      <c r="BH930" t="s" s="0">
        <v>81</v>
      </c>
      <c r="BI930" t="s" s="0">
        <v>81</v>
      </c>
      <c r="BJ930" t="s" s="0">
        <v>20094</v>
      </c>
      <c r="BK930" t="s" s="1850">
        <f>HYPERLINK("http://dx.doi.org/10.1108/JICES-07-2025-0190","http://dx.doi.org/10.1108/JICES-07-2025-0190")</f>
        <v>20095</v>
      </c>
      <c r="BL930" t="s" s="0">
        <v>81</v>
      </c>
      <c r="BM930" t="s" s="0">
        <v>143</v>
      </c>
      <c r="BN930" t="s" s="0">
        <v>252</v>
      </c>
      <c r="BO930" t="s" s="0">
        <v>17946</v>
      </c>
      <c r="BP930" t="s" s="0">
        <v>3208</v>
      </c>
      <c r="BQ930" t="s" s="0">
        <v>20096</v>
      </c>
      <c r="BR930" t="s" s="0">
        <v>81</v>
      </c>
      <c r="BS930" t="s" s="0">
        <v>20097</v>
      </c>
      <c r="BT930" t="s" s="1851">
        <f>HYPERLINK("https://www.webofscience.com/wos/woscc/full-record/WOS:001708719000001","View Record in Web of Science")</f>
        <v>114</v>
      </c>
      <c r="BU930" t="s" s="0">
        <v>81</v>
      </c>
      <c r="BV930" t="s" s="0">
        <v>81</v>
      </c>
      <c r="BW930" t="s" s="0">
        <v>81</v>
      </c>
      <c r="BX930" t="s" s="0">
        <v>116</v>
      </c>
    </row>
    <row r="931">
      <c r="A931" t="s" s="0">
        <v>77</v>
      </c>
      <c r="B931" t="s" s="0">
        <v>77</v>
      </c>
      <c r="C931" t="s" s="0">
        <v>97</v>
      </c>
      <c r="D931" t="s" s="0">
        <v>77</v>
      </c>
      <c r="E931" t="s" s="0">
        <v>20098</v>
      </c>
      <c r="F931" t="s" s="0">
        <v>20099</v>
      </c>
      <c r="G931" t="s" s="0">
        <v>20100</v>
      </c>
      <c r="H931" t="s" s="0">
        <v>81</v>
      </c>
      <c r="I931" t="s" s="0">
        <v>528</v>
      </c>
      <c r="J931" t="s" s="0">
        <v>20101</v>
      </c>
      <c r="K931" t="s" s="0">
        <v>20102</v>
      </c>
      <c r="L931" t="s" s="0">
        <v>20103</v>
      </c>
      <c r="M931" t="s" s="0">
        <v>20104</v>
      </c>
      <c r="N931" t="s" s="0">
        <v>20105</v>
      </c>
      <c r="O931" t="s" s="0">
        <v>20106</v>
      </c>
      <c r="P931" t="s" s="0">
        <v>20107</v>
      </c>
      <c r="Q931" t="s" s="0">
        <v>87</v>
      </c>
      <c r="R931" t="s" s="0">
        <v>81</v>
      </c>
      <c r="S931" t="s" s="0">
        <v>81</v>
      </c>
      <c r="T931" t="s" s="0">
        <v>81</v>
      </c>
      <c r="U931" t="s" s="0">
        <v>81</v>
      </c>
      <c r="V931" t="s" s="0">
        <v>20108</v>
      </c>
      <c r="W931" t="s" s="0">
        <v>8380</v>
      </c>
      <c r="X931" t="s" s="0">
        <v>81</v>
      </c>
      <c r="Y931" t="s" s="0">
        <v>81</v>
      </c>
      <c r="Z931" t="s" s="0">
        <v>90</v>
      </c>
      <c r="AA931" t="s" s="0">
        <v>91</v>
      </c>
      <c r="AB931" t="s" s="0">
        <v>81</v>
      </c>
      <c r="AC931" t="s" s="0">
        <v>81</v>
      </c>
      <c r="AD931" t="s" s="0">
        <v>81</v>
      </c>
      <c r="AE931" t="s" s="0">
        <v>81</v>
      </c>
      <c r="AF931" t="s" s="0">
        <v>81</v>
      </c>
      <c r="AG931" t="s" s="0">
        <v>20109</v>
      </c>
      <c r="AH931" t="s" s="0">
        <v>20110</v>
      </c>
      <c r="AI931" t="s" s="0">
        <v>20111</v>
      </c>
      <c r="AJ931" t="s" s="0">
        <v>20112</v>
      </c>
      <c r="AK931" t="s" s="0">
        <v>81</v>
      </c>
      <c r="AL931" t="s" s="0">
        <v>1047</v>
      </c>
      <c r="AM931" t="s" s="0">
        <v>196</v>
      </c>
      <c r="AN931" t="s" s="0">
        <v>196</v>
      </c>
      <c r="AO931" t="s" s="0">
        <v>316</v>
      </c>
      <c r="AP931" t="s" s="0">
        <v>291</v>
      </c>
      <c r="AQ931" t="s" s="0">
        <v>1654</v>
      </c>
      <c r="AR931" t="s" s="0">
        <v>1345</v>
      </c>
      <c r="AS931" t="s" s="0">
        <v>1655</v>
      </c>
      <c r="AT931" t="s" s="0">
        <v>8385</v>
      </c>
      <c r="AU931" t="s" s="0">
        <v>8386</v>
      </c>
      <c r="AV931" t="s" s="0">
        <v>81</v>
      </c>
      <c r="AW931" t="s" s="0">
        <v>8387</v>
      </c>
      <c r="AX931" t="s" s="0">
        <v>8388</v>
      </c>
      <c r="AY931" t="s" s="0">
        <v>552</v>
      </c>
      <c r="AZ931" t="s" s="0">
        <v>290</v>
      </c>
      <c r="BA931" t="s" s="0">
        <v>1912</v>
      </c>
      <c r="BB931" t="s" s="0">
        <v>316</v>
      </c>
      <c r="BC931" t="s" s="0">
        <v>81</v>
      </c>
      <c r="BD931" t="s" s="0">
        <v>81</v>
      </c>
      <c r="BE931" t="s" s="0">
        <v>81</v>
      </c>
      <c r="BF931" t="s" s="0">
        <v>81</v>
      </c>
      <c r="BG931" t="s" s="0">
        <v>20113</v>
      </c>
      <c r="BH931" t="s" s="0">
        <v>20114</v>
      </c>
      <c r="BI931" t="s" s="0">
        <v>81</v>
      </c>
      <c r="BJ931" t="s" s="0">
        <v>20115</v>
      </c>
      <c r="BK931" t="s" s="1852">
        <f>HYPERLINK("http://dx.doi.org/10.1093/jamia/ocaf053","http://dx.doi.org/10.1093/jamia/ocaf053")</f>
        <v>20116</v>
      </c>
      <c r="BL931" t="s" s="0">
        <v>81</v>
      </c>
      <c r="BM931" t="s" s="0">
        <v>1025</v>
      </c>
      <c r="BN931" t="s" s="0">
        <v>486</v>
      </c>
      <c r="BO931" t="s" s="0">
        <v>8391</v>
      </c>
      <c r="BP931" t="s" s="0">
        <v>8392</v>
      </c>
      <c r="BQ931" t="s" s="0">
        <v>20117</v>
      </c>
      <c r="BR931" t="s" s="0">
        <v>20118</v>
      </c>
      <c r="BS931" t="s" s="0">
        <v>20119</v>
      </c>
      <c r="BT931" t="s" s="1853">
        <f>HYPERLINK("https://www.webofscience.com/wos/woscc/full-record/WOS:001454645900001","View Record in Web of Science")</f>
        <v>114</v>
      </c>
      <c r="BU931" t="s" s="0">
        <v>233</v>
      </c>
      <c r="BV931" t="s" s="0">
        <v>81</v>
      </c>
      <c r="BW931" t="s" s="0">
        <v>81</v>
      </c>
      <c r="BX931" t="s" s="0">
        <v>116</v>
      </c>
    </row>
    <row r="932">
      <c r="A932" t="s" s="0">
        <v>77</v>
      </c>
      <c r="B932" t="s" s="0">
        <v>77</v>
      </c>
      <c r="C932" t="s" s="0">
        <v>77</v>
      </c>
      <c r="D932" t="s" s="0">
        <v>77</v>
      </c>
      <c r="E932" t="s" s="0">
        <v>20120</v>
      </c>
      <c r="F932" t="s" s="0">
        <v>20121</v>
      </c>
      <c r="G932" t="s" s="0">
        <v>20122</v>
      </c>
      <c r="H932" t="s" s="0">
        <v>81</v>
      </c>
      <c r="I932" t="s" s="0">
        <v>528</v>
      </c>
      <c r="J932" t="s" s="0">
        <v>20123</v>
      </c>
      <c r="K932" t="s" s="0">
        <v>20124</v>
      </c>
      <c r="L932" t="s" s="0">
        <v>81</v>
      </c>
      <c r="M932" t="s" s="0">
        <v>81</v>
      </c>
      <c r="N932" t="s" s="0">
        <v>81</v>
      </c>
      <c r="O932" t="s" s="0">
        <v>20125</v>
      </c>
      <c r="P932" t="s" s="0">
        <v>20126</v>
      </c>
      <c r="Q932" t="s" s="0">
        <v>87</v>
      </c>
      <c r="R932" t="s" s="0">
        <v>81</v>
      </c>
      <c r="S932" t="s" s="0">
        <v>81</v>
      </c>
      <c r="T932" t="s" s="0">
        <v>81</v>
      </c>
      <c r="U932" t="s" s="0">
        <v>81</v>
      </c>
      <c r="V932" t="s" s="0">
        <v>20127</v>
      </c>
      <c r="W932" t="s" s="0">
        <v>9822</v>
      </c>
      <c r="X932" t="s" s="0">
        <v>81</v>
      </c>
      <c r="Y932" t="s" s="0">
        <v>81</v>
      </c>
      <c r="Z932" t="s" s="0">
        <v>90</v>
      </c>
      <c r="AA932" t="s" s="0">
        <v>91</v>
      </c>
      <c r="AB932" t="s" s="0">
        <v>81</v>
      </c>
      <c r="AC932" t="s" s="0">
        <v>81</v>
      </c>
      <c r="AD932" t="s" s="0">
        <v>81</v>
      </c>
      <c r="AE932" t="s" s="0">
        <v>81</v>
      </c>
      <c r="AF932" t="s" s="0">
        <v>81</v>
      </c>
      <c r="AG932" t="s" s="0">
        <v>20128</v>
      </c>
      <c r="AH932" t="s" s="0">
        <v>81</v>
      </c>
      <c r="AI932" t="s" s="0">
        <v>20129</v>
      </c>
      <c r="AJ932" t="s" s="0">
        <v>20130</v>
      </c>
      <c r="AK932" t="s" s="0">
        <v>81</v>
      </c>
      <c r="AL932" t="s" s="0">
        <v>109</v>
      </c>
      <c r="AM932" t="s" s="0">
        <v>77</v>
      </c>
      <c r="AN932" t="s" s="0">
        <v>77</v>
      </c>
      <c r="AO932" t="s" s="0">
        <v>196</v>
      </c>
      <c r="AP932" t="s" s="0">
        <v>261</v>
      </c>
      <c r="AQ932" t="s" s="0">
        <v>9827</v>
      </c>
      <c r="AR932" t="s" s="0">
        <v>546</v>
      </c>
      <c r="AS932" t="s" s="0">
        <v>9828</v>
      </c>
      <c r="AT932" t="s" s="0">
        <v>9829</v>
      </c>
      <c r="AU932" t="s" s="0">
        <v>81</v>
      </c>
      <c r="AV932" t="s" s="0">
        <v>81</v>
      </c>
      <c r="AW932" t="s" s="0">
        <v>9830</v>
      </c>
      <c r="AX932" t="s" s="0">
        <v>9831</v>
      </c>
      <c r="AY932" t="s" s="0">
        <v>290</v>
      </c>
      <c r="AZ932" t="s" s="0">
        <v>290</v>
      </c>
      <c r="BA932" t="s" s="0">
        <v>191</v>
      </c>
      <c r="BB932" t="s" s="0">
        <v>81</v>
      </c>
      <c r="BC932" t="s" s="0">
        <v>81</v>
      </c>
      <c r="BD932" t="s" s="0">
        <v>81</v>
      </c>
      <c r="BE932" t="s" s="0">
        <v>81</v>
      </c>
      <c r="BF932" t="s" s="0">
        <v>81</v>
      </c>
      <c r="BG932" t="s" s="0">
        <v>81</v>
      </c>
      <c r="BH932" t="s" s="0">
        <v>81</v>
      </c>
      <c r="BI932" t="s" s="0">
        <v>20131</v>
      </c>
      <c r="BJ932" t="s" s="0">
        <v>20132</v>
      </c>
      <c r="BK932" t="s" s="1854">
        <f>HYPERLINK("http://dx.doi.org/10.1177/20552076251404507","http://dx.doi.org/10.1177/20552076251404507")</f>
        <v>20133</v>
      </c>
      <c r="BL932" t="s" s="0">
        <v>81</v>
      </c>
      <c r="BM932" t="s" s="0">
        <v>81</v>
      </c>
      <c r="BN932" t="s" s="0">
        <v>486</v>
      </c>
      <c r="BO932" t="s" s="0">
        <v>9835</v>
      </c>
      <c r="BP932" t="s" s="0">
        <v>9836</v>
      </c>
      <c r="BQ932" t="s" s="0">
        <v>20134</v>
      </c>
      <c r="BR932" t="s" s="0">
        <v>20135</v>
      </c>
      <c r="BS932" t="s" s="0">
        <v>20136</v>
      </c>
      <c r="BT932" t="s" s="1855">
        <f>HYPERLINK("https://www.webofscience.com/wos/woscc/full-record/WOS:001629653400001","View Record in Web of Science")</f>
        <v>114</v>
      </c>
      <c r="BU932" t="s" s="0">
        <v>301</v>
      </c>
      <c r="BV932" t="s" s="0">
        <v>81</v>
      </c>
      <c r="BW932" t="s" s="0">
        <v>81</v>
      </c>
      <c r="BX932" t="s" s="0">
        <v>116</v>
      </c>
    </row>
    <row r="933">
      <c r="A933" t="s" s="0">
        <v>77</v>
      </c>
      <c r="B933" t="s" s="0">
        <v>77</v>
      </c>
      <c r="C933" t="s" s="0">
        <v>77</v>
      </c>
      <c r="D933" t="s" s="0">
        <v>77</v>
      </c>
      <c r="E933" t="s" s="0">
        <v>20137</v>
      </c>
      <c r="F933" t="s" s="0">
        <v>20138</v>
      </c>
      <c r="G933" t="s" s="0">
        <v>20139</v>
      </c>
      <c r="H933" t="s" s="0">
        <v>81</v>
      </c>
      <c r="I933" t="s" s="0">
        <v>82</v>
      </c>
      <c r="J933" t="s" s="0">
        <v>20140</v>
      </c>
      <c r="K933" t="s" s="0">
        <v>20141</v>
      </c>
      <c r="L933" t="s" s="0">
        <v>20142</v>
      </c>
      <c r="M933" t="s" s="0">
        <v>20142</v>
      </c>
      <c r="N933" t="s" s="0">
        <v>20143</v>
      </c>
      <c r="O933" t="s" s="0">
        <v>20144</v>
      </c>
      <c r="P933" t="s" s="0">
        <v>81</v>
      </c>
      <c r="Q933" t="s" s="0">
        <v>87</v>
      </c>
      <c r="R933" t="s" s="0">
        <v>81</v>
      </c>
      <c r="S933" t="s" s="0">
        <v>81</v>
      </c>
      <c r="T933" t="s" s="0">
        <v>81</v>
      </c>
      <c r="U933" t="s" s="0">
        <v>81</v>
      </c>
      <c r="V933" t="s" s="0">
        <v>20145</v>
      </c>
      <c r="W933" t="s" s="0">
        <v>20146</v>
      </c>
      <c r="X933" t="s" s="0">
        <v>81</v>
      </c>
      <c r="Y933" t="s" s="0">
        <v>81</v>
      </c>
      <c r="Z933" t="s" s="0">
        <v>90</v>
      </c>
      <c r="AA933" t="s" s="0">
        <v>91</v>
      </c>
      <c r="AB933" t="s" s="0">
        <v>81</v>
      </c>
      <c r="AC933" t="s" s="0">
        <v>81</v>
      </c>
      <c r="AD933" t="s" s="0">
        <v>81</v>
      </c>
      <c r="AE933" t="s" s="0">
        <v>81</v>
      </c>
      <c r="AF933" t="s" s="0">
        <v>81</v>
      </c>
      <c r="AG933" t="s" s="0">
        <v>20147</v>
      </c>
      <c r="AH933" t="s" s="0">
        <v>81</v>
      </c>
      <c r="AI933" t="s" s="0">
        <v>20148</v>
      </c>
      <c r="AJ933" t="s" s="0">
        <v>81</v>
      </c>
      <c r="AK933" t="s" s="0">
        <v>81</v>
      </c>
      <c r="AL933" t="s" s="0">
        <v>344</v>
      </c>
      <c r="AM933" t="s" s="0">
        <v>77</v>
      </c>
      <c r="AN933" t="s" s="0">
        <v>77</v>
      </c>
      <c r="AO933" t="s" s="0">
        <v>77</v>
      </c>
      <c r="AP933" t="s" s="0">
        <v>77</v>
      </c>
      <c r="AQ933" t="s" s="0">
        <v>20149</v>
      </c>
      <c r="AR933" t="s" s="0">
        <v>1734</v>
      </c>
      <c r="AS933" t="s" s="0">
        <v>20150</v>
      </c>
      <c r="AT933" t="s" s="0">
        <v>20151</v>
      </c>
      <c r="AU933" t="s" s="0">
        <v>20152</v>
      </c>
      <c r="AV933" t="s" s="0">
        <v>81</v>
      </c>
      <c r="AW933" t="s" s="0">
        <v>20153</v>
      </c>
      <c r="AX933" t="s" s="0">
        <v>20154</v>
      </c>
      <c r="AY933" t="s" s="0">
        <v>10257</v>
      </c>
      <c r="AZ933" t="s" s="0">
        <v>103</v>
      </c>
      <c r="BA933" t="s" s="0">
        <v>819</v>
      </c>
      <c r="BB933" t="s" s="0">
        <v>381</v>
      </c>
      <c r="BC933" t="s" s="0">
        <v>81</v>
      </c>
      <c r="BD933" t="s" s="0">
        <v>81</v>
      </c>
      <c r="BE933" t="s" s="0">
        <v>81</v>
      </c>
      <c r="BF933" t="s" s="0">
        <v>81</v>
      </c>
      <c r="BG933" t="s" s="0">
        <v>81</v>
      </c>
      <c r="BH933" t="s" s="0">
        <v>81</v>
      </c>
      <c r="BI933" t="s" s="0">
        <v>20155</v>
      </c>
      <c r="BJ933" t="s" s="0">
        <v>20156</v>
      </c>
      <c r="BK933" t="s" s="1856">
        <f>HYPERLINK("http://dx.doi.org/10.1029/2026RS008697","http://dx.doi.org/10.1029/2026RS008697")</f>
        <v>20157</v>
      </c>
      <c r="BL933" t="s" s="0">
        <v>81</v>
      </c>
      <c r="BM933" t="s" s="0">
        <v>81</v>
      </c>
      <c r="BN933" t="s" s="0">
        <v>253</v>
      </c>
      <c r="BO933" t="s" s="0">
        <v>20158</v>
      </c>
      <c r="BP933" t="s" s="0">
        <v>20158</v>
      </c>
      <c r="BQ933" t="s" s="0">
        <v>20159</v>
      </c>
      <c r="BR933" t="s" s="0">
        <v>81</v>
      </c>
      <c r="BS933" t="s" s="0">
        <v>20160</v>
      </c>
      <c r="BT933" t="s" s="1857">
        <f>HYPERLINK("https://www.webofscience.com/wos/woscc/full-record/WOS:001837043400001","View Record in Web of Science")</f>
        <v>114</v>
      </c>
      <c r="BU933" t="s" s="0">
        <v>81</v>
      </c>
      <c r="BV933" t="s" s="0">
        <v>81</v>
      </c>
      <c r="BW933" t="s" s="0">
        <v>81</v>
      </c>
      <c r="BX933" t="s" s="0">
        <v>116</v>
      </c>
    </row>
    <row r="934">
      <c r="A934" t="s" s="0">
        <v>77</v>
      </c>
      <c r="B934" t="s" s="0">
        <v>77</v>
      </c>
      <c r="C934" t="s" s="0">
        <v>175</v>
      </c>
      <c r="D934" t="s" s="0">
        <v>77</v>
      </c>
      <c r="E934" t="s" s="0">
        <v>20161</v>
      </c>
      <c r="F934" t="s" s="0">
        <v>20162</v>
      </c>
      <c r="G934" t="s" s="0">
        <v>20163</v>
      </c>
      <c r="H934" t="s" s="0">
        <v>81</v>
      </c>
      <c r="I934" t="s" s="0">
        <v>82</v>
      </c>
      <c r="J934" t="s" s="0">
        <v>20164</v>
      </c>
      <c r="K934" t="s" s="0">
        <v>20165</v>
      </c>
      <c r="L934" t="s" s="0">
        <v>20166</v>
      </c>
      <c r="M934" t="s" s="0">
        <v>20167</v>
      </c>
      <c r="N934" t="s" s="0">
        <v>335</v>
      </c>
      <c r="O934" t="s" s="0">
        <v>20168</v>
      </c>
      <c r="P934" t="s" s="0">
        <v>20169</v>
      </c>
      <c r="Q934" t="s" s="0">
        <v>87</v>
      </c>
      <c r="R934" t="s" s="0">
        <v>81</v>
      </c>
      <c r="S934" t="s" s="0">
        <v>81</v>
      </c>
      <c r="T934" t="s" s="0">
        <v>81</v>
      </c>
      <c r="U934" t="s" s="0">
        <v>81</v>
      </c>
      <c r="V934" t="s" s="0">
        <v>20170</v>
      </c>
      <c r="W934" t="s" s="0">
        <v>5983</v>
      </c>
      <c r="X934" t="s" s="0">
        <v>81</v>
      </c>
      <c r="Y934" t="s" s="0">
        <v>81</v>
      </c>
      <c r="Z934" t="s" s="0">
        <v>90</v>
      </c>
      <c r="AA934" t="s" s="0">
        <v>91</v>
      </c>
      <c r="AB934" t="s" s="0">
        <v>81</v>
      </c>
      <c r="AC934" t="s" s="0">
        <v>81</v>
      </c>
      <c r="AD934" t="s" s="0">
        <v>81</v>
      </c>
      <c r="AE934" t="s" s="0">
        <v>81</v>
      </c>
      <c r="AF934" t="s" s="0">
        <v>81</v>
      </c>
      <c r="AG934" t="s" s="0">
        <v>20171</v>
      </c>
      <c r="AH934" t="s" s="0">
        <v>81</v>
      </c>
      <c r="AI934" t="s" s="0">
        <v>20172</v>
      </c>
      <c r="AJ934" t="s" s="0">
        <v>20173</v>
      </c>
      <c r="AK934" t="s" s="0">
        <v>81</v>
      </c>
      <c r="AL934" t="s" s="0">
        <v>1635</v>
      </c>
      <c r="AM934" t="s" s="0">
        <v>104</v>
      </c>
      <c r="AN934" t="s" s="0">
        <v>291</v>
      </c>
      <c r="AO934" t="s" s="0">
        <v>77</v>
      </c>
      <c r="AP934" t="s" s="0">
        <v>381</v>
      </c>
      <c r="AQ934" t="s" s="0">
        <v>212</v>
      </c>
      <c r="AR934" t="s" s="0">
        <v>429</v>
      </c>
      <c r="AS934" t="s" s="0">
        <v>784</v>
      </c>
      <c r="AT934" t="s" s="0">
        <v>5987</v>
      </c>
      <c r="AU934" t="s" s="0">
        <v>5988</v>
      </c>
      <c r="AV934" t="s" s="0">
        <v>81</v>
      </c>
      <c r="AW934" t="s" s="0">
        <v>5989</v>
      </c>
      <c r="AX934" t="s" s="0">
        <v>5990</v>
      </c>
      <c r="AY934" t="s" s="0">
        <v>1816</v>
      </c>
      <c r="AZ934" t="s" s="0">
        <v>185</v>
      </c>
      <c r="BA934" t="s" s="0">
        <v>543</v>
      </c>
      <c r="BB934" t="s" s="0">
        <v>133</v>
      </c>
      <c r="BC934" t="s" s="0">
        <v>81</v>
      </c>
      <c r="BD934" t="s" s="0">
        <v>81</v>
      </c>
      <c r="BE934" t="s" s="0">
        <v>81</v>
      </c>
      <c r="BF934" t="s" s="0">
        <v>81</v>
      </c>
      <c r="BG934" t="s" s="0">
        <v>20174</v>
      </c>
      <c r="BH934" t="s" s="0">
        <v>20175</v>
      </c>
      <c r="BI934" t="s" s="0">
        <v>81</v>
      </c>
      <c r="BJ934" t="s" s="0">
        <v>20176</v>
      </c>
      <c r="BK934" t="s" s="1858">
        <f>HYPERLINK("http://dx.doi.org/10.1007/s10278-024-01136-4","http://dx.doi.org/10.1007/s10278-024-01136-4")</f>
        <v>20177</v>
      </c>
      <c r="BL934" t="s" s="0">
        <v>81</v>
      </c>
      <c r="BM934" t="s" s="0">
        <v>320</v>
      </c>
      <c r="BN934" t="s" s="0">
        <v>211</v>
      </c>
      <c r="BO934" t="s" s="0">
        <v>738</v>
      </c>
      <c r="BP934" t="s" s="0">
        <v>738</v>
      </c>
      <c r="BQ934" t="s" s="0">
        <v>20178</v>
      </c>
      <c r="BR934" t="s" s="0">
        <v>20179</v>
      </c>
      <c r="BS934" t="s" s="0">
        <v>20180</v>
      </c>
      <c r="BT934" t="s" s="1859">
        <f>HYPERLINK("https://www.webofscience.com/wos/woscc/full-record/WOS:001214871800002","View Record in Web of Science")</f>
        <v>114</v>
      </c>
      <c r="BU934" t="s" s="0">
        <v>3140</v>
      </c>
      <c r="BV934" t="s" s="0">
        <v>81</v>
      </c>
      <c r="BW934" t="s" s="0">
        <v>81</v>
      </c>
      <c r="BX934" t="s" s="0">
        <v>116</v>
      </c>
    </row>
    <row r="935">
      <c r="A935" t="s" s="0">
        <v>77</v>
      </c>
      <c r="B935" t="s" s="0">
        <v>77</v>
      </c>
      <c r="C935" t="s" s="0">
        <v>77</v>
      </c>
      <c r="D935" t="s" s="0">
        <v>77</v>
      </c>
      <c r="E935" t="s" s="0">
        <v>20181</v>
      </c>
      <c r="F935" t="s" s="0">
        <v>20182</v>
      </c>
      <c r="G935" t="s" s="0">
        <v>20183</v>
      </c>
      <c r="H935" t="s" s="0">
        <v>81</v>
      </c>
      <c r="I935" t="s" s="0">
        <v>82</v>
      </c>
      <c r="J935" t="s" s="0">
        <v>20184</v>
      </c>
      <c r="K935" t="s" s="0">
        <v>20185</v>
      </c>
      <c r="L935" t="s" s="0">
        <v>20186</v>
      </c>
      <c r="M935" t="s" s="0">
        <v>20187</v>
      </c>
      <c r="N935" t="s" s="0">
        <v>20188</v>
      </c>
      <c r="O935" t="s" s="0">
        <v>20189</v>
      </c>
      <c r="P935" t="s" s="0">
        <v>20190</v>
      </c>
      <c r="Q935" t="s" s="0">
        <v>87</v>
      </c>
      <c r="R935" t="s" s="0">
        <v>81</v>
      </c>
      <c r="S935" t="s" s="0">
        <v>20191</v>
      </c>
      <c r="T935" t="s" s="0">
        <v>81</v>
      </c>
      <c r="U935" t="s" s="0">
        <v>81</v>
      </c>
      <c r="V935" t="s" s="0">
        <v>20192</v>
      </c>
      <c r="W935" t="s" s="0">
        <v>20193</v>
      </c>
      <c r="X935" t="s" s="0">
        <v>81</v>
      </c>
      <c r="Y935" t="s" s="0">
        <v>81</v>
      </c>
      <c r="Z935" t="s" s="0">
        <v>90</v>
      </c>
      <c r="AA935" t="s" s="0">
        <v>91</v>
      </c>
      <c r="AB935" t="s" s="0">
        <v>81</v>
      </c>
      <c r="AC935" t="s" s="0">
        <v>81</v>
      </c>
      <c r="AD935" t="s" s="0">
        <v>81</v>
      </c>
      <c r="AE935" t="s" s="0">
        <v>81</v>
      </c>
      <c r="AF935" t="s" s="0">
        <v>81</v>
      </c>
      <c r="AG935" t="s" s="0">
        <v>20194</v>
      </c>
      <c r="AH935" t="s" s="0">
        <v>20195</v>
      </c>
      <c r="AI935" t="s" s="0">
        <v>20196</v>
      </c>
      <c r="AJ935" t="s" s="0">
        <v>20197</v>
      </c>
      <c r="AK935" t="s" s="0">
        <v>81</v>
      </c>
      <c r="AL935" t="s" s="0">
        <v>1607</v>
      </c>
      <c r="AM935" t="s" s="0">
        <v>97</v>
      </c>
      <c r="AN935" t="s" s="0">
        <v>97</v>
      </c>
      <c r="AO935" t="s" s="0">
        <v>156</v>
      </c>
      <c r="AP935" t="s" s="0">
        <v>196</v>
      </c>
      <c r="AQ935" t="s" s="0">
        <v>1809</v>
      </c>
      <c r="AR935" t="s" s="0">
        <v>1810</v>
      </c>
      <c r="AS935" t="s" s="0">
        <v>1811</v>
      </c>
      <c r="AT935" t="s" s="0">
        <v>20198</v>
      </c>
      <c r="AU935" t="s" s="0">
        <v>20199</v>
      </c>
      <c r="AV935" t="s" s="0">
        <v>81</v>
      </c>
      <c r="AW935" t="s" s="0">
        <v>20200</v>
      </c>
      <c r="AX935" t="s" s="0">
        <v>20201</v>
      </c>
      <c r="AY935" t="s" s="0">
        <v>1029</v>
      </c>
      <c r="AZ935" t="s" s="0">
        <v>290</v>
      </c>
      <c r="BA935" t="s" s="0">
        <v>756</v>
      </c>
      <c r="BB935" t="s" s="0">
        <v>97</v>
      </c>
      <c r="BC935" t="s" s="0">
        <v>81</v>
      </c>
      <c r="BD935" t="s" s="0">
        <v>81</v>
      </c>
      <c r="BE935" t="s" s="0">
        <v>81</v>
      </c>
      <c r="BF935" t="s" s="0">
        <v>81</v>
      </c>
      <c r="BG935" t="s" s="0">
        <v>81</v>
      </c>
      <c r="BH935" t="s" s="0">
        <v>81</v>
      </c>
      <c r="BI935" t="s" s="0">
        <v>20202</v>
      </c>
      <c r="BJ935" t="s" s="0">
        <v>20203</v>
      </c>
      <c r="BK935" t="s" s="1860">
        <f>HYPERLINK("http://dx.doi.org/10.1177/18758592241308755","http://dx.doi.org/10.1177/18758592241308755")</f>
        <v>20204</v>
      </c>
      <c r="BL935" t="s" s="0">
        <v>81</v>
      </c>
      <c r="BM935" t="s" s="0">
        <v>81</v>
      </c>
      <c r="BN935" t="s" s="0">
        <v>222</v>
      </c>
      <c r="BO935" t="s" s="0">
        <v>1380</v>
      </c>
      <c r="BP935" t="s" s="0">
        <v>1380</v>
      </c>
      <c r="BQ935" t="s" s="0">
        <v>20205</v>
      </c>
      <c r="BR935" t="s" s="0">
        <v>20206</v>
      </c>
      <c r="BS935" t="s" s="0">
        <v>20207</v>
      </c>
      <c r="BT935" t="s" s="1861">
        <f>HYPERLINK("https://www.webofscience.com/wos/woscc/full-record/WOS:001481500000001","View Record in Web of Science")</f>
        <v>114</v>
      </c>
      <c r="BU935" t="s" s="0">
        <v>155</v>
      </c>
      <c r="BV935" t="s" s="0">
        <v>81</v>
      </c>
      <c r="BW935" t="s" s="0">
        <v>81</v>
      </c>
      <c r="BX935" t="s" s="0">
        <v>116</v>
      </c>
    </row>
    <row r="936">
      <c r="A936" t="s" s="0">
        <v>97</v>
      </c>
      <c r="B936" t="s" s="0">
        <v>77</v>
      </c>
      <c r="C936" t="s" s="0">
        <v>261</v>
      </c>
      <c r="D936" t="s" s="0">
        <v>77</v>
      </c>
      <c r="E936" t="s" s="0">
        <v>20208</v>
      </c>
      <c r="F936" t="s" s="0">
        <v>20209</v>
      </c>
      <c r="G936" t="s" s="0">
        <v>20210</v>
      </c>
      <c r="H936" t="s" s="0">
        <v>81</v>
      </c>
      <c r="I936" t="s" s="0">
        <v>82</v>
      </c>
      <c r="J936" t="s" s="0">
        <v>20211</v>
      </c>
      <c r="K936" t="s" s="0">
        <v>81</v>
      </c>
      <c r="L936" t="s" s="0">
        <v>81</v>
      </c>
      <c r="M936" t="s" s="0">
        <v>81</v>
      </c>
      <c r="N936" t="s" s="0">
        <v>81</v>
      </c>
      <c r="O936" t="s" s="0">
        <v>20212</v>
      </c>
      <c r="P936" t="s" s="0">
        <v>20213</v>
      </c>
      <c r="Q936" t="s" s="0">
        <v>87</v>
      </c>
      <c r="R936" t="s" s="0">
        <v>81</v>
      </c>
      <c r="S936" t="s" s="0">
        <v>81</v>
      </c>
      <c r="T936" t="s" s="0">
        <v>81</v>
      </c>
      <c r="U936" t="s" s="0">
        <v>81</v>
      </c>
      <c r="V936" t="s" s="0">
        <v>20214</v>
      </c>
      <c r="W936" t="s" s="0">
        <v>20215</v>
      </c>
      <c r="X936" t="s" s="0">
        <v>81</v>
      </c>
      <c r="Y936" t="s" s="0">
        <v>81</v>
      </c>
      <c r="Z936" t="s" s="0">
        <v>90</v>
      </c>
      <c r="AA936" t="s" s="0">
        <v>91</v>
      </c>
      <c r="AB936" t="s" s="0">
        <v>81</v>
      </c>
      <c r="AC936" t="s" s="0">
        <v>81</v>
      </c>
      <c r="AD936" t="s" s="0">
        <v>81</v>
      </c>
      <c r="AE936" t="s" s="0">
        <v>81</v>
      </c>
      <c r="AF936" t="s" s="0">
        <v>81</v>
      </c>
      <c r="AG936" t="s" s="0">
        <v>81</v>
      </c>
      <c r="AH936" t="s" s="0">
        <v>20216</v>
      </c>
      <c r="AI936" t="s" s="0">
        <v>20217</v>
      </c>
      <c r="AJ936" t="s" s="0">
        <v>20218</v>
      </c>
      <c r="AK936" t="s" s="0">
        <v>81</v>
      </c>
      <c r="AL936" t="s" s="0">
        <v>343</v>
      </c>
      <c r="AM936" t="s" s="0">
        <v>542</v>
      </c>
      <c r="AN936" t="s" s="0">
        <v>734</v>
      </c>
      <c r="AO936" t="s" s="0">
        <v>175</v>
      </c>
      <c r="AP936" t="s" s="0">
        <v>222</v>
      </c>
      <c r="AQ936" t="s" s="0">
        <v>11547</v>
      </c>
      <c r="AR936" t="s" s="0">
        <v>429</v>
      </c>
      <c r="AS936" t="s" s="0">
        <v>11548</v>
      </c>
      <c r="AT936" t="s" s="0">
        <v>20219</v>
      </c>
      <c r="AU936" t="s" s="0">
        <v>20220</v>
      </c>
      <c r="AV936" t="s" s="0">
        <v>81</v>
      </c>
      <c r="AW936" t="s" s="0">
        <v>20221</v>
      </c>
      <c r="AX936" t="s" s="0">
        <v>20222</v>
      </c>
      <c r="AY936" t="s" s="0">
        <v>1029</v>
      </c>
      <c r="AZ936" t="s" s="0">
        <v>290</v>
      </c>
      <c r="BA936" t="s" s="0">
        <v>783</v>
      </c>
      <c r="BB936" t="s" s="0">
        <v>97</v>
      </c>
      <c r="BC936" t="s" s="0">
        <v>81</v>
      </c>
      <c r="BD936" t="s" s="0">
        <v>81</v>
      </c>
      <c r="BE936" t="s" s="0">
        <v>81</v>
      </c>
      <c r="BF936" t="s" s="0">
        <v>81</v>
      </c>
      <c r="BG936" t="s" s="0">
        <v>81</v>
      </c>
      <c r="BH936" t="s" s="0">
        <v>81</v>
      </c>
      <c r="BI936" t="s" s="0">
        <v>81</v>
      </c>
      <c r="BJ936" t="s" s="0">
        <v>20223</v>
      </c>
      <c r="BK936" t="s" s="1862">
        <f>HYPERLINK("http://dx.doi.org/10.1016/j.gie.2023.12.003","http://dx.doi.org/10.1016/j.gie.2023.12.003")</f>
        <v>20224</v>
      </c>
      <c r="BL936" t="s" s="0">
        <v>81</v>
      </c>
      <c r="BM936" t="s" s="0">
        <v>1183</v>
      </c>
      <c r="BN936" t="s" s="0">
        <v>261</v>
      </c>
      <c r="BO936" t="s" s="0">
        <v>1519</v>
      </c>
      <c r="BP936" t="s" s="0">
        <v>1519</v>
      </c>
      <c r="BQ936" t="s" s="0">
        <v>20225</v>
      </c>
      <c r="BR936" t="s" s="0">
        <v>20226</v>
      </c>
      <c r="BS936" t="s" s="0">
        <v>20227</v>
      </c>
      <c r="BT936" t="s" s="1863">
        <f>HYPERLINK("https://www.webofscience.com/wos/woscc/full-record/WOS:001392222400001","View Record in Web of Science")</f>
        <v>114</v>
      </c>
      <c r="BU936" t="s" s="0">
        <v>20228</v>
      </c>
      <c r="BV936" t="s" s="0">
        <v>81</v>
      </c>
      <c r="BW936" t="s" s="0">
        <v>81</v>
      </c>
      <c r="BX936" t="s" s="0">
        <v>116</v>
      </c>
    </row>
    <row r="937">
      <c r="A937" t="s" s="0">
        <v>77</v>
      </c>
      <c r="B937" t="s" s="0">
        <v>77</v>
      </c>
      <c r="C937" t="s" s="0">
        <v>97</v>
      </c>
      <c r="D937" t="s" s="0">
        <v>77</v>
      </c>
      <c r="E937" t="s" s="0">
        <v>20229</v>
      </c>
      <c r="F937" t="s" s="0">
        <v>20230</v>
      </c>
      <c r="G937" t="s" s="0">
        <v>20231</v>
      </c>
      <c r="H937" t="s" s="0">
        <v>81</v>
      </c>
      <c r="I937" t="s" s="0">
        <v>82</v>
      </c>
      <c r="J937" t="s" s="0">
        <v>20232</v>
      </c>
      <c r="K937" t="s" s="0">
        <v>20233</v>
      </c>
      <c r="L937" t="s" s="0">
        <v>20234</v>
      </c>
      <c r="M937" t="s" s="0">
        <v>20234</v>
      </c>
      <c r="N937" t="s" s="0">
        <v>20235</v>
      </c>
      <c r="O937" t="s" s="0">
        <v>20236</v>
      </c>
      <c r="P937" t="s" s="0">
        <v>20237</v>
      </c>
      <c r="Q937" t="s" s="0">
        <v>87</v>
      </c>
      <c r="R937" t="s" s="0">
        <v>81</v>
      </c>
      <c r="S937" t="s" s="0">
        <v>81</v>
      </c>
      <c r="T937" t="s" s="0">
        <v>81</v>
      </c>
      <c r="U937" t="s" s="0">
        <v>81</v>
      </c>
      <c r="V937" t="s" s="0">
        <v>20238</v>
      </c>
      <c r="W937" t="s" s="0">
        <v>1954</v>
      </c>
      <c r="X937" t="s" s="0">
        <v>81</v>
      </c>
      <c r="Y937" t="s" s="0">
        <v>81</v>
      </c>
      <c r="Z937" t="s" s="0">
        <v>90</v>
      </c>
      <c r="AA937" t="s" s="0">
        <v>91</v>
      </c>
      <c r="AB937" t="s" s="0">
        <v>81</v>
      </c>
      <c r="AC937" t="s" s="0">
        <v>81</v>
      </c>
      <c r="AD937" t="s" s="0">
        <v>81</v>
      </c>
      <c r="AE937" t="s" s="0">
        <v>81</v>
      </c>
      <c r="AF937" t="s" s="0">
        <v>81</v>
      </c>
      <c r="AG937" t="s" s="0">
        <v>20239</v>
      </c>
      <c r="AH937" t="s" s="0">
        <v>81</v>
      </c>
      <c r="AI937" t="s" s="0">
        <v>20240</v>
      </c>
      <c r="AJ937" t="s" s="0">
        <v>20241</v>
      </c>
      <c r="AK937" t="s" s="0">
        <v>81</v>
      </c>
      <c r="AL937" t="s" s="0">
        <v>150</v>
      </c>
      <c r="AM937" t="s" s="0">
        <v>261</v>
      </c>
      <c r="AN937" t="s" s="0">
        <v>211</v>
      </c>
      <c r="AO937" t="s" s="0">
        <v>97</v>
      </c>
      <c r="AP937" t="s" s="0">
        <v>381</v>
      </c>
      <c r="AQ937" t="s" s="0">
        <v>665</v>
      </c>
      <c r="AR937" t="s" s="0">
        <v>546</v>
      </c>
      <c r="AS937" t="s" s="0">
        <v>666</v>
      </c>
      <c r="AT937" t="s" s="0">
        <v>81</v>
      </c>
      <c r="AU937" t="s" s="0">
        <v>1957</v>
      </c>
      <c r="AV937" t="s" s="0">
        <v>81</v>
      </c>
      <c r="AW937" t="s" s="0">
        <v>1958</v>
      </c>
      <c r="AX937" t="s" s="0">
        <v>1959</v>
      </c>
      <c r="AY937" t="s" s="0">
        <v>20242</v>
      </c>
      <c r="AZ937" t="s" s="0">
        <v>185</v>
      </c>
      <c r="BA937" t="s" s="0">
        <v>434</v>
      </c>
      <c r="BB937" t="s" s="0">
        <v>97</v>
      </c>
      <c r="BC937" t="s" s="0">
        <v>81</v>
      </c>
      <c r="BD937" t="s" s="0">
        <v>81</v>
      </c>
      <c r="BE937" t="s" s="0">
        <v>81</v>
      </c>
      <c r="BF937" t="s" s="0">
        <v>81</v>
      </c>
      <c r="BG937" t="s" s="0">
        <v>81</v>
      </c>
      <c r="BH937" t="s" s="0">
        <v>81</v>
      </c>
      <c r="BI937" t="s" s="0">
        <v>150</v>
      </c>
      <c r="BJ937" t="s" s="0">
        <v>20243</v>
      </c>
      <c r="BK937" t="s" s="1864">
        <f>HYPERLINK("http://dx.doi.org/10.1186/s12911-024-02428-z","http://dx.doi.org/10.1186/s12911-024-02428-z")</f>
        <v>20244</v>
      </c>
      <c r="BL937" t="s" s="0">
        <v>81</v>
      </c>
      <c r="BM937" t="s" s="0">
        <v>81</v>
      </c>
      <c r="BN937" t="s" s="0">
        <v>486</v>
      </c>
      <c r="BO937" t="s" s="0">
        <v>1963</v>
      </c>
      <c r="BP937" t="s" s="0">
        <v>1963</v>
      </c>
      <c r="BQ937" t="s" s="0">
        <v>20245</v>
      </c>
      <c r="BR937" t="s" s="0">
        <v>20246</v>
      </c>
      <c r="BS937" t="s" s="0">
        <v>20247</v>
      </c>
      <c r="BT937" t="s" s="1865">
        <f>HYPERLINK("https://www.webofscience.com/wos/woscc/full-record/WOS:001155348900001","View Record in Web of Science")</f>
        <v>114</v>
      </c>
      <c r="BU937" t="s" s="0">
        <v>301</v>
      </c>
      <c r="BV937" t="s" s="0">
        <v>81</v>
      </c>
      <c r="BW937" t="s" s="0">
        <v>81</v>
      </c>
      <c r="BX937" t="s" s="0">
        <v>116</v>
      </c>
    </row>
    <row r="938">
      <c r="A938" t="s" s="0">
        <v>77</v>
      </c>
      <c r="B938" t="s" s="0">
        <v>77</v>
      </c>
      <c r="C938" t="s" s="0">
        <v>77</v>
      </c>
      <c r="D938" t="s" s="0">
        <v>77</v>
      </c>
      <c r="E938" t="s" s="0">
        <v>20248</v>
      </c>
      <c r="F938" t="s" s="0">
        <v>20249</v>
      </c>
      <c r="G938" t="s" s="0">
        <v>20250</v>
      </c>
      <c r="H938" t="s" s="0">
        <v>81</v>
      </c>
      <c r="I938" t="s" s="0">
        <v>238</v>
      </c>
      <c r="J938" t="s" s="0">
        <v>20251</v>
      </c>
      <c r="K938" t="s" s="0">
        <v>20252</v>
      </c>
      <c r="L938" t="s" s="0">
        <v>81</v>
      </c>
      <c r="M938" t="s" s="0">
        <v>81</v>
      </c>
      <c r="N938" t="s" s="0">
        <v>81</v>
      </c>
      <c r="O938" t="s" s="0">
        <v>20253</v>
      </c>
      <c r="P938" t="s" s="0">
        <v>81</v>
      </c>
      <c r="Q938" t="s" s="0">
        <v>87</v>
      </c>
      <c r="R938" t="s" s="0">
        <v>81</v>
      </c>
      <c r="S938" t="s" s="0">
        <v>81</v>
      </c>
      <c r="T938" t="s" s="0">
        <v>81</v>
      </c>
      <c r="U938" t="s" s="0">
        <v>81</v>
      </c>
      <c r="V938" t="s" s="0">
        <v>20254</v>
      </c>
      <c r="W938" t="s" s="0">
        <v>20255</v>
      </c>
      <c r="X938" t="s" s="0">
        <v>81</v>
      </c>
      <c r="Y938" t="s" s="0">
        <v>81</v>
      </c>
      <c r="Z938" t="s" s="0">
        <v>90</v>
      </c>
      <c r="AA938" t="s" s="0">
        <v>91</v>
      </c>
      <c r="AB938" t="s" s="0">
        <v>81</v>
      </c>
      <c r="AC938" t="s" s="0">
        <v>81</v>
      </c>
      <c r="AD938" t="s" s="0">
        <v>81</v>
      </c>
      <c r="AE938" t="s" s="0">
        <v>81</v>
      </c>
      <c r="AF938" t="s" s="0">
        <v>81</v>
      </c>
      <c r="AG938" t="s" s="0">
        <v>20256</v>
      </c>
      <c r="AH938" t="s" s="0">
        <v>81</v>
      </c>
      <c r="AI938" t="s" s="0">
        <v>81</v>
      </c>
      <c r="AJ938" t="s" s="0">
        <v>20257</v>
      </c>
      <c r="AK938" t="s" s="0">
        <v>81</v>
      </c>
      <c r="AL938" t="s" s="0">
        <v>434</v>
      </c>
      <c r="AM938" t="s" s="0">
        <v>77</v>
      </c>
      <c r="AN938" t="s" s="0">
        <v>77</v>
      </c>
      <c r="AO938" t="s" s="0">
        <v>97</v>
      </c>
      <c r="AP938" t="s" s="0">
        <v>234</v>
      </c>
      <c r="AQ938" t="s" s="0">
        <v>2662</v>
      </c>
      <c r="AR938" t="s" s="0">
        <v>2663</v>
      </c>
      <c r="AS938" t="s" s="0">
        <v>2664</v>
      </c>
      <c r="AT938" t="s" s="0">
        <v>20258</v>
      </c>
      <c r="AU938" t="s" s="0">
        <v>20259</v>
      </c>
      <c r="AV938" t="s" s="0">
        <v>81</v>
      </c>
      <c r="AW938" t="s" s="0">
        <v>20260</v>
      </c>
      <c r="AX938" t="s" s="0">
        <v>20261</v>
      </c>
      <c r="AY938" t="s" s="0">
        <v>149</v>
      </c>
      <c r="AZ938" t="s" s="0">
        <v>290</v>
      </c>
      <c r="BA938" t="s" s="0">
        <v>925</v>
      </c>
      <c r="BB938" t="s" s="0">
        <v>211</v>
      </c>
      <c r="BC938" t="s" s="0">
        <v>81</v>
      </c>
      <c r="BD938" t="s" s="0">
        <v>81</v>
      </c>
      <c r="BE938" t="s" s="0">
        <v>81</v>
      </c>
      <c r="BF938" t="s" s="0">
        <v>81</v>
      </c>
      <c r="BG938" t="s" s="0">
        <v>20262</v>
      </c>
      <c r="BH938" t="s" s="0">
        <v>20263</v>
      </c>
      <c r="BI938" t="s" s="0">
        <v>81</v>
      </c>
      <c r="BJ938" t="s" s="0">
        <v>20264</v>
      </c>
      <c r="BK938" t="s" s="1866">
        <f>HYPERLINK("http://dx.doi.org/10.1007/s13198-025-02865-7","http://dx.doi.org/10.1007/s13198-025-02865-7")</f>
        <v>20265</v>
      </c>
      <c r="BL938" t="s" s="0">
        <v>81</v>
      </c>
      <c r="BM938" t="s" s="0">
        <v>552</v>
      </c>
      <c r="BN938" t="s" s="0">
        <v>925</v>
      </c>
      <c r="BO938" t="s" s="0">
        <v>1002</v>
      </c>
      <c r="BP938" t="s" s="0">
        <v>1003</v>
      </c>
      <c r="BQ938" t="s" s="0">
        <v>20266</v>
      </c>
      <c r="BR938" t="s" s="0">
        <v>81</v>
      </c>
      <c r="BS938" t="s" s="0">
        <v>20267</v>
      </c>
      <c r="BT938" t="s" s="1867">
        <f>HYPERLINK("https://www.webofscience.com/wos/woscc/full-record/WOS:001520038800001","View Record in Web of Science")</f>
        <v>114</v>
      </c>
      <c r="BU938" t="s" s="0">
        <v>81</v>
      </c>
      <c r="BV938" t="s" s="0">
        <v>81</v>
      </c>
      <c r="BW938" t="s" s="0">
        <v>81</v>
      </c>
      <c r="BX938" t="s" s="0">
        <v>116</v>
      </c>
    </row>
    <row r="939">
      <c r="A939" t="s" s="0">
        <v>77</v>
      </c>
      <c r="B939" t="s" s="0">
        <v>77</v>
      </c>
      <c r="C939" t="s" s="0">
        <v>97</v>
      </c>
      <c r="D939" t="s" s="0">
        <v>77</v>
      </c>
      <c r="E939" t="s" s="0">
        <v>20268</v>
      </c>
      <c r="F939" t="s" s="0">
        <v>20269</v>
      </c>
      <c r="G939" t="s" s="0">
        <v>20270</v>
      </c>
      <c r="H939" t="s" s="0">
        <v>81</v>
      </c>
      <c r="I939" t="s" s="0">
        <v>238</v>
      </c>
      <c r="J939" t="s" s="0">
        <v>20271</v>
      </c>
      <c r="K939" t="s" s="0">
        <v>20272</v>
      </c>
      <c r="L939" t="s" s="0">
        <v>81</v>
      </c>
      <c r="M939" t="s" s="0">
        <v>81</v>
      </c>
      <c r="N939" t="s" s="0">
        <v>20273</v>
      </c>
      <c r="O939" t="s" s="0">
        <v>20274</v>
      </c>
      <c r="P939" t="s" s="0">
        <v>20275</v>
      </c>
      <c r="Q939" t="s" s="0">
        <v>87</v>
      </c>
      <c r="R939" t="s" s="0">
        <v>81</v>
      </c>
      <c r="S939" t="s" s="0">
        <v>81</v>
      </c>
      <c r="T939" t="s" s="0">
        <v>81</v>
      </c>
      <c r="U939" t="s" s="0">
        <v>81</v>
      </c>
      <c r="V939" t="s" s="0">
        <v>20276</v>
      </c>
      <c r="W939" t="s" s="0">
        <v>2096</v>
      </c>
      <c r="X939" t="s" s="0">
        <v>81</v>
      </c>
      <c r="Y939" t="s" s="0">
        <v>81</v>
      </c>
      <c r="Z939" t="s" s="0">
        <v>90</v>
      </c>
      <c r="AA939" t="s" s="0">
        <v>91</v>
      </c>
      <c r="AB939" t="s" s="0">
        <v>81</v>
      </c>
      <c r="AC939" t="s" s="0">
        <v>81</v>
      </c>
      <c r="AD939" t="s" s="0">
        <v>81</v>
      </c>
      <c r="AE939" t="s" s="0">
        <v>81</v>
      </c>
      <c r="AF939" t="s" s="0">
        <v>81</v>
      </c>
      <c r="AG939" t="s" s="0">
        <v>20277</v>
      </c>
      <c r="AH939" t="s" s="0">
        <v>20278</v>
      </c>
      <c r="AI939" t="s" s="0">
        <v>81</v>
      </c>
      <c r="AJ939" t="s" s="0">
        <v>20279</v>
      </c>
      <c r="AK939" t="s" s="0">
        <v>81</v>
      </c>
      <c r="AL939" t="s" s="0">
        <v>5451</v>
      </c>
      <c r="AM939" t="s" s="0">
        <v>191</v>
      </c>
      <c r="AN939" t="s" s="0">
        <v>486</v>
      </c>
      <c r="AO939" t="s" s="0">
        <v>77</v>
      </c>
      <c r="AP939" t="s" s="0">
        <v>316</v>
      </c>
      <c r="AQ939" t="s" s="0">
        <v>212</v>
      </c>
      <c r="AR939" t="s" s="0">
        <v>429</v>
      </c>
      <c r="AS939" t="s" s="0">
        <v>784</v>
      </c>
      <c r="AT939" t="s" s="0">
        <v>2100</v>
      </c>
      <c r="AU939" t="s" s="0">
        <v>2101</v>
      </c>
      <c r="AV939" t="s" s="0">
        <v>81</v>
      </c>
      <c r="AW939" t="s" s="0">
        <v>2102</v>
      </c>
      <c r="AX939" t="s" s="0">
        <v>2103</v>
      </c>
      <c r="AY939" t="s" s="0">
        <v>2502</v>
      </c>
      <c r="AZ939" t="s" s="0">
        <v>290</v>
      </c>
      <c r="BA939" t="s" s="0">
        <v>399</v>
      </c>
      <c r="BB939" t="s" s="0">
        <v>175</v>
      </c>
      <c r="BC939" t="s" s="0">
        <v>81</v>
      </c>
      <c r="BD939" t="s" s="0">
        <v>81</v>
      </c>
      <c r="BE939" t="s" s="0">
        <v>81</v>
      </c>
      <c r="BF939" t="s" s="0">
        <v>81</v>
      </c>
      <c r="BG939" t="s" s="0">
        <v>20280</v>
      </c>
      <c r="BH939" t="s" s="0">
        <v>20281</v>
      </c>
      <c r="BI939" t="s" s="0">
        <v>81</v>
      </c>
      <c r="BJ939" t="s" s="0">
        <v>20282</v>
      </c>
      <c r="BK939" t="s" s="1868">
        <f>HYPERLINK("http://dx.doi.org/10.1007/s00146-024-02056-1","http://dx.doi.org/10.1007/s00146-024-02056-1")</f>
        <v>20283</v>
      </c>
      <c r="BL939" t="s" s="0">
        <v>81</v>
      </c>
      <c r="BM939" t="s" s="0">
        <v>6550</v>
      </c>
      <c r="BN939" t="s" s="0">
        <v>261</v>
      </c>
      <c r="BO939" t="s" s="0">
        <v>409</v>
      </c>
      <c r="BP939" t="s" s="0">
        <v>152</v>
      </c>
      <c r="BQ939" t="s" s="0">
        <v>20284</v>
      </c>
      <c r="BR939" t="s" s="0">
        <v>81</v>
      </c>
      <c r="BS939" t="s" s="0">
        <v>20285</v>
      </c>
      <c r="BT939" t="s" s="1869">
        <f>HYPERLINK("https://www.webofscience.com/wos/woscc/full-record/WOS:001306222900001","View Record in Web of Science")</f>
        <v>114</v>
      </c>
      <c r="BU939" t="s" s="0">
        <v>233</v>
      </c>
      <c r="BV939" t="s" s="0">
        <v>81</v>
      </c>
      <c r="BW939" t="s" s="0">
        <v>81</v>
      </c>
      <c r="BX939" t="s" s="0">
        <v>116</v>
      </c>
    </row>
    <row r="940">
      <c r="A940" t="s" s="0">
        <v>97</v>
      </c>
      <c r="B940" t="s" s="0">
        <v>77</v>
      </c>
      <c r="C940" t="s" s="0">
        <v>77</v>
      </c>
      <c r="D940" t="s" s="0">
        <v>77</v>
      </c>
      <c r="E940" t="s" s="0">
        <v>20286</v>
      </c>
      <c r="F940" t="s" s="0">
        <v>20287</v>
      </c>
      <c r="G940" t="s" s="0">
        <v>20288</v>
      </c>
      <c r="H940" t="s" s="0">
        <v>81</v>
      </c>
      <c r="I940" t="s" s="0">
        <v>82</v>
      </c>
      <c r="J940" t="s" s="0">
        <v>20289</v>
      </c>
      <c r="K940" t="s" s="0">
        <v>20290</v>
      </c>
      <c r="L940" t="s" s="0">
        <v>20291</v>
      </c>
      <c r="M940" t="s" s="0">
        <v>20291</v>
      </c>
      <c r="N940" t="s" s="0">
        <v>335</v>
      </c>
      <c r="O940" t="s" s="0">
        <v>20292</v>
      </c>
      <c r="P940" t="s" s="0">
        <v>20293</v>
      </c>
      <c r="Q940" t="s" s="0">
        <v>87</v>
      </c>
      <c r="R940" t="s" s="0">
        <v>81</v>
      </c>
      <c r="S940" t="s" s="0">
        <v>81</v>
      </c>
      <c r="T940" t="s" s="0">
        <v>81</v>
      </c>
      <c r="U940" t="s" s="0">
        <v>81</v>
      </c>
      <c r="V940" t="s" s="0">
        <v>20294</v>
      </c>
      <c r="W940" t="s" s="0">
        <v>2369</v>
      </c>
      <c r="X940" t="s" s="0">
        <v>81</v>
      </c>
      <c r="Y940" t="s" s="0">
        <v>81</v>
      </c>
      <c r="Z940" t="s" s="0">
        <v>90</v>
      </c>
      <c r="AA940" t="s" s="0">
        <v>91</v>
      </c>
      <c r="AB940" t="s" s="0">
        <v>81</v>
      </c>
      <c r="AC940" t="s" s="0">
        <v>81</v>
      </c>
      <c r="AD940" t="s" s="0">
        <v>81</v>
      </c>
      <c r="AE940" t="s" s="0">
        <v>81</v>
      </c>
      <c r="AF940" t="s" s="0">
        <v>81</v>
      </c>
      <c r="AG940" t="s" s="0">
        <v>20295</v>
      </c>
      <c r="AH940" t="s" s="0">
        <v>20296</v>
      </c>
      <c r="AI940" t="s" s="0">
        <v>20297</v>
      </c>
      <c r="AJ940" t="s" s="0">
        <v>20298</v>
      </c>
      <c r="AK940" t="s" s="0">
        <v>81</v>
      </c>
      <c r="AL940" t="s" s="0">
        <v>13369</v>
      </c>
      <c r="AM940" t="s" s="0">
        <v>1049</v>
      </c>
      <c r="AN940" t="s" s="0">
        <v>251</v>
      </c>
      <c r="AO940" t="s" s="0">
        <v>97</v>
      </c>
      <c r="AP940" t="s" s="0">
        <v>173</v>
      </c>
      <c r="AQ940" t="s" s="0">
        <v>98</v>
      </c>
      <c r="AR940" t="s" s="0">
        <v>99</v>
      </c>
      <c r="AS940" t="s" s="0">
        <v>100</v>
      </c>
      <c r="AT940" t="s" s="0">
        <v>2371</v>
      </c>
      <c r="AU940" t="s" s="0">
        <v>81</v>
      </c>
      <c r="AV940" t="s" s="0">
        <v>81</v>
      </c>
      <c r="AW940" t="s" s="0">
        <v>2372</v>
      </c>
      <c r="AX940" t="s" s="0">
        <v>2373</v>
      </c>
      <c r="AY940" t="s" s="0">
        <v>17859</v>
      </c>
      <c r="AZ940" t="s" s="0">
        <v>260</v>
      </c>
      <c r="BA940" t="s" s="0">
        <v>211</v>
      </c>
      <c r="BB940" t="s" s="0">
        <v>434</v>
      </c>
      <c r="BC940" t="s" s="0">
        <v>81</v>
      </c>
      <c r="BD940" t="s" s="0">
        <v>81</v>
      </c>
      <c r="BE940" t="s" s="0">
        <v>81</v>
      </c>
      <c r="BF940" t="s" s="0">
        <v>81</v>
      </c>
      <c r="BG940" t="s" s="0">
        <v>20299</v>
      </c>
      <c r="BH940" t="s" s="0">
        <v>20300</v>
      </c>
      <c r="BI940" t="s" s="0">
        <v>81</v>
      </c>
      <c r="BJ940" t="s" s="0">
        <v>20301</v>
      </c>
      <c r="BK940" t="s" s="1870">
        <f>HYPERLINK("http://dx.doi.org/10.1109/JIOT.2023.3302159","http://dx.doi.org/10.1109/JIOT.2023.3302159")</f>
        <v>20302</v>
      </c>
      <c r="BL940" t="s" s="0">
        <v>81</v>
      </c>
      <c r="BM940" t="s" s="0">
        <v>81</v>
      </c>
      <c r="BN940" t="s" s="0">
        <v>367</v>
      </c>
      <c r="BO940" t="s" s="0">
        <v>110</v>
      </c>
      <c r="BP940" t="s" s="0">
        <v>111</v>
      </c>
      <c r="BQ940" t="s" s="0">
        <v>20303</v>
      </c>
      <c r="BR940" t="s" s="0">
        <v>81</v>
      </c>
      <c r="BS940" t="s" s="0">
        <v>20304</v>
      </c>
      <c r="BT940" t="s" s="1871">
        <f>HYPERLINK("https://www.webofscience.com/wos/woscc/full-record/WOS:001163472700078","View Record in Web of Science")</f>
        <v>114</v>
      </c>
      <c r="BU940" t="s" s="0">
        <v>81</v>
      </c>
      <c r="BV940" t="s" s="0">
        <v>81</v>
      </c>
      <c r="BW940" t="s" s="0">
        <v>81</v>
      </c>
      <c r="BX940" t="s" s="0">
        <v>116</v>
      </c>
    </row>
    <row r="941">
      <c r="A941" t="s" s="0">
        <v>77</v>
      </c>
      <c r="B941" t="s" s="0">
        <v>77</v>
      </c>
      <c r="C941" t="s" s="0">
        <v>97</v>
      </c>
      <c r="D941" t="s" s="0">
        <v>77</v>
      </c>
      <c r="E941" t="s" s="0">
        <v>20305</v>
      </c>
      <c r="F941" t="s" s="0">
        <v>20306</v>
      </c>
      <c r="G941" t="s" s="0">
        <v>20307</v>
      </c>
      <c r="H941" t="s" s="0">
        <v>81</v>
      </c>
      <c r="I941" t="s" s="0">
        <v>82</v>
      </c>
      <c r="J941" t="s" s="0">
        <v>20308</v>
      </c>
      <c r="K941" t="s" s="0">
        <v>20309</v>
      </c>
      <c r="L941" t="s" s="0">
        <v>20310</v>
      </c>
      <c r="M941" t="s" s="0">
        <v>20311</v>
      </c>
      <c r="N941" t="s" s="0">
        <v>20312</v>
      </c>
      <c r="O941" t="s" s="0">
        <v>20313</v>
      </c>
      <c r="P941" t="s" s="0">
        <v>20314</v>
      </c>
      <c r="Q941" t="s" s="0">
        <v>87</v>
      </c>
      <c r="R941" t="s" s="0">
        <v>81</v>
      </c>
      <c r="S941" t="s" s="0">
        <v>81</v>
      </c>
      <c r="T941" t="s" s="0">
        <v>81</v>
      </c>
      <c r="U941" t="s" s="0">
        <v>81</v>
      </c>
      <c r="V941" t="s" s="0">
        <v>20315</v>
      </c>
      <c r="W941" t="s" s="0">
        <v>3106</v>
      </c>
      <c r="X941" t="s" s="0">
        <v>81</v>
      </c>
      <c r="Y941" t="s" s="0">
        <v>81</v>
      </c>
      <c r="Z941" t="s" s="0">
        <v>90</v>
      </c>
      <c r="AA941" t="s" s="0">
        <v>91</v>
      </c>
      <c r="AB941" t="s" s="0">
        <v>81</v>
      </c>
      <c r="AC941" t="s" s="0">
        <v>81</v>
      </c>
      <c r="AD941" t="s" s="0">
        <v>81</v>
      </c>
      <c r="AE941" t="s" s="0">
        <v>81</v>
      </c>
      <c r="AF941" t="s" s="0">
        <v>81</v>
      </c>
      <c r="AG941" t="s" s="0">
        <v>20316</v>
      </c>
      <c r="AH941" t="s" s="0">
        <v>1342</v>
      </c>
      <c r="AI941" t="s" s="0">
        <v>81</v>
      </c>
      <c r="AJ941" t="s" s="0">
        <v>81</v>
      </c>
      <c r="AK941" t="s" s="0">
        <v>81</v>
      </c>
      <c r="AL941" t="s" s="0">
        <v>7095</v>
      </c>
      <c r="AM941" t="s" s="0">
        <v>97</v>
      </c>
      <c r="AN941" t="s" s="0">
        <v>97</v>
      </c>
      <c r="AO941" t="s" s="0">
        <v>486</v>
      </c>
      <c r="AP941" t="s" s="0">
        <v>486</v>
      </c>
      <c r="AQ941" t="s" s="0">
        <v>136</v>
      </c>
      <c r="AR941" t="s" s="0">
        <v>137</v>
      </c>
      <c r="AS941" t="s" s="0">
        <v>138</v>
      </c>
      <c r="AT941" t="s" s="0">
        <v>3111</v>
      </c>
      <c r="AU941" t="s" s="0">
        <v>3112</v>
      </c>
      <c r="AV941" t="s" s="0">
        <v>81</v>
      </c>
      <c r="AW941" t="s" s="0">
        <v>3106</v>
      </c>
      <c r="AX941" t="s" s="0">
        <v>3113</v>
      </c>
      <c r="AY941" t="s" s="0">
        <v>20317</v>
      </c>
      <c r="AZ941" t="s" s="0">
        <v>103</v>
      </c>
      <c r="BA941" t="s" s="0">
        <v>20318</v>
      </c>
      <c r="BB941" t="s" s="0">
        <v>81</v>
      </c>
      <c r="BC941" t="s" s="0">
        <v>81</v>
      </c>
      <c r="BD941" t="s" s="0">
        <v>81</v>
      </c>
      <c r="BE941" t="s" s="0">
        <v>81</v>
      </c>
      <c r="BF941" t="s" s="0">
        <v>81</v>
      </c>
      <c r="BG941" t="s" s="0">
        <v>81</v>
      </c>
      <c r="BH941" t="s" s="0">
        <v>81</v>
      </c>
      <c r="BI941" t="s" s="0">
        <v>20319</v>
      </c>
      <c r="BJ941" t="s" s="0">
        <v>20320</v>
      </c>
      <c r="BK941" t="s" s="1872">
        <f>HYPERLINK("http://dx.doi.org/10.1016/j.neucom.2026.132670","http://dx.doi.org/10.1016/j.neucom.2026.132670")</f>
        <v>20321</v>
      </c>
      <c r="BL941" t="s" s="0">
        <v>81</v>
      </c>
      <c r="BM941" t="s" s="0">
        <v>1940</v>
      </c>
      <c r="BN941" t="s" s="0">
        <v>434</v>
      </c>
      <c r="BO941" t="s" s="0">
        <v>409</v>
      </c>
      <c r="BP941" t="s" s="0">
        <v>152</v>
      </c>
      <c r="BQ941" t="s" s="0">
        <v>20322</v>
      </c>
      <c r="BR941" t="s" s="0">
        <v>81</v>
      </c>
      <c r="BS941" t="s" s="0">
        <v>20323</v>
      </c>
      <c r="BT941" t="s" s="1873">
        <f>HYPERLINK("https://www.webofscience.com/wos/woscc/full-record/WOS:001672763000001","View Record in Web of Science")</f>
        <v>114</v>
      </c>
      <c r="BU941" t="s" s="0">
        <v>81</v>
      </c>
      <c r="BV941" t="s" s="0">
        <v>81</v>
      </c>
      <c r="BW941" t="s" s="0">
        <v>81</v>
      </c>
      <c r="BX941" t="s" s="0">
        <v>116</v>
      </c>
    </row>
    <row r="942">
      <c r="A942" t="s" s="0">
        <v>77</v>
      </c>
      <c r="B942" t="s" s="0">
        <v>77</v>
      </c>
      <c r="C942" t="s" s="0">
        <v>77</v>
      </c>
      <c r="D942" t="s" s="0">
        <v>77</v>
      </c>
      <c r="E942" t="s" s="0">
        <v>20324</v>
      </c>
      <c r="F942" t="s" s="0">
        <v>20325</v>
      </c>
      <c r="G942" t="s" s="0">
        <v>20326</v>
      </c>
      <c r="H942" t="s" s="0">
        <v>81</v>
      </c>
      <c r="I942" t="s" s="0">
        <v>238</v>
      </c>
      <c r="J942" t="s" s="0">
        <v>20327</v>
      </c>
      <c r="K942" t="s" s="0">
        <v>20328</v>
      </c>
      <c r="L942" t="s" s="0">
        <v>81</v>
      </c>
      <c r="M942" t="s" s="0">
        <v>81</v>
      </c>
      <c r="N942" t="s" s="0">
        <v>81</v>
      </c>
      <c r="O942" t="s" s="0">
        <v>20329</v>
      </c>
      <c r="P942" t="s" s="0">
        <v>20330</v>
      </c>
      <c r="Q942" t="s" s="0">
        <v>87</v>
      </c>
      <c r="R942" t="s" s="0">
        <v>81</v>
      </c>
      <c r="S942" t="s" s="0">
        <v>81</v>
      </c>
      <c r="T942" t="s" s="0">
        <v>81</v>
      </c>
      <c r="U942" t="s" s="0">
        <v>81</v>
      </c>
      <c r="V942" t="s" s="0">
        <v>20331</v>
      </c>
      <c r="W942" t="s" s="0">
        <v>20332</v>
      </c>
      <c r="X942" t="s" s="0">
        <v>81</v>
      </c>
      <c r="Y942" t="s" s="0">
        <v>81</v>
      </c>
      <c r="Z942" t="s" s="0">
        <v>90</v>
      </c>
      <c r="AA942" t="s" s="0">
        <v>91</v>
      </c>
      <c r="AB942" t="s" s="0">
        <v>81</v>
      </c>
      <c r="AC942" t="s" s="0">
        <v>81</v>
      </c>
      <c r="AD942" t="s" s="0">
        <v>81</v>
      </c>
      <c r="AE942" t="s" s="0">
        <v>81</v>
      </c>
      <c r="AF942" t="s" s="0">
        <v>81</v>
      </c>
      <c r="AG942" t="s" s="0">
        <v>20333</v>
      </c>
      <c r="AH942" t="s" s="0">
        <v>81</v>
      </c>
      <c r="AI942" t="s" s="0">
        <v>20334</v>
      </c>
      <c r="AJ942" t="s" s="0">
        <v>20335</v>
      </c>
      <c r="AK942" t="s" s="0">
        <v>81</v>
      </c>
      <c r="AL942" t="s" s="0">
        <v>696</v>
      </c>
      <c r="AM942" t="s" s="0">
        <v>381</v>
      </c>
      <c r="AN942" t="s" s="0">
        <v>191</v>
      </c>
      <c r="AO942" t="s" s="0">
        <v>261</v>
      </c>
      <c r="AP942" t="s" s="0">
        <v>1374</v>
      </c>
      <c r="AQ942" t="s" s="0">
        <v>20336</v>
      </c>
      <c r="AR942" t="s" s="0">
        <v>20337</v>
      </c>
      <c r="AS942" t="s" s="0">
        <v>20338</v>
      </c>
      <c r="AT942" t="s" s="0">
        <v>20339</v>
      </c>
      <c r="AU942" t="s" s="0">
        <v>81</v>
      </c>
      <c r="AV942" t="s" s="0">
        <v>81</v>
      </c>
      <c r="AW942" t="s" s="0">
        <v>20340</v>
      </c>
      <c r="AX942" t="s" s="0">
        <v>20341</v>
      </c>
      <c r="AY942" t="s" s="0">
        <v>2427</v>
      </c>
      <c r="AZ942" t="s" s="0">
        <v>185</v>
      </c>
      <c r="BA942" t="s" s="0">
        <v>291</v>
      </c>
      <c r="BB942" t="s" s="0">
        <v>156</v>
      </c>
      <c r="BC942" t="s" s="0">
        <v>81</v>
      </c>
      <c r="BD942" t="s" s="0">
        <v>81</v>
      </c>
      <c r="BE942" t="s" s="0">
        <v>81</v>
      </c>
      <c r="BF942" t="s" s="0">
        <v>81</v>
      </c>
      <c r="BG942" t="s" s="0">
        <v>925</v>
      </c>
      <c r="BH942" t="s" s="0">
        <v>890</v>
      </c>
      <c r="BI942" t="s" s="0">
        <v>81</v>
      </c>
      <c r="BJ942" t="s" s="0">
        <v>20342</v>
      </c>
      <c r="BK942" t="s" s="1874">
        <f>HYPERLINK("http://dx.doi.org/10.34135/communicationtoday.2024.Vol.15.No.2.2","http://dx.doi.org/10.34135/communicationtoday.2024.Vol.15.No.2.2")</f>
        <v>20343</v>
      </c>
      <c r="BL942" t="s" s="0">
        <v>81</v>
      </c>
      <c r="BM942" t="s" s="0">
        <v>81</v>
      </c>
      <c r="BN942" t="s" s="0">
        <v>104</v>
      </c>
      <c r="BO942" t="s" s="0">
        <v>18902</v>
      </c>
      <c r="BP942" t="s" s="0">
        <v>18902</v>
      </c>
      <c r="BQ942" t="s" s="0">
        <v>20344</v>
      </c>
      <c r="BR942" t="s" s="0">
        <v>81</v>
      </c>
      <c r="BS942" t="s" s="0">
        <v>20345</v>
      </c>
      <c r="BT942" t="s" s="1875">
        <f>HYPERLINK("https://www.webofscience.com/wos/woscc/full-record/WOS:001390221400001","View Record in Web of Science")</f>
        <v>114</v>
      </c>
      <c r="BU942" t="s" s="0">
        <v>81</v>
      </c>
      <c r="BV942" t="s" s="0">
        <v>81</v>
      </c>
      <c r="BW942" t="s" s="0">
        <v>81</v>
      </c>
      <c r="BX942" t="s" s="0">
        <v>116</v>
      </c>
    </row>
    <row r="943">
      <c r="A943" t="s" s="0">
        <v>77</v>
      </c>
      <c r="B943" t="s" s="0">
        <v>77</v>
      </c>
      <c r="C943" t="s" s="0">
        <v>77</v>
      </c>
      <c r="D943" t="s" s="0">
        <v>77</v>
      </c>
      <c r="E943" t="s" s="0">
        <v>20346</v>
      </c>
      <c r="F943" t="s" s="0">
        <v>20347</v>
      </c>
      <c r="G943" t="s" s="0">
        <v>20348</v>
      </c>
      <c r="H943" t="s" s="0">
        <v>81</v>
      </c>
      <c r="I943" t="s" s="0">
        <v>589</v>
      </c>
      <c r="J943" t="s" s="0">
        <v>20349</v>
      </c>
      <c r="K943" t="s" s="0">
        <v>20350</v>
      </c>
      <c r="L943" t="s" s="0">
        <v>81</v>
      </c>
      <c r="M943" t="s" s="0">
        <v>81</v>
      </c>
      <c r="N943" t="s" s="0">
        <v>81</v>
      </c>
      <c r="O943" t="s" s="0">
        <v>20351</v>
      </c>
      <c r="P943" t="s" s="0">
        <v>20352</v>
      </c>
      <c r="Q943" t="s" s="0">
        <v>87</v>
      </c>
      <c r="R943" t="s" s="0">
        <v>81</v>
      </c>
      <c r="S943" t="s" s="0">
        <v>81</v>
      </c>
      <c r="T943" t="s" s="0">
        <v>81</v>
      </c>
      <c r="U943" t="s" s="0">
        <v>81</v>
      </c>
      <c r="V943" t="s" s="0">
        <v>20353</v>
      </c>
      <c r="W943" t="s" s="0">
        <v>19863</v>
      </c>
      <c r="X943" t="s" s="0">
        <v>81</v>
      </c>
      <c r="Y943" t="s" s="0">
        <v>81</v>
      </c>
      <c r="Z943" t="s" s="0">
        <v>90</v>
      </c>
      <c r="AA943" t="s" s="0">
        <v>91</v>
      </c>
      <c r="AB943" t="s" s="0">
        <v>81</v>
      </c>
      <c r="AC943" t="s" s="0">
        <v>81</v>
      </c>
      <c r="AD943" t="s" s="0">
        <v>81</v>
      </c>
      <c r="AE943" t="s" s="0">
        <v>81</v>
      </c>
      <c r="AF943" t="s" s="0">
        <v>81</v>
      </c>
      <c r="AG943" t="s" s="0">
        <v>20354</v>
      </c>
      <c r="AH943" t="s" s="0">
        <v>81</v>
      </c>
      <c r="AI943" t="s" s="0">
        <v>20355</v>
      </c>
      <c r="AJ943" t="s" s="0">
        <v>81</v>
      </c>
      <c r="AK943" t="s" s="0">
        <v>81</v>
      </c>
      <c r="AL943" t="s" s="0">
        <v>914</v>
      </c>
      <c r="AM943" t="s" s="0">
        <v>77</v>
      </c>
      <c r="AN943" t="s" s="0">
        <v>77</v>
      </c>
      <c r="AO943" t="s" s="0">
        <v>261</v>
      </c>
      <c r="AP943" t="s" s="0">
        <v>261</v>
      </c>
      <c r="AQ943" t="s" s="0">
        <v>177</v>
      </c>
      <c r="AR943" t="s" s="0">
        <v>178</v>
      </c>
      <c r="AS943" t="s" s="0">
        <v>179</v>
      </c>
      <c r="AT943" t="s" s="0">
        <v>19867</v>
      </c>
      <c r="AU943" t="s" s="0">
        <v>19868</v>
      </c>
      <c r="AV943" t="s" s="0">
        <v>81</v>
      </c>
      <c r="AW943" t="s" s="0">
        <v>19869</v>
      </c>
      <c r="AX943" t="s" s="0">
        <v>19870</v>
      </c>
      <c r="AY943" t="s" s="0">
        <v>6101</v>
      </c>
      <c r="AZ943" t="s" s="0">
        <v>103</v>
      </c>
      <c r="BA943" t="s" s="0">
        <v>1685</v>
      </c>
      <c r="BB943" t="s" s="0">
        <v>81</v>
      </c>
      <c r="BC943" t="s" s="0">
        <v>81</v>
      </c>
      <c r="BD943" t="s" s="0">
        <v>81</v>
      </c>
      <c r="BE943" t="s" s="0">
        <v>81</v>
      </c>
      <c r="BF943" t="s" s="0">
        <v>81</v>
      </c>
      <c r="BG943" t="s" s="0">
        <v>81</v>
      </c>
      <c r="BH943" t="s" s="0">
        <v>81</v>
      </c>
      <c r="BI943" t="s" s="0">
        <v>20356</v>
      </c>
      <c r="BJ943" t="s" s="0">
        <v>20357</v>
      </c>
      <c r="BK943" t="s" s="1876">
        <f>HYPERLINK("http://dx.doi.org/10.1016/j.techsoc.2026.103361","http://dx.doi.org/10.1016/j.techsoc.2026.103361")</f>
        <v>20358</v>
      </c>
      <c r="BL943" t="s" s="0">
        <v>81</v>
      </c>
      <c r="BM943" t="s" s="0">
        <v>948</v>
      </c>
      <c r="BN943" t="s" s="0">
        <v>104</v>
      </c>
      <c r="BO943" t="s" s="0">
        <v>19874</v>
      </c>
      <c r="BP943" t="s" s="0">
        <v>19875</v>
      </c>
      <c r="BQ943" t="s" s="0">
        <v>20359</v>
      </c>
      <c r="BR943" t="s" s="0">
        <v>81</v>
      </c>
      <c r="BS943" t="s" s="0">
        <v>20360</v>
      </c>
      <c r="BT943" t="s" s="1877">
        <f>HYPERLINK("https://www.webofscience.com/wos/woscc/full-record/WOS:001757407400001","View Record in Web of Science")</f>
        <v>114</v>
      </c>
      <c r="BU943" t="s" s="0">
        <v>81</v>
      </c>
      <c r="BV943" t="s" s="0">
        <v>81</v>
      </c>
      <c r="BW943" t="s" s="0">
        <v>81</v>
      </c>
      <c r="BX943" t="s" s="0">
        <v>116</v>
      </c>
    </row>
    <row r="944">
      <c r="A944" t="s" s="0">
        <v>77</v>
      </c>
      <c r="B944" t="s" s="0">
        <v>77</v>
      </c>
      <c r="C944" t="s" s="0">
        <v>77</v>
      </c>
      <c r="D944" t="s" s="0">
        <v>77</v>
      </c>
      <c r="E944" t="s" s="0">
        <v>20361</v>
      </c>
      <c r="F944" t="s" s="0">
        <v>20362</v>
      </c>
      <c r="G944" t="s" s="0">
        <v>20363</v>
      </c>
      <c r="H944" t="s" s="0">
        <v>81</v>
      </c>
      <c r="I944" t="s" s="0">
        <v>82</v>
      </c>
      <c r="J944" t="s" s="0">
        <v>20364</v>
      </c>
      <c r="K944" t="s" s="0">
        <v>20365</v>
      </c>
      <c r="L944" t="s" s="0">
        <v>20366</v>
      </c>
      <c r="M944" t="s" s="0">
        <v>20366</v>
      </c>
      <c r="N944" t="s" s="0">
        <v>20367</v>
      </c>
      <c r="O944" t="s" s="0">
        <v>20368</v>
      </c>
      <c r="P944" t="s" s="0">
        <v>20369</v>
      </c>
      <c r="Q944" t="s" s="0">
        <v>87</v>
      </c>
      <c r="R944" t="s" s="0">
        <v>81</v>
      </c>
      <c r="S944" t="s" s="0">
        <v>81</v>
      </c>
      <c r="T944" t="s" s="0">
        <v>81</v>
      </c>
      <c r="U944" t="s" s="0">
        <v>81</v>
      </c>
      <c r="V944" t="s" s="0">
        <v>20370</v>
      </c>
      <c r="W944" t="s" s="0">
        <v>20371</v>
      </c>
      <c r="X944" t="s" s="0">
        <v>81</v>
      </c>
      <c r="Y944" t="s" s="0">
        <v>81</v>
      </c>
      <c r="Z944" t="s" s="0">
        <v>90</v>
      </c>
      <c r="AA944" t="s" s="0">
        <v>91</v>
      </c>
      <c r="AB944" t="s" s="0">
        <v>81</v>
      </c>
      <c r="AC944" t="s" s="0">
        <v>81</v>
      </c>
      <c r="AD944" t="s" s="0">
        <v>81</v>
      </c>
      <c r="AE944" t="s" s="0">
        <v>81</v>
      </c>
      <c r="AF944" t="s" s="0">
        <v>81</v>
      </c>
      <c r="AG944" t="s" s="0">
        <v>81</v>
      </c>
      <c r="AH944" t="s" s="0">
        <v>20372</v>
      </c>
      <c r="AI944" t="s" s="0">
        <v>20373</v>
      </c>
      <c r="AJ944" t="s" s="0">
        <v>20374</v>
      </c>
      <c r="AK944" t="s" s="0">
        <v>81</v>
      </c>
      <c r="AL944" t="s" s="0">
        <v>252</v>
      </c>
      <c r="AM944" t="s" s="0">
        <v>234</v>
      </c>
      <c r="AN944" t="s" s="0">
        <v>261</v>
      </c>
      <c r="AO944" t="s" s="0">
        <v>97</v>
      </c>
      <c r="AP944" t="s" s="0">
        <v>156</v>
      </c>
      <c r="AQ944" t="s" s="0">
        <v>20375</v>
      </c>
      <c r="AR944" t="s" s="0">
        <v>20376</v>
      </c>
      <c r="AS944" t="s" s="0">
        <v>20377</v>
      </c>
      <c r="AT944" t="s" s="0">
        <v>20378</v>
      </c>
      <c r="AU944" t="s" s="0">
        <v>20379</v>
      </c>
      <c r="AV944" t="s" s="0">
        <v>81</v>
      </c>
      <c r="AW944" t="s" s="0">
        <v>20380</v>
      </c>
      <c r="AX944" t="s" s="0">
        <v>20381</v>
      </c>
      <c r="AY944" t="s" s="0">
        <v>4259</v>
      </c>
      <c r="AZ944" t="s" s="0">
        <v>260</v>
      </c>
      <c r="BA944" t="s" s="0">
        <v>173</v>
      </c>
      <c r="BB944" t="s" s="0">
        <v>175</v>
      </c>
      <c r="BC944" t="s" s="0">
        <v>4172</v>
      </c>
      <c r="BD944" t="s" s="0">
        <v>81</v>
      </c>
      <c r="BE944" t="s" s="0">
        <v>81</v>
      </c>
      <c r="BF944" t="s" s="0">
        <v>81</v>
      </c>
      <c r="BG944" t="s" s="0">
        <v>10340</v>
      </c>
      <c r="BH944" t="s" s="0">
        <v>20382</v>
      </c>
      <c r="BI944" t="s" s="0">
        <v>81</v>
      </c>
      <c r="BJ944" t="s" s="0">
        <v>20383</v>
      </c>
      <c r="BK944" t="s" s="1878">
        <f>HYPERLINK("http://dx.doi.org/10.1002/aaai.12126","http://dx.doi.org/10.1002/aaai.12126")</f>
        <v>20384</v>
      </c>
      <c r="BL944" t="s" s="0">
        <v>81</v>
      </c>
      <c r="BM944" t="s" s="0">
        <v>2577</v>
      </c>
      <c r="BN944" t="s" s="0">
        <v>104</v>
      </c>
      <c r="BO944" t="s" s="0">
        <v>409</v>
      </c>
      <c r="BP944" t="s" s="0">
        <v>152</v>
      </c>
      <c r="BQ944" t="s" s="0">
        <v>20385</v>
      </c>
      <c r="BR944" t="s" s="0">
        <v>81</v>
      </c>
      <c r="BS944" t="s" s="0">
        <v>20386</v>
      </c>
      <c r="BT944" t="s" s="1879">
        <f>HYPERLINK("https://www.webofscience.com/wos/woscc/full-record/WOS:001079467500001","View Record in Web of Science")</f>
        <v>114</v>
      </c>
      <c r="BU944" t="s" s="0">
        <v>1055</v>
      </c>
      <c r="BV944" t="s" s="0">
        <v>81</v>
      </c>
      <c r="BW944" t="s" s="0">
        <v>81</v>
      </c>
      <c r="BX944" t="s" s="0">
        <v>116</v>
      </c>
    </row>
    <row r="945">
      <c r="A945" t="s" s="0">
        <v>97</v>
      </c>
      <c r="B945" t="s" s="0">
        <v>77</v>
      </c>
      <c r="C945" t="s" s="0">
        <v>133</v>
      </c>
      <c r="D945" t="s" s="0">
        <v>77</v>
      </c>
      <c r="E945" t="s" s="0">
        <v>20387</v>
      </c>
      <c r="F945" t="s" s="0">
        <v>20388</v>
      </c>
      <c r="G945" t="s" s="0">
        <v>20389</v>
      </c>
      <c r="H945" t="s" s="0">
        <v>81</v>
      </c>
      <c r="I945" t="s" s="0">
        <v>82</v>
      </c>
      <c r="J945" t="s" s="0">
        <v>20390</v>
      </c>
      <c r="K945" t="s" s="0">
        <v>20391</v>
      </c>
      <c r="L945" t="s" s="0">
        <v>81</v>
      </c>
      <c r="M945" t="s" s="0">
        <v>81</v>
      </c>
      <c r="N945" t="s" s="0">
        <v>81</v>
      </c>
      <c r="O945" t="s" s="0">
        <v>20392</v>
      </c>
      <c r="P945" t="s" s="0">
        <v>20393</v>
      </c>
      <c r="Q945" t="s" s="0">
        <v>87</v>
      </c>
      <c r="R945" t="s" s="0">
        <v>81</v>
      </c>
      <c r="S945" t="s" s="0">
        <v>81</v>
      </c>
      <c r="T945" t="s" s="0">
        <v>81</v>
      </c>
      <c r="U945" t="s" s="0">
        <v>81</v>
      </c>
      <c r="V945" t="s" s="0">
        <v>20394</v>
      </c>
      <c r="W945" t="s" s="0">
        <v>20395</v>
      </c>
      <c r="X945" t="s" s="0">
        <v>81</v>
      </c>
      <c r="Y945" t="s" s="0">
        <v>81</v>
      </c>
      <c r="Z945" t="s" s="0">
        <v>90</v>
      </c>
      <c r="AA945" t="s" s="0">
        <v>91</v>
      </c>
      <c r="AB945" t="s" s="0">
        <v>81</v>
      </c>
      <c r="AC945" t="s" s="0">
        <v>81</v>
      </c>
      <c r="AD945" t="s" s="0">
        <v>81</v>
      </c>
      <c r="AE945" t="s" s="0">
        <v>81</v>
      </c>
      <c r="AF945" t="s" s="0">
        <v>81</v>
      </c>
      <c r="AG945" t="s" s="0">
        <v>81</v>
      </c>
      <c r="AH945" t="s" s="0">
        <v>20396</v>
      </c>
      <c r="AI945" t="s" s="0">
        <v>81</v>
      </c>
      <c r="AJ945" t="s" s="0">
        <v>20397</v>
      </c>
      <c r="AK945" t="s" s="0">
        <v>81</v>
      </c>
      <c r="AL945" t="s" s="0">
        <v>96</v>
      </c>
      <c r="AM945" t="s" s="0">
        <v>5116</v>
      </c>
      <c r="AN945" t="s" s="0">
        <v>783</v>
      </c>
      <c r="AO945" t="s" s="0">
        <v>316</v>
      </c>
      <c r="AP945" t="s" s="0">
        <v>914</v>
      </c>
      <c r="AQ945" t="s" s="0">
        <v>98</v>
      </c>
      <c r="AR945" t="s" s="0">
        <v>99</v>
      </c>
      <c r="AS945" t="s" s="0">
        <v>100</v>
      </c>
      <c r="AT945" t="s" s="0">
        <v>20398</v>
      </c>
      <c r="AU945" t="s" s="0">
        <v>20399</v>
      </c>
      <c r="AV945" t="s" s="0">
        <v>81</v>
      </c>
      <c r="AW945" t="s" s="0">
        <v>20400</v>
      </c>
      <c r="AX945" t="s" s="0">
        <v>20401</v>
      </c>
      <c r="AY945" t="s" s="0">
        <v>789</v>
      </c>
      <c r="AZ945" t="s" s="0">
        <v>220</v>
      </c>
      <c r="BA945" t="s" s="0">
        <v>222</v>
      </c>
      <c r="BB945" t="s" s="0">
        <v>97</v>
      </c>
      <c r="BC945" t="s" s="0">
        <v>81</v>
      </c>
      <c r="BD945" t="s" s="0">
        <v>81</v>
      </c>
      <c r="BE945" t="s" s="0">
        <v>81</v>
      </c>
      <c r="BF945" t="s" s="0">
        <v>81</v>
      </c>
      <c r="BG945" t="s" s="0">
        <v>4581</v>
      </c>
      <c r="BH945" t="s" s="0">
        <v>782</v>
      </c>
      <c r="BI945" t="s" s="0">
        <v>81</v>
      </c>
      <c r="BJ945" t="s" s="0">
        <v>20402</v>
      </c>
      <c r="BK945" t="s" s="1880">
        <f>HYPERLINK("http://dx.doi.org/10.1109/MCI.2021.3129960","http://dx.doi.org/10.1109/MCI.2021.3129960")</f>
        <v>20403</v>
      </c>
      <c r="BL945" t="s" s="0">
        <v>81</v>
      </c>
      <c r="BM945" t="s" s="0">
        <v>81</v>
      </c>
      <c r="BN945" t="s" s="0">
        <v>104</v>
      </c>
      <c r="BO945" t="s" s="0">
        <v>409</v>
      </c>
      <c r="BP945" t="s" s="0">
        <v>152</v>
      </c>
      <c r="BQ945" t="s" s="0">
        <v>20404</v>
      </c>
      <c r="BR945" t="s" s="0">
        <v>81</v>
      </c>
      <c r="BS945" t="s" s="0">
        <v>20405</v>
      </c>
      <c r="BT945" t="s" s="1881">
        <f>HYPERLINK("https://www.webofscience.com/wos/woscc/full-record/WOS:000742178400018","View Record in Web of Science")</f>
        <v>114</v>
      </c>
      <c r="BU945" t="s" s="0">
        <v>81</v>
      </c>
      <c r="BV945" t="s" s="0">
        <v>81</v>
      </c>
      <c r="BW945" t="s" s="0">
        <v>81</v>
      </c>
      <c r="BX945" t="s" s="0">
        <v>116</v>
      </c>
    </row>
    <row r="946">
      <c r="A946" t="s" s="0">
        <v>77</v>
      </c>
      <c r="B946" t="s" s="0">
        <v>77</v>
      </c>
      <c r="C946" t="s" s="0">
        <v>77</v>
      </c>
      <c r="D946" t="s" s="0">
        <v>77</v>
      </c>
      <c r="E946" t="s" s="0">
        <v>20406</v>
      </c>
      <c r="F946" t="s" s="0">
        <v>20407</v>
      </c>
      <c r="G946" t="s" s="0">
        <v>20408</v>
      </c>
      <c r="H946" t="s" s="0">
        <v>81</v>
      </c>
      <c r="I946" t="s" s="0">
        <v>82</v>
      </c>
      <c r="J946" t="s" s="0">
        <v>20409</v>
      </c>
      <c r="K946" t="s" s="0">
        <v>20410</v>
      </c>
      <c r="L946" t="s" s="0">
        <v>20411</v>
      </c>
      <c r="M946" t="s" s="0">
        <v>20412</v>
      </c>
      <c r="N946" t="s" s="0">
        <v>20413</v>
      </c>
      <c r="O946" t="s" s="0">
        <v>20414</v>
      </c>
      <c r="P946" t="s" s="0">
        <v>20415</v>
      </c>
      <c r="Q946" t="s" s="0">
        <v>87</v>
      </c>
      <c r="R946" t="s" s="0">
        <v>81</v>
      </c>
      <c r="S946" t="s" s="0">
        <v>81</v>
      </c>
      <c r="T946" t="s" s="0">
        <v>81</v>
      </c>
      <c r="U946" t="s" s="0">
        <v>81</v>
      </c>
      <c r="V946" t="s" s="0">
        <v>20416</v>
      </c>
      <c r="W946" t="s" s="0">
        <v>168</v>
      </c>
      <c r="X946" t="s" s="0">
        <v>81</v>
      </c>
      <c r="Y946" t="s" s="0">
        <v>81</v>
      </c>
      <c r="Z946" t="s" s="0">
        <v>90</v>
      </c>
      <c r="AA946" t="s" s="0">
        <v>91</v>
      </c>
      <c r="AB946" t="s" s="0">
        <v>81</v>
      </c>
      <c r="AC946" t="s" s="0">
        <v>81</v>
      </c>
      <c r="AD946" t="s" s="0">
        <v>81</v>
      </c>
      <c r="AE946" t="s" s="0">
        <v>81</v>
      </c>
      <c r="AF946" t="s" s="0">
        <v>81</v>
      </c>
      <c r="AG946" t="s" s="0">
        <v>20417</v>
      </c>
      <c r="AH946" t="s" s="0">
        <v>81</v>
      </c>
      <c r="AI946" t="s" s="0">
        <v>81</v>
      </c>
      <c r="AJ946" t="s" s="0">
        <v>81</v>
      </c>
      <c r="AK946" t="s" s="0">
        <v>81</v>
      </c>
      <c r="AL946" t="s" s="0">
        <v>819</v>
      </c>
      <c r="AM946" t="s" s="0">
        <v>77</v>
      </c>
      <c r="AN946" t="s" s="0">
        <v>77</v>
      </c>
      <c r="AO946" t="s" s="0">
        <v>77</v>
      </c>
      <c r="AP946" t="s" s="0">
        <v>77</v>
      </c>
      <c r="AQ946" t="s" s="0">
        <v>177</v>
      </c>
      <c r="AR946" t="s" s="0">
        <v>178</v>
      </c>
      <c r="AS946" t="s" s="0">
        <v>179</v>
      </c>
      <c r="AT946" t="s" s="0">
        <v>180</v>
      </c>
      <c r="AU946" t="s" s="0">
        <v>181</v>
      </c>
      <c r="AV946" t="s" s="0">
        <v>81</v>
      </c>
      <c r="AW946" t="s" s="0">
        <v>182</v>
      </c>
      <c r="AX946" t="s" s="0">
        <v>183</v>
      </c>
      <c r="AY946" t="s" s="0">
        <v>18698</v>
      </c>
      <c r="AZ946" t="s" s="0">
        <v>103</v>
      </c>
      <c r="BA946" t="s" s="0">
        <v>20418</v>
      </c>
      <c r="BB946" t="s" s="0">
        <v>81</v>
      </c>
      <c r="BC946" t="s" s="0">
        <v>81</v>
      </c>
      <c r="BD946" t="s" s="0">
        <v>2974</v>
      </c>
      <c r="BE946" t="s" s="0">
        <v>81</v>
      </c>
      <c r="BF946" t="s" s="0">
        <v>81</v>
      </c>
      <c r="BG946" t="s" s="0">
        <v>81</v>
      </c>
      <c r="BH946" t="s" s="0">
        <v>81</v>
      </c>
      <c r="BI946" t="s" s="0">
        <v>20419</v>
      </c>
      <c r="BJ946" t="s" s="0">
        <v>20420</v>
      </c>
      <c r="BK946" t="s" s="1882">
        <f>HYPERLINK("http://dx.doi.org/10.1016/j.patcog.2026.113988","http://dx.doi.org/10.1016/j.patcog.2026.113988")</f>
        <v>20421</v>
      </c>
      <c r="BL946" t="s" s="0">
        <v>81</v>
      </c>
      <c r="BM946" t="s" s="0">
        <v>675</v>
      </c>
      <c r="BN946" t="s" s="0">
        <v>134</v>
      </c>
      <c r="BO946" t="s" s="0">
        <v>192</v>
      </c>
      <c r="BP946" t="s" s="0">
        <v>193</v>
      </c>
      <c r="BQ946" t="s" s="0">
        <v>20422</v>
      </c>
      <c r="BR946" t="s" s="0">
        <v>81</v>
      </c>
      <c r="BS946" t="s" s="0">
        <v>20423</v>
      </c>
      <c r="BT946" t="s" s="1883">
        <f>HYPERLINK("https://www.webofscience.com/wos/woscc/full-record/WOS:001784723400001","View Record in Web of Science")</f>
        <v>114</v>
      </c>
      <c r="BU946" t="s" s="0">
        <v>1055</v>
      </c>
      <c r="BV946" t="s" s="0">
        <v>81</v>
      </c>
      <c r="BW946" t="s" s="0">
        <v>81</v>
      </c>
      <c r="BX946" t="s" s="0">
        <v>116</v>
      </c>
    </row>
    <row r="947">
      <c r="A947" t="s" s="0">
        <v>77</v>
      </c>
      <c r="B947" t="s" s="0">
        <v>77</v>
      </c>
      <c r="C947" t="s" s="0">
        <v>77</v>
      </c>
      <c r="D947" t="s" s="0">
        <v>77</v>
      </c>
      <c r="E947" t="s" s="0">
        <v>20424</v>
      </c>
      <c r="F947" t="s" s="0">
        <v>20425</v>
      </c>
      <c r="G947" t="s" s="0">
        <v>20426</v>
      </c>
      <c r="H947" t="s" s="0">
        <v>81</v>
      </c>
      <c r="I947" t="s" s="0">
        <v>82</v>
      </c>
      <c r="J947" t="s" s="0">
        <v>20427</v>
      </c>
      <c r="K947" t="s" s="0">
        <v>20428</v>
      </c>
      <c r="L947" t="s" s="0">
        <v>81</v>
      </c>
      <c r="M947" t="s" s="0">
        <v>81</v>
      </c>
      <c r="N947" t="s" s="0">
        <v>81</v>
      </c>
      <c r="O947" t="s" s="0">
        <v>20429</v>
      </c>
      <c r="P947" t="s" s="0">
        <v>20430</v>
      </c>
      <c r="Q947" t="s" s="0">
        <v>87</v>
      </c>
      <c r="R947" t="s" s="0">
        <v>81</v>
      </c>
      <c r="S947" t="s" s="0">
        <v>81</v>
      </c>
      <c r="T947" t="s" s="0">
        <v>81</v>
      </c>
      <c r="U947" t="s" s="0">
        <v>81</v>
      </c>
      <c r="V947" t="s" s="0">
        <v>20431</v>
      </c>
      <c r="W947" t="s" s="0">
        <v>2797</v>
      </c>
      <c r="X947" t="s" s="0">
        <v>81</v>
      </c>
      <c r="Y947" t="s" s="0">
        <v>81</v>
      </c>
      <c r="Z947" t="s" s="0">
        <v>90</v>
      </c>
      <c r="AA947" t="s" s="0">
        <v>91</v>
      </c>
      <c r="AB947" t="s" s="0">
        <v>81</v>
      </c>
      <c r="AC947" t="s" s="0">
        <v>81</v>
      </c>
      <c r="AD947" t="s" s="0">
        <v>81</v>
      </c>
      <c r="AE947" t="s" s="0">
        <v>81</v>
      </c>
      <c r="AF947" t="s" s="0">
        <v>81</v>
      </c>
      <c r="AG947" t="s" s="0">
        <v>20432</v>
      </c>
      <c r="AH947" t="s" s="0">
        <v>81</v>
      </c>
      <c r="AI947" t="s" s="0">
        <v>81</v>
      </c>
      <c r="AJ947" t="s" s="0">
        <v>81</v>
      </c>
      <c r="AK947" t="s" s="0">
        <v>81</v>
      </c>
      <c r="AL947" t="s" s="0">
        <v>671</v>
      </c>
      <c r="AM947" t="s" s="0">
        <v>156</v>
      </c>
      <c r="AN947" t="s" s="0">
        <v>156</v>
      </c>
      <c r="AO947" t="s" s="0">
        <v>175</v>
      </c>
      <c r="AP947" t="s" s="0">
        <v>175</v>
      </c>
      <c r="AQ947" t="s" s="0">
        <v>284</v>
      </c>
      <c r="AR947" t="s" s="0">
        <v>285</v>
      </c>
      <c r="AS947" t="s" s="0">
        <v>286</v>
      </c>
      <c r="AT947" t="s" s="0">
        <v>81</v>
      </c>
      <c r="AU947" t="s" s="0">
        <v>2801</v>
      </c>
      <c r="AV947" t="s" s="0">
        <v>81</v>
      </c>
      <c r="AW947" t="s" s="0">
        <v>2802</v>
      </c>
      <c r="AX947" t="s" s="0">
        <v>2803</v>
      </c>
      <c r="AY947" t="s" s="0">
        <v>20433</v>
      </c>
      <c r="AZ947" t="s" s="0">
        <v>290</v>
      </c>
      <c r="BA947" t="s" s="0">
        <v>925</v>
      </c>
      <c r="BB947" t="s" s="0">
        <v>97</v>
      </c>
      <c r="BC947" t="s" s="0">
        <v>81</v>
      </c>
      <c r="BD947" t="s" s="0">
        <v>81</v>
      </c>
      <c r="BE947" t="s" s="0">
        <v>81</v>
      </c>
      <c r="BF947" t="s" s="0">
        <v>81</v>
      </c>
      <c r="BG947" t="s" s="0">
        <v>81</v>
      </c>
      <c r="BH947" t="s" s="0">
        <v>81</v>
      </c>
      <c r="BI947" t="s" s="0">
        <v>20434</v>
      </c>
      <c r="BJ947" t="s" s="0">
        <v>20435</v>
      </c>
      <c r="BK947" t="s" s="1884">
        <f>HYPERLINK("http://dx.doi.org/10.3390/app16010288","http://dx.doi.org/10.3390/app16010288")</f>
        <v>20436</v>
      </c>
      <c r="BL947" t="s" s="0">
        <v>81</v>
      </c>
      <c r="BM947" t="s" s="0">
        <v>81</v>
      </c>
      <c r="BN947" t="s" s="0">
        <v>456</v>
      </c>
      <c r="BO947" t="s" s="0">
        <v>2807</v>
      </c>
      <c r="BP947" t="s" s="0">
        <v>2808</v>
      </c>
      <c r="BQ947" t="s" s="0">
        <v>20437</v>
      </c>
      <c r="BR947" t="s" s="0">
        <v>81</v>
      </c>
      <c r="BS947" t="s" s="0">
        <v>20438</v>
      </c>
      <c r="BT947" t="s" s="1885">
        <f>HYPERLINK("https://www.webofscience.com/wos/woscc/full-record/WOS:001657242600001","View Record in Web of Science")</f>
        <v>114</v>
      </c>
      <c r="BU947" t="s" s="0">
        <v>301</v>
      </c>
      <c r="BV947" t="s" s="0">
        <v>81</v>
      </c>
      <c r="BW947" t="s" s="0">
        <v>81</v>
      </c>
      <c r="BX947" t="s" s="0">
        <v>116</v>
      </c>
    </row>
    <row r="948">
      <c r="A948" t="s" s="0">
        <v>77</v>
      </c>
      <c r="B948" t="s" s="0">
        <v>77</v>
      </c>
      <c r="C948" t="s" s="0">
        <v>77</v>
      </c>
      <c r="D948" t="s" s="0">
        <v>77</v>
      </c>
      <c r="E948" t="s" s="0">
        <v>20439</v>
      </c>
      <c r="F948" t="s" s="0">
        <v>20440</v>
      </c>
      <c r="G948" t="s" s="0">
        <v>20441</v>
      </c>
      <c r="H948" t="s" s="0">
        <v>81</v>
      </c>
      <c r="I948" t="s" s="0">
        <v>528</v>
      </c>
      <c r="J948" t="s" s="0">
        <v>20442</v>
      </c>
      <c r="K948" t="s" s="0">
        <v>20443</v>
      </c>
      <c r="L948" t="s" s="0">
        <v>20444</v>
      </c>
      <c r="M948" t="s" s="0">
        <v>20445</v>
      </c>
      <c r="N948" t="s" s="0">
        <v>20446</v>
      </c>
      <c r="O948" t="s" s="0">
        <v>20447</v>
      </c>
      <c r="P948" t="s" s="0">
        <v>20448</v>
      </c>
      <c r="Q948" t="s" s="0">
        <v>87</v>
      </c>
      <c r="R948" t="s" s="0">
        <v>81</v>
      </c>
      <c r="S948" t="s" s="0">
        <v>81</v>
      </c>
      <c r="T948" t="s" s="0">
        <v>81</v>
      </c>
      <c r="U948" t="s" s="0">
        <v>81</v>
      </c>
      <c r="V948" t="s" s="0">
        <v>20449</v>
      </c>
      <c r="W948" t="s" s="0">
        <v>20450</v>
      </c>
      <c r="X948" t="s" s="0">
        <v>81</v>
      </c>
      <c r="Y948" t="s" s="0">
        <v>81</v>
      </c>
      <c r="Z948" t="s" s="0">
        <v>90</v>
      </c>
      <c r="AA948" t="s" s="0">
        <v>1581</v>
      </c>
      <c r="AB948" t="s" s="0">
        <v>81</v>
      </c>
      <c r="AC948" t="s" s="0">
        <v>81</v>
      </c>
      <c r="AD948" t="s" s="0">
        <v>81</v>
      </c>
      <c r="AE948" t="s" s="0">
        <v>81</v>
      </c>
      <c r="AF948" t="s" s="0">
        <v>81</v>
      </c>
      <c r="AG948" t="s" s="0">
        <v>20451</v>
      </c>
      <c r="AH948" t="s" s="0">
        <v>20452</v>
      </c>
      <c r="AI948" t="s" s="0">
        <v>81</v>
      </c>
      <c r="AJ948" t="s" s="0">
        <v>81</v>
      </c>
      <c r="AK948" t="s" s="0">
        <v>81</v>
      </c>
      <c r="AL948" t="s" s="0">
        <v>14448</v>
      </c>
      <c r="AM948" t="s" s="0">
        <v>77</v>
      </c>
      <c r="AN948" t="s" s="0">
        <v>77</v>
      </c>
      <c r="AO948" t="s" s="0">
        <v>196</v>
      </c>
      <c r="AP948" t="s" s="0">
        <v>196</v>
      </c>
      <c r="AQ948" t="s" s="0">
        <v>9827</v>
      </c>
      <c r="AR948" t="s" s="0">
        <v>546</v>
      </c>
      <c r="AS948" t="s" s="0">
        <v>9828</v>
      </c>
      <c r="AT948" t="s" s="0">
        <v>20453</v>
      </c>
      <c r="AU948" t="s" s="0">
        <v>20454</v>
      </c>
      <c r="AV948" t="s" s="0">
        <v>81</v>
      </c>
      <c r="AW948" t="s" s="0">
        <v>20455</v>
      </c>
      <c r="AX948" t="s" s="0">
        <v>20456</v>
      </c>
      <c r="AY948" t="s" s="0">
        <v>81</v>
      </c>
      <c r="AZ948" t="s" s="0">
        <v>103</v>
      </c>
      <c r="BA948" t="s" s="0">
        <v>81</v>
      </c>
      <c r="BB948" t="s" s="0">
        <v>81</v>
      </c>
      <c r="BC948" t="s" s="0">
        <v>81</v>
      </c>
      <c r="BD948" t="s" s="0">
        <v>81</v>
      </c>
      <c r="BE948" t="s" s="0">
        <v>81</v>
      </c>
      <c r="BF948" t="s" s="0">
        <v>81</v>
      </c>
      <c r="BG948" t="s" s="0">
        <v>81</v>
      </c>
      <c r="BH948" t="s" s="0">
        <v>81</v>
      </c>
      <c r="BI948" t="s" s="0">
        <v>81</v>
      </c>
      <c r="BJ948" t="s" s="0">
        <v>20457</v>
      </c>
      <c r="BK948" t="s" s="1886">
        <f>HYPERLINK("http://dx.doi.org/10.1177/01655515261459058","http://dx.doi.org/10.1177/01655515261459058")</f>
        <v>20458</v>
      </c>
      <c r="BL948" t="s" s="0">
        <v>81</v>
      </c>
      <c r="BM948" t="s" s="0">
        <v>3366</v>
      </c>
      <c r="BN948" t="s" s="0">
        <v>434</v>
      </c>
      <c r="BO948" t="s" s="0">
        <v>20459</v>
      </c>
      <c r="BP948" t="s" s="0">
        <v>20460</v>
      </c>
      <c r="BQ948" t="s" s="0">
        <v>20461</v>
      </c>
      <c r="BR948" t="s" s="0">
        <v>81</v>
      </c>
      <c r="BS948" t="s" s="0">
        <v>20462</v>
      </c>
      <c r="BT948" t="s" s="1887">
        <f>HYPERLINK("https://www.webofscience.com/wos/woscc/full-record/WOS:001815167400001","View Record in Web of Science")</f>
        <v>114</v>
      </c>
      <c r="BU948" t="s" s="0">
        <v>81</v>
      </c>
      <c r="BV948" t="s" s="0">
        <v>81</v>
      </c>
      <c r="BW948" t="s" s="0">
        <v>81</v>
      </c>
      <c r="BX948" t="s" s="0">
        <v>116</v>
      </c>
    </row>
    <row r="949">
      <c r="A949" t="s" s="0">
        <v>77</v>
      </c>
      <c r="B949" t="s" s="0">
        <v>77</v>
      </c>
      <c r="C949" t="s" s="0">
        <v>77</v>
      </c>
      <c r="D949" t="s" s="0">
        <v>77</v>
      </c>
      <c r="E949" t="s" s="0">
        <v>20463</v>
      </c>
      <c r="F949" t="s" s="0">
        <v>20464</v>
      </c>
      <c r="G949" t="s" s="0">
        <v>20465</v>
      </c>
      <c r="H949" t="s" s="0">
        <v>81</v>
      </c>
      <c r="I949" t="s" s="0">
        <v>238</v>
      </c>
      <c r="J949" t="s" s="0">
        <v>20466</v>
      </c>
      <c r="K949" t="s" s="0">
        <v>20467</v>
      </c>
      <c r="L949" t="s" s="0">
        <v>81</v>
      </c>
      <c r="M949" t="s" s="0">
        <v>81</v>
      </c>
      <c r="N949" t="s" s="0">
        <v>81</v>
      </c>
      <c r="O949" t="s" s="0">
        <v>20468</v>
      </c>
      <c r="P949" t="s" s="0">
        <v>20469</v>
      </c>
      <c r="Q949" t="s" s="0">
        <v>87</v>
      </c>
      <c r="R949" t="s" s="0">
        <v>81</v>
      </c>
      <c r="S949" t="s" s="0">
        <v>81</v>
      </c>
      <c r="T949" t="s" s="0">
        <v>81</v>
      </c>
      <c r="U949" t="s" s="0">
        <v>81</v>
      </c>
      <c r="V949" t="s" s="0">
        <v>20470</v>
      </c>
      <c r="W949" t="s" s="0">
        <v>18747</v>
      </c>
      <c r="X949" t="s" s="0">
        <v>81</v>
      </c>
      <c r="Y949" t="s" s="0">
        <v>81</v>
      </c>
      <c r="Z949" t="s" s="0">
        <v>90</v>
      </c>
      <c r="AA949" t="s" s="0">
        <v>1581</v>
      </c>
      <c r="AB949" t="s" s="0">
        <v>81</v>
      </c>
      <c r="AC949" t="s" s="0">
        <v>81</v>
      </c>
      <c r="AD949" t="s" s="0">
        <v>81</v>
      </c>
      <c r="AE949" t="s" s="0">
        <v>81</v>
      </c>
      <c r="AF949" t="s" s="0">
        <v>81</v>
      </c>
      <c r="AG949" t="s" s="0">
        <v>20471</v>
      </c>
      <c r="AH949" t="s" s="0">
        <v>81</v>
      </c>
      <c r="AI949" t="s" s="0">
        <v>81</v>
      </c>
      <c r="AJ949" t="s" s="0">
        <v>81</v>
      </c>
      <c r="AK949" t="s" s="0">
        <v>81</v>
      </c>
      <c r="AL949" t="s" s="0">
        <v>291</v>
      </c>
      <c r="AM949" t="s" s="0">
        <v>77</v>
      </c>
      <c r="AN949" t="s" s="0">
        <v>77</v>
      </c>
      <c r="AO949" t="s" s="0">
        <v>97</v>
      </c>
      <c r="AP949" t="s" s="0">
        <v>97</v>
      </c>
      <c r="AQ949" t="s" s="0">
        <v>98</v>
      </c>
      <c r="AR949" t="s" s="0">
        <v>99</v>
      </c>
      <c r="AS949" t="s" s="0">
        <v>100</v>
      </c>
      <c r="AT949" t="s" s="0">
        <v>18748</v>
      </c>
      <c r="AU949" t="s" s="0">
        <v>18749</v>
      </c>
      <c r="AV949" t="s" s="0">
        <v>81</v>
      </c>
      <c r="AW949" t="s" s="0">
        <v>18750</v>
      </c>
      <c r="AX949" t="s" s="0">
        <v>18751</v>
      </c>
      <c r="AY949" t="s" s="0">
        <v>81</v>
      </c>
      <c r="AZ949" t="s" s="0">
        <v>290</v>
      </c>
      <c r="BA949" t="s" s="0">
        <v>81</v>
      </c>
      <c r="BB949" t="s" s="0">
        <v>81</v>
      </c>
      <c r="BC949" t="s" s="0">
        <v>81</v>
      </c>
      <c r="BD949" t="s" s="0">
        <v>81</v>
      </c>
      <c r="BE949" t="s" s="0">
        <v>81</v>
      </c>
      <c r="BF949" t="s" s="0">
        <v>81</v>
      </c>
      <c r="BG949" t="s" s="0">
        <v>81</v>
      </c>
      <c r="BH949" t="s" s="0">
        <v>81</v>
      </c>
      <c r="BI949" t="s" s="0">
        <v>81</v>
      </c>
      <c r="BJ949" t="s" s="0">
        <v>20472</v>
      </c>
      <c r="BK949" t="s" s="1888">
        <f>HYPERLINK("http://dx.doi.org/10.1109/MCOMSTD.2025.3626809","http://dx.doi.org/10.1109/MCOMSTD.2025.3626809")</f>
        <v>20473</v>
      </c>
      <c r="BL949" t="s" s="0">
        <v>81</v>
      </c>
      <c r="BM949" t="s" s="0">
        <v>1743</v>
      </c>
      <c r="BN949" t="s" s="0">
        <v>381</v>
      </c>
      <c r="BO949" t="s" s="0">
        <v>1124</v>
      </c>
      <c r="BP949" t="s" s="0">
        <v>1125</v>
      </c>
      <c r="BQ949" t="s" s="0">
        <v>20474</v>
      </c>
      <c r="BR949" t="s" s="0">
        <v>81</v>
      </c>
      <c r="BS949" t="s" s="0">
        <v>20475</v>
      </c>
      <c r="BT949" t="s" s="1889">
        <f>HYPERLINK("https://www.webofscience.com/wos/woscc/full-record/WOS:001708066500001","View Record in Web of Science")</f>
        <v>114</v>
      </c>
      <c r="BU949" t="s" s="0">
        <v>81</v>
      </c>
      <c r="BV949" t="s" s="0">
        <v>81</v>
      </c>
      <c r="BW949" t="s" s="0">
        <v>81</v>
      </c>
      <c r="BX949" t="s" s="0">
        <v>116</v>
      </c>
    </row>
    <row r="950">
      <c r="A950" t="s" s="0">
        <v>77</v>
      </c>
      <c r="B950" t="s" s="0">
        <v>77</v>
      </c>
      <c r="C950" t="s" s="0">
        <v>97</v>
      </c>
      <c r="D950" t="s" s="0">
        <v>77</v>
      </c>
      <c r="E950" t="s" s="0">
        <v>20476</v>
      </c>
      <c r="F950" t="s" s="0">
        <v>20477</v>
      </c>
      <c r="G950" t="s" s="0">
        <v>20478</v>
      </c>
      <c r="H950" t="s" s="0">
        <v>81</v>
      </c>
      <c r="I950" t="s" s="0">
        <v>238</v>
      </c>
      <c r="J950" t="s" s="0">
        <v>20479</v>
      </c>
      <c r="K950" t="s" s="0">
        <v>20480</v>
      </c>
      <c r="L950" t="s" s="0">
        <v>81</v>
      </c>
      <c r="M950" t="s" s="0">
        <v>81</v>
      </c>
      <c r="N950" t="s" s="0">
        <v>81</v>
      </c>
      <c r="O950" t="s" s="0">
        <v>20481</v>
      </c>
      <c r="P950" t="s" s="0">
        <v>20482</v>
      </c>
      <c r="Q950" t="s" s="0">
        <v>87</v>
      </c>
      <c r="R950" t="s" s="0">
        <v>81</v>
      </c>
      <c r="S950" t="s" s="0">
        <v>81</v>
      </c>
      <c r="T950" t="s" s="0">
        <v>81</v>
      </c>
      <c r="U950" t="s" s="0">
        <v>81</v>
      </c>
      <c r="V950" t="s" s="0">
        <v>20483</v>
      </c>
      <c r="W950" t="s" s="0">
        <v>5713</v>
      </c>
      <c r="X950" t="s" s="0">
        <v>81</v>
      </c>
      <c r="Y950" t="s" s="0">
        <v>81</v>
      </c>
      <c r="Z950" t="s" s="0">
        <v>90</v>
      </c>
      <c r="AA950" t="s" s="0">
        <v>91</v>
      </c>
      <c r="AB950" t="s" s="0">
        <v>81</v>
      </c>
      <c r="AC950" t="s" s="0">
        <v>81</v>
      </c>
      <c r="AD950" t="s" s="0">
        <v>81</v>
      </c>
      <c r="AE950" t="s" s="0">
        <v>81</v>
      </c>
      <c r="AF950" t="s" s="0">
        <v>81</v>
      </c>
      <c r="AG950" t="s" s="0">
        <v>20484</v>
      </c>
      <c r="AH950" t="s" s="0">
        <v>81</v>
      </c>
      <c r="AI950" t="s" s="0">
        <v>20485</v>
      </c>
      <c r="AJ950" t="s" s="0">
        <v>81</v>
      </c>
      <c r="AK950" t="s" s="0">
        <v>81</v>
      </c>
      <c r="AL950" t="s" s="0">
        <v>14448</v>
      </c>
      <c r="AM950" t="s" s="0">
        <v>97</v>
      </c>
      <c r="AN950" t="s" s="0">
        <v>97</v>
      </c>
      <c r="AO950" t="s" s="0">
        <v>316</v>
      </c>
      <c r="AP950" t="s" s="0">
        <v>316</v>
      </c>
      <c r="AQ950" t="s" s="0">
        <v>284</v>
      </c>
      <c r="AR950" t="s" s="0">
        <v>285</v>
      </c>
      <c r="AS950" t="s" s="0">
        <v>286</v>
      </c>
      <c r="AT950" t="s" s="0">
        <v>81</v>
      </c>
      <c r="AU950" t="s" s="0">
        <v>5717</v>
      </c>
      <c r="AV950" t="s" s="0">
        <v>81</v>
      </c>
      <c r="AW950" t="s" s="0">
        <v>5713</v>
      </c>
      <c r="AX950" t="s" s="0">
        <v>5718</v>
      </c>
      <c r="AY950" t="s" s="0">
        <v>20486</v>
      </c>
      <c r="AZ950" t="s" s="0">
        <v>103</v>
      </c>
      <c r="BA950" t="s" s="0">
        <v>222</v>
      </c>
      <c r="BB950" t="s" s="0">
        <v>175</v>
      </c>
      <c r="BC950" t="s" s="0">
        <v>81</v>
      </c>
      <c r="BD950" t="s" s="0">
        <v>81</v>
      </c>
      <c r="BE950" t="s" s="0">
        <v>81</v>
      </c>
      <c r="BF950" t="s" s="0">
        <v>81</v>
      </c>
      <c r="BG950" t="s" s="0">
        <v>81</v>
      </c>
      <c r="BH950" t="s" s="0">
        <v>81</v>
      </c>
      <c r="BI950" t="s" s="0">
        <v>20487</v>
      </c>
      <c r="BJ950" t="s" s="0">
        <v>20488</v>
      </c>
      <c r="BK950" t="s" s="1890">
        <f>HYPERLINK("http://dx.doi.org/10.3390/info17040326","http://dx.doi.org/10.3390/info17040326")</f>
        <v>20489</v>
      </c>
      <c r="BL950" t="s" s="0">
        <v>81</v>
      </c>
      <c r="BM950" t="s" s="0">
        <v>143</v>
      </c>
      <c r="BN950" t="s" s="0">
        <v>543</v>
      </c>
      <c r="BO950" t="s" s="0">
        <v>5722</v>
      </c>
      <c r="BP950" t="s" s="0">
        <v>152</v>
      </c>
      <c r="BQ950" t="s" s="0">
        <v>20490</v>
      </c>
      <c r="BR950" t="s" s="0">
        <v>81</v>
      </c>
      <c r="BS950" t="s" s="0">
        <v>20491</v>
      </c>
      <c r="BT950" t="s" s="1891">
        <f>HYPERLINK("https://www.webofscience.com/wos/woscc/full-record/WOS:001749756900001","View Record in Web of Science")</f>
        <v>114</v>
      </c>
      <c r="BU950" t="s" s="0">
        <v>301</v>
      </c>
      <c r="BV950" t="s" s="0">
        <v>81</v>
      </c>
      <c r="BW950" t="s" s="0">
        <v>81</v>
      </c>
      <c r="BX950" t="s" s="0">
        <v>116</v>
      </c>
    </row>
    <row r="951">
      <c r="A951" t="s" s="0">
        <v>77</v>
      </c>
      <c r="B951" t="s" s="0">
        <v>77</v>
      </c>
      <c r="C951" t="s" s="0">
        <v>77</v>
      </c>
      <c r="D951" t="s" s="0">
        <v>77</v>
      </c>
      <c r="E951" t="s" s="0">
        <v>20492</v>
      </c>
      <c r="F951" t="s" s="0">
        <v>20493</v>
      </c>
      <c r="G951" t="s" s="0">
        <v>20494</v>
      </c>
      <c r="H951" t="s" s="0">
        <v>81</v>
      </c>
      <c r="I951" t="s" s="0">
        <v>589</v>
      </c>
      <c r="J951" t="s" s="0">
        <v>20495</v>
      </c>
      <c r="K951" t="s" s="0">
        <v>20496</v>
      </c>
      <c r="L951" t="s" s="0">
        <v>81</v>
      </c>
      <c r="M951" t="s" s="0">
        <v>81</v>
      </c>
      <c r="N951" t="s" s="0">
        <v>81</v>
      </c>
      <c r="O951" t="s" s="0">
        <v>20497</v>
      </c>
      <c r="P951" t="s" s="0">
        <v>20498</v>
      </c>
      <c r="Q951" t="s" s="0">
        <v>87</v>
      </c>
      <c r="R951" t="s" s="0">
        <v>81</v>
      </c>
      <c r="S951" t="s" s="0">
        <v>81</v>
      </c>
      <c r="T951" t="s" s="0">
        <v>81</v>
      </c>
      <c r="U951" t="s" s="0">
        <v>81</v>
      </c>
      <c r="V951" t="s" s="0">
        <v>20499</v>
      </c>
      <c r="W951" t="s" s="0">
        <v>20500</v>
      </c>
      <c r="X951" t="s" s="0">
        <v>81</v>
      </c>
      <c r="Y951" t="s" s="0">
        <v>81</v>
      </c>
      <c r="Z951" t="s" s="0">
        <v>90</v>
      </c>
      <c r="AA951" t="s" s="0">
        <v>91</v>
      </c>
      <c r="AB951" t="s" s="0">
        <v>81</v>
      </c>
      <c r="AC951" t="s" s="0">
        <v>81</v>
      </c>
      <c r="AD951" t="s" s="0">
        <v>81</v>
      </c>
      <c r="AE951" t="s" s="0">
        <v>81</v>
      </c>
      <c r="AF951" t="s" s="0">
        <v>81</v>
      </c>
      <c r="AG951" t="s" s="0">
        <v>20501</v>
      </c>
      <c r="AH951" t="s" s="0">
        <v>20502</v>
      </c>
      <c r="AI951" t="s" s="0">
        <v>81</v>
      </c>
      <c r="AJ951" t="s" s="0">
        <v>20503</v>
      </c>
      <c r="AK951" t="s" s="0">
        <v>81</v>
      </c>
      <c r="AL951" t="s" s="0">
        <v>2880</v>
      </c>
      <c r="AM951" t="s" s="0">
        <v>1374</v>
      </c>
      <c r="AN951" t="s" s="0">
        <v>1254</v>
      </c>
      <c r="AO951" t="s" s="0">
        <v>485</v>
      </c>
      <c r="AP951" t="s" s="0">
        <v>20504</v>
      </c>
      <c r="AQ951" t="s" s="0">
        <v>1809</v>
      </c>
      <c r="AR951" t="s" s="0">
        <v>1810</v>
      </c>
      <c r="AS951" t="s" s="0">
        <v>1811</v>
      </c>
      <c r="AT951" t="s" s="0">
        <v>20505</v>
      </c>
      <c r="AU951" t="s" s="0">
        <v>81</v>
      </c>
      <c r="AV951" t="s" s="0">
        <v>81</v>
      </c>
      <c r="AW951" t="s" s="0">
        <v>20506</v>
      </c>
      <c r="AX951" t="s" s="0">
        <v>20507</v>
      </c>
      <c r="AY951" t="s" s="0">
        <v>6869</v>
      </c>
      <c r="AZ951" t="s" s="0">
        <v>220</v>
      </c>
      <c r="BA951" t="s" s="0">
        <v>261</v>
      </c>
      <c r="BB951" t="s" s="0">
        <v>97</v>
      </c>
      <c r="BC951" t="s" s="0">
        <v>81</v>
      </c>
      <c r="BD951" t="s" s="0">
        <v>81</v>
      </c>
      <c r="BE951" t="s" s="0">
        <v>81</v>
      </c>
      <c r="BF951" t="s" s="0">
        <v>81</v>
      </c>
      <c r="BG951" t="s" s="0">
        <v>81</v>
      </c>
      <c r="BH951" t="s" s="0">
        <v>81</v>
      </c>
      <c r="BI951" t="s" s="0">
        <v>20508</v>
      </c>
      <c r="BJ951" t="s" s="0">
        <v>20509</v>
      </c>
      <c r="BK951" t="s" s="1892">
        <f>HYPERLINK("http://dx.doi.org/10.1177/20539517221100449","http://dx.doi.org/10.1177/20539517221100449")</f>
        <v>20510</v>
      </c>
      <c r="BL951" t="s" s="0">
        <v>81</v>
      </c>
      <c r="BM951" t="s" s="0">
        <v>81</v>
      </c>
      <c r="BN951" t="s" s="0">
        <v>925</v>
      </c>
      <c r="BO951" t="s" s="0">
        <v>3207</v>
      </c>
      <c r="BP951" t="s" s="0">
        <v>3208</v>
      </c>
      <c r="BQ951" t="s" s="0">
        <v>20511</v>
      </c>
      <c r="BR951" t="s" s="0">
        <v>81</v>
      </c>
      <c r="BS951" t="s" s="0">
        <v>20512</v>
      </c>
      <c r="BT951" t="s" s="1893">
        <f>HYPERLINK("https://www.webofscience.com/wos/woscc/full-record/WOS:000819221300001","View Record in Web of Science")</f>
        <v>114</v>
      </c>
      <c r="BU951" t="s" s="0">
        <v>115</v>
      </c>
      <c r="BV951" t="s" s="0">
        <v>81</v>
      </c>
      <c r="BW951" t="s" s="0">
        <v>81</v>
      </c>
      <c r="BX951" t="s" s="0">
        <v>116</v>
      </c>
    </row>
    <row r="952">
      <c r="A952" t="s" s="0">
        <v>77</v>
      </c>
      <c r="B952" t="s" s="0">
        <v>77</v>
      </c>
      <c r="C952" t="s" s="0">
        <v>77</v>
      </c>
      <c r="D952" t="s" s="0">
        <v>77</v>
      </c>
      <c r="E952" t="s" s="0">
        <v>20513</v>
      </c>
      <c r="F952" t="s" s="0">
        <v>20514</v>
      </c>
      <c r="G952" t="s" s="0">
        <v>20515</v>
      </c>
      <c r="H952" t="s" s="0">
        <v>81</v>
      </c>
      <c r="I952" t="s" s="0">
        <v>238</v>
      </c>
      <c r="J952" t="s" s="0">
        <v>20516</v>
      </c>
      <c r="K952" t="s" s="0">
        <v>20517</v>
      </c>
      <c r="L952" t="s" s="0">
        <v>20518</v>
      </c>
      <c r="M952" t="s" s="0">
        <v>20519</v>
      </c>
      <c r="N952" t="s" s="0">
        <v>20520</v>
      </c>
      <c r="O952" t="s" s="0">
        <v>20521</v>
      </c>
      <c r="P952" t="s" s="0">
        <v>20522</v>
      </c>
      <c r="Q952" t="s" s="0">
        <v>87</v>
      </c>
      <c r="R952" t="s" s="0">
        <v>81</v>
      </c>
      <c r="S952" t="s" s="0">
        <v>81</v>
      </c>
      <c r="T952" t="s" s="0">
        <v>81</v>
      </c>
      <c r="U952" t="s" s="0">
        <v>81</v>
      </c>
      <c r="V952" t="s" s="0">
        <v>20523</v>
      </c>
      <c r="W952" t="s" s="0">
        <v>20524</v>
      </c>
      <c r="X952" t="s" s="0">
        <v>81</v>
      </c>
      <c r="Y952" t="s" s="0">
        <v>81</v>
      </c>
      <c r="Z952" t="s" s="0">
        <v>90</v>
      </c>
      <c r="AA952" t="s" s="0">
        <v>91</v>
      </c>
      <c r="AB952" t="s" s="0">
        <v>81</v>
      </c>
      <c r="AC952" t="s" s="0">
        <v>81</v>
      </c>
      <c r="AD952" t="s" s="0">
        <v>81</v>
      </c>
      <c r="AE952" t="s" s="0">
        <v>81</v>
      </c>
      <c r="AF952" t="s" s="0">
        <v>81</v>
      </c>
      <c r="AG952" t="s" s="0">
        <v>20525</v>
      </c>
      <c r="AH952" t="s" s="0">
        <v>81</v>
      </c>
      <c r="AI952" t="s" s="0">
        <v>20526</v>
      </c>
      <c r="AJ952" t="s" s="0">
        <v>20527</v>
      </c>
      <c r="AK952" t="s" s="0">
        <v>81</v>
      </c>
      <c r="AL952" t="s" s="0">
        <v>1883</v>
      </c>
      <c r="AM952" t="s" s="0">
        <v>77</v>
      </c>
      <c r="AN952" t="s" s="0">
        <v>77</v>
      </c>
      <c r="AO952" t="s" s="0">
        <v>175</v>
      </c>
      <c r="AP952" t="s" s="0">
        <v>175</v>
      </c>
      <c r="AQ952" t="s" s="0">
        <v>726</v>
      </c>
      <c r="AR952" t="s" s="0">
        <v>727</v>
      </c>
      <c r="AS952" t="s" s="0">
        <v>728</v>
      </c>
      <c r="AT952" t="s" s="0">
        <v>20528</v>
      </c>
      <c r="AU952" t="s" s="0">
        <v>20529</v>
      </c>
      <c r="AV952" t="s" s="0">
        <v>81</v>
      </c>
      <c r="AW952" t="s" s="0">
        <v>20530</v>
      </c>
      <c r="AX952" t="s" s="0">
        <v>20531</v>
      </c>
      <c r="AY952" t="s" s="0">
        <v>103</v>
      </c>
      <c r="AZ952" t="s" s="0">
        <v>103</v>
      </c>
      <c r="BA952" t="s" s="0">
        <v>103</v>
      </c>
      <c r="BB952" t="s" s="0">
        <v>97</v>
      </c>
      <c r="BC952" t="s" s="0">
        <v>81</v>
      </c>
      <c r="BD952" t="s" s="0">
        <v>81</v>
      </c>
      <c r="BE952" t="s" s="0">
        <v>81</v>
      </c>
      <c r="BF952" t="s" s="0">
        <v>81</v>
      </c>
      <c r="BG952" t="s" s="0">
        <v>81</v>
      </c>
      <c r="BH952" t="s" s="0">
        <v>81</v>
      </c>
      <c r="BI952" t="s" s="0">
        <v>20532</v>
      </c>
      <c r="BJ952" t="s" s="0">
        <v>20533</v>
      </c>
      <c r="BK952" t="s" s="1894">
        <f>HYPERLINK("http://dx.doi.org/10.1155/nuf/9348533","http://dx.doi.org/10.1155/nuf/9348533")</f>
        <v>20534</v>
      </c>
      <c r="BL952" t="s" s="0">
        <v>81</v>
      </c>
      <c r="BM952" t="s" s="0">
        <v>81</v>
      </c>
      <c r="BN952" t="s" s="0">
        <v>261</v>
      </c>
      <c r="BO952" t="s" s="0">
        <v>5034</v>
      </c>
      <c r="BP952" t="s" s="0">
        <v>5034</v>
      </c>
      <c r="BQ952" t="s" s="0">
        <v>20535</v>
      </c>
      <c r="BR952" t="s" s="0">
        <v>81</v>
      </c>
      <c r="BS952" t="s" s="0">
        <v>20536</v>
      </c>
      <c r="BT952" t="s" s="1895">
        <f>HYPERLINK("https://www.webofscience.com/wos/woscc/full-record/WOS:001698051200001","View Record in Web of Science")</f>
        <v>114</v>
      </c>
      <c r="BU952" t="s" s="0">
        <v>1055</v>
      </c>
      <c r="BV952" t="s" s="0">
        <v>81</v>
      </c>
      <c r="BW952" t="s" s="0">
        <v>81</v>
      </c>
      <c r="BX952" t="s" s="0">
        <v>116</v>
      </c>
    </row>
    <row r="953">
      <c r="A953" t="s" s="0">
        <v>77</v>
      </c>
      <c r="B953" t="s" s="0">
        <v>77</v>
      </c>
      <c r="C953" t="s" s="0">
        <v>77</v>
      </c>
      <c r="D953" t="s" s="0">
        <v>77</v>
      </c>
      <c r="E953" t="s" s="0">
        <v>20537</v>
      </c>
      <c r="F953" t="s" s="0">
        <v>20538</v>
      </c>
      <c r="G953" t="s" s="0">
        <v>20539</v>
      </c>
      <c r="H953" t="s" s="0">
        <v>81</v>
      </c>
      <c r="I953" t="s" s="0">
        <v>238</v>
      </c>
      <c r="J953" t="s" s="0">
        <v>20540</v>
      </c>
      <c r="K953" t="s" s="0">
        <v>20541</v>
      </c>
      <c r="L953" t="s" s="0">
        <v>81</v>
      </c>
      <c r="M953" t="s" s="0">
        <v>81</v>
      </c>
      <c r="N953" t="s" s="0">
        <v>81</v>
      </c>
      <c r="O953" t="s" s="0">
        <v>20542</v>
      </c>
      <c r="P953" t="s" s="0">
        <v>20543</v>
      </c>
      <c r="Q953" t="s" s="0">
        <v>87</v>
      </c>
      <c r="R953" t="s" s="0">
        <v>81</v>
      </c>
      <c r="S953" t="s" s="0">
        <v>81</v>
      </c>
      <c r="T953" t="s" s="0">
        <v>81</v>
      </c>
      <c r="U953" t="s" s="0">
        <v>81</v>
      </c>
      <c r="V953" t="s" s="0">
        <v>20544</v>
      </c>
      <c r="W953" t="s" s="0">
        <v>15689</v>
      </c>
      <c r="X953" t="s" s="0">
        <v>81</v>
      </c>
      <c r="Y953" t="s" s="0">
        <v>81</v>
      </c>
      <c r="Z953" t="s" s="0">
        <v>90</v>
      </c>
      <c r="AA953" t="s" s="0">
        <v>91</v>
      </c>
      <c r="AB953" t="s" s="0">
        <v>81</v>
      </c>
      <c r="AC953" t="s" s="0">
        <v>81</v>
      </c>
      <c r="AD953" t="s" s="0">
        <v>81</v>
      </c>
      <c r="AE953" t="s" s="0">
        <v>81</v>
      </c>
      <c r="AF953" t="s" s="0">
        <v>81</v>
      </c>
      <c r="AG953" t="s" s="0">
        <v>20545</v>
      </c>
      <c r="AH953" t="s" s="0">
        <v>81</v>
      </c>
      <c r="AI953" t="s" s="0">
        <v>81</v>
      </c>
      <c r="AJ953" t="s" s="0">
        <v>20546</v>
      </c>
      <c r="AK953" t="s" s="0">
        <v>81</v>
      </c>
      <c r="AL953" t="s" s="0">
        <v>399</v>
      </c>
      <c r="AM953" t="s" s="0">
        <v>97</v>
      </c>
      <c r="AN953" t="s" s="0">
        <v>97</v>
      </c>
      <c r="AO953" t="s" s="0">
        <v>133</v>
      </c>
      <c r="AP953" t="s" s="0">
        <v>133</v>
      </c>
      <c r="AQ953" t="s" s="0">
        <v>15693</v>
      </c>
      <c r="AR953" t="s" s="0">
        <v>15694</v>
      </c>
      <c r="AS953" t="s" s="0">
        <v>15695</v>
      </c>
      <c r="AT953" t="s" s="0">
        <v>15696</v>
      </c>
      <c r="AU953" t="s" s="0">
        <v>15697</v>
      </c>
      <c r="AV953" t="s" s="0">
        <v>81</v>
      </c>
      <c r="AW953" t="s" s="0">
        <v>15698</v>
      </c>
      <c r="AX953" t="s" s="0">
        <v>15699</v>
      </c>
      <c r="AY953" t="s" s="0">
        <v>2353</v>
      </c>
      <c r="AZ953" t="s" s="0">
        <v>290</v>
      </c>
      <c r="BA953" t="s" s="0">
        <v>925</v>
      </c>
      <c r="BB953" t="s" s="0">
        <v>175</v>
      </c>
      <c r="BC953" t="s" s="0">
        <v>81</v>
      </c>
      <c r="BD953" t="s" s="0">
        <v>81</v>
      </c>
      <c r="BE953" t="s" s="0">
        <v>81</v>
      </c>
      <c r="BF953" t="s" s="0">
        <v>81</v>
      </c>
      <c r="BG953" t="s" s="0">
        <v>20547</v>
      </c>
      <c r="BH953" t="s" s="0">
        <v>4083</v>
      </c>
      <c r="BI953" t="s" s="0">
        <v>81</v>
      </c>
      <c r="BJ953" t="s" s="0">
        <v>20548</v>
      </c>
      <c r="BK953" t="s" s="1896">
        <f>HYPERLINK("http://dx.doi.org/10.70594/brain/16.4.26","http://dx.doi.org/10.70594/brain/16.4.26")</f>
        <v>20549</v>
      </c>
      <c r="BL953" t="s" s="0">
        <v>81</v>
      </c>
      <c r="BM953" t="s" s="0">
        <v>81</v>
      </c>
      <c r="BN953" t="s" s="0">
        <v>134</v>
      </c>
      <c r="BO953" t="s" s="0">
        <v>11487</v>
      </c>
      <c r="BP953" t="s" s="0">
        <v>2504</v>
      </c>
      <c r="BQ953" t="s" s="0">
        <v>20550</v>
      </c>
      <c r="BR953" t="s" s="0">
        <v>81</v>
      </c>
      <c r="BS953" t="s" s="0">
        <v>20551</v>
      </c>
      <c r="BT953" t="s" s="1897">
        <f>HYPERLINK("https://www.webofscience.com/wos/woscc/full-record/WOS:001639202000025","View Record in Web of Science")</f>
        <v>114</v>
      </c>
      <c r="BU953" t="s" s="0">
        <v>81</v>
      </c>
      <c r="BV953" t="s" s="0">
        <v>81</v>
      </c>
      <c r="BW953" t="s" s="0">
        <v>81</v>
      </c>
      <c r="BX953" t="s" s="0">
        <v>116</v>
      </c>
    </row>
    <row r="954">
      <c r="A954" t="s" s="0">
        <v>77</v>
      </c>
      <c r="B954" t="s" s="0">
        <v>77</v>
      </c>
      <c r="C954" t="s" s="0">
        <v>77</v>
      </c>
      <c r="D954" t="s" s="0">
        <v>77</v>
      </c>
      <c r="E954" t="s" s="0">
        <v>20552</v>
      </c>
      <c r="F954" t="s" s="0">
        <v>20553</v>
      </c>
      <c r="G954" t="s" s="0">
        <v>20554</v>
      </c>
      <c r="H954" t="s" s="0">
        <v>81</v>
      </c>
      <c r="I954" t="s" s="0">
        <v>238</v>
      </c>
      <c r="J954" t="s" s="0">
        <v>20555</v>
      </c>
      <c r="K954" t="s" s="0">
        <v>20556</v>
      </c>
      <c r="L954" t="s" s="0">
        <v>81</v>
      </c>
      <c r="M954" t="s" s="0">
        <v>81</v>
      </c>
      <c r="N954" t="s" s="0">
        <v>81</v>
      </c>
      <c r="O954" t="s" s="0">
        <v>20557</v>
      </c>
      <c r="P954" t="s" s="0">
        <v>81</v>
      </c>
      <c r="Q954" t="s" s="0">
        <v>87</v>
      </c>
      <c r="R954" t="s" s="0">
        <v>81</v>
      </c>
      <c r="S954" t="s" s="0">
        <v>81</v>
      </c>
      <c r="T954" t="s" s="0">
        <v>81</v>
      </c>
      <c r="U954" t="s" s="0">
        <v>81</v>
      </c>
      <c r="V954" t="s" s="0">
        <v>20558</v>
      </c>
      <c r="W954" t="s" s="0">
        <v>20559</v>
      </c>
      <c r="X954" t="s" s="0">
        <v>81</v>
      </c>
      <c r="Y954" t="s" s="0">
        <v>81</v>
      </c>
      <c r="Z954" t="s" s="0">
        <v>90</v>
      </c>
      <c r="AA954" t="s" s="0">
        <v>91</v>
      </c>
      <c r="AB954" t="s" s="0">
        <v>81</v>
      </c>
      <c r="AC954" t="s" s="0">
        <v>81</v>
      </c>
      <c r="AD954" t="s" s="0">
        <v>81</v>
      </c>
      <c r="AE954" t="s" s="0">
        <v>81</v>
      </c>
      <c r="AF954" t="s" s="0">
        <v>81</v>
      </c>
      <c r="AG954" t="s" s="0">
        <v>20560</v>
      </c>
      <c r="AH954" t="s" s="0">
        <v>81</v>
      </c>
      <c r="AI954" t="s" s="0">
        <v>20561</v>
      </c>
      <c r="AJ954" t="s" s="0">
        <v>20562</v>
      </c>
      <c r="AK954" t="s" s="0">
        <v>81</v>
      </c>
      <c r="AL954" t="s" s="0">
        <v>381</v>
      </c>
      <c r="AM954" t="s" s="0">
        <v>77</v>
      </c>
      <c r="AN954" t="s" s="0">
        <v>77</v>
      </c>
      <c r="AO954" t="s" s="0">
        <v>133</v>
      </c>
      <c r="AP954" t="s" s="0">
        <v>133</v>
      </c>
      <c r="AQ954" t="s" s="0">
        <v>3734</v>
      </c>
      <c r="AR954" t="s" s="0">
        <v>604</v>
      </c>
      <c r="AS954" t="s" s="0">
        <v>3735</v>
      </c>
      <c r="AT954" t="s" s="0">
        <v>20563</v>
      </c>
      <c r="AU954" t="s" s="0">
        <v>81</v>
      </c>
      <c r="AV954" t="s" s="0">
        <v>81</v>
      </c>
      <c r="AW954" t="s" s="0">
        <v>20564</v>
      </c>
      <c r="AX954" t="s" s="0">
        <v>20565</v>
      </c>
      <c r="AY954" t="s" s="0">
        <v>2108</v>
      </c>
      <c r="AZ954" t="s" s="0">
        <v>103</v>
      </c>
      <c r="BA954" t="s" s="0">
        <v>3425</v>
      </c>
      <c r="BB954" t="s" s="0">
        <v>156</v>
      </c>
      <c r="BC954" t="s" s="0">
        <v>81</v>
      </c>
      <c r="BD954" t="s" s="0">
        <v>81</v>
      </c>
      <c r="BE954" t="s" s="0">
        <v>81</v>
      </c>
      <c r="BF954" t="s" s="0">
        <v>81</v>
      </c>
      <c r="BG954" t="s" s="0">
        <v>20566</v>
      </c>
      <c r="BH954" t="s" s="0">
        <v>20567</v>
      </c>
      <c r="BI954" t="s" s="0">
        <v>81</v>
      </c>
      <c r="BJ954" t="s" s="0">
        <v>20568</v>
      </c>
      <c r="BK954" t="s" s="1898">
        <f>HYPERLINK("http://dx.doi.org/10.1097/MS9.0000000000004699","http://dx.doi.org/10.1097/MS9.0000000000004699")</f>
        <v>20569</v>
      </c>
      <c r="BL954" t="s" s="0">
        <v>81</v>
      </c>
      <c r="BM954" t="s" s="0">
        <v>81</v>
      </c>
      <c r="BN954" t="s" s="0">
        <v>156</v>
      </c>
      <c r="BO954" t="s" s="0">
        <v>296</v>
      </c>
      <c r="BP954" t="s" s="0">
        <v>297</v>
      </c>
      <c r="BQ954" t="s" s="0">
        <v>20570</v>
      </c>
      <c r="BR954" t="s" s="0">
        <v>20571</v>
      </c>
      <c r="BS954" t="s" s="0">
        <v>20572</v>
      </c>
      <c r="BT954" t="s" s="1899">
        <f>HYPERLINK("https://www.webofscience.com/wos/woscc/full-record/WOS:001685048300041","View Record in Web of Science")</f>
        <v>114</v>
      </c>
      <c r="BU954" t="s" s="0">
        <v>301</v>
      </c>
      <c r="BV954" t="s" s="0">
        <v>81</v>
      </c>
      <c r="BW954" t="s" s="0">
        <v>81</v>
      </c>
      <c r="BX954" t="s" s="0">
        <v>116</v>
      </c>
    </row>
    <row r="955">
      <c r="A955" t="s" s="0">
        <v>77</v>
      </c>
      <c r="B955" t="s" s="0">
        <v>77</v>
      </c>
      <c r="C955" t="s" s="0">
        <v>77</v>
      </c>
      <c r="D955" t="s" s="0">
        <v>77</v>
      </c>
      <c r="E955" t="s" s="0">
        <v>20573</v>
      </c>
      <c r="F955" t="s" s="0">
        <v>20574</v>
      </c>
      <c r="G955" t="s" s="0">
        <v>20575</v>
      </c>
      <c r="H955" t="s" s="0">
        <v>81</v>
      </c>
      <c r="I955" t="s" s="0">
        <v>82</v>
      </c>
      <c r="J955" t="s" s="0">
        <v>20576</v>
      </c>
      <c r="K955" t="s" s="0">
        <v>20577</v>
      </c>
      <c r="L955" t="s" s="0">
        <v>81</v>
      </c>
      <c r="M955" t="s" s="0">
        <v>81</v>
      </c>
      <c r="N955" t="s" s="0">
        <v>81</v>
      </c>
      <c r="O955" t="s" s="0">
        <v>20578</v>
      </c>
      <c r="P955" t="s" s="0">
        <v>4921</v>
      </c>
      <c r="Q955" t="s" s="0">
        <v>87</v>
      </c>
      <c r="R955" t="s" s="0">
        <v>81</v>
      </c>
      <c r="S955" t="s" s="0">
        <v>81</v>
      </c>
      <c r="T955" t="s" s="0">
        <v>81</v>
      </c>
      <c r="U955" t="s" s="0">
        <v>81</v>
      </c>
      <c r="V955" t="s" s="0">
        <v>20579</v>
      </c>
      <c r="W955" t="s" s="0">
        <v>15414</v>
      </c>
      <c r="X955" t="s" s="0">
        <v>81</v>
      </c>
      <c r="Y955" t="s" s="0">
        <v>81</v>
      </c>
      <c r="Z955" t="s" s="0">
        <v>90</v>
      </c>
      <c r="AA955" t="s" s="0">
        <v>91</v>
      </c>
      <c r="AB955" t="s" s="0">
        <v>81</v>
      </c>
      <c r="AC955" t="s" s="0">
        <v>81</v>
      </c>
      <c r="AD955" t="s" s="0">
        <v>81</v>
      </c>
      <c r="AE955" t="s" s="0">
        <v>81</v>
      </c>
      <c r="AF955" t="s" s="0">
        <v>81</v>
      </c>
      <c r="AG955" t="s" s="0">
        <v>20580</v>
      </c>
      <c r="AH955" t="s" s="0">
        <v>81</v>
      </c>
      <c r="AI955" t="s" s="0">
        <v>81</v>
      </c>
      <c r="AJ955" t="s" s="0">
        <v>81</v>
      </c>
      <c r="AK955" t="s" s="0">
        <v>81</v>
      </c>
      <c r="AL955" t="s" s="0">
        <v>210</v>
      </c>
      <c r="AM955" t="s" s="0">
        <v>77</v>
      </c>
      <c r="AN955" t="s" s="0">
        <v>77</v>
      </c>
      <c r="AO955" t="s" s="0">
        <v>77</v>
      </c>
      <c r="AP955" t="s" s="0">
        <v>77</v>
      </c>
      <c r="AQ955" t="s" s="0">
        <v>3061</v>
      </c>
      <c r="AR955" t="s" s="0">
        <v>3062</v>
      </c>
      <c r="AS955" t="s" s="0">
        <v>3063</v>
      </c>
      <c r="AT955" t="s" s="0">
        <v>15417</v>
      </c>
      <c r="AU955" t="s" s="0">
        <v>81</v>
      </c>
      <c r="AV955" t="s" s="0">
        <v>81</v>
      </c>
      <c r="AW955" t="s" s="0">
        <v>15418</v>
      </c>
      <c r="AX955" t="s" s="0">
        <v>15419</v>
      </c>
      <c r="AY955" t="s" s="0">
        <v>103</v>
      </c>
      <c r="AZ955" t="s" s="0">
        <v>103</v>
      </c>
      <c r="BA955" t="s" s="0">
        <v>486</v>
      </c>
      <c r="BB955" t="s" s="0">
        <v>81</v>
      </c>
      <c r="BC955" t="s" s="0">
        <v>81</v>
      </c>
      <c r="BD955" t="s" s="0">
        <v>81</v>
      </c>
      <c r="BE955" t="s" s="0">
        <v>81</v>
      </c>
      <c r="BF955" t="s" s="0">
        <v>81</v>
      </c>
      <c r="BG955" t="s" s="0">
        <v>81</v>
      </c>
      <c r="BH955" t="s" s="0">
        <v>81</v>
      </c>
      <c r="BI955" t="s" s="0">
        <v>20581</v>
      </c>
      <c r="BJ955" t="s" s="0">
        <v>20582</v>
      </c>
      <c r="BK955" t="s" s="1900">
        <f>HYPERLINK("http://dx.doi.org/10.2196/96389","http://dx.doi.org/10.2196/96389")</f>
        <v>20583</v>
      </c>
      <c r="BL955" t="s" s="0">
        <v>81</v>
      </c>
      <c r="BM955" t="s" s="0">
        <v>81</v>
      </c>
      <c r="BN955" t="s" s="0">
        <v>234</v>
      </c>
      <c r="BO955" t="s" s="0">
        <v>6809</v>
      </c>
      <c r="BP955" t="s" s="0">
        <v>6809</v>
      </c>
      <c r="BQ955" t="s" s="0">
        <v>20584</v>
      </c>
      <c r="BR955" t="s" s="0">
        <v>20585</v>
      </c>
      <c r="BS955" t="s" s="0">
        <v>20586</v>
      </c>
      <c r="BT955" t="s" s="1901">
        <f>HYPERLINK("https://www.webofscience.com/wos/woscc/full-record/WOS:001843284800001","View Record in Web of Science")</f>
        <v>114</v>
      </c>
      <c r="BU955" t="s" s="0">
        <v>115</v>
      </c>
      <c r="BV955" t="s" s="0">
        <v>81</v>
      </c>
      <c r="BW955" t="s" s="0">
        <v>81</v>
      </c>
      <c r="BX955" t="s" s="0">
        <v>116</v>
      </c>
    </row>
    <row r="956">
      <c r="A956" t="s" s="0">
        <v>77</v>
      </c>
      <c r="B956" t="s" s="0">
        <v>77</v>
      </c>
      <c r="C956" t="s" s="0">
        <v>77</v>
      </c>
      <c r="D956" t="s" s="0">
        <v>77</v>
      </c>
      <c r="E956" t="s" s="0">
        <v>20587</v>
      </c>
      <c r="F956" t="s" s="0">
        <v>20588</v>
      </c>
      <c r="G956" t="s" s="0">
        <v>20589</v>
      </c>
      <c r="H956" t="s" s="0">
        <v>81</v>
      </c>
      <c r="I956" t="s" s="0">
        <v>528</v>
      </c>
      <c r="J956" t="s" s="0">
        <v>20590</v>
      </c>
      <c r="K956" t="s" s="0">
        <v>20591</v>
      </c>
      <c r="L956" t="s" s="0">
        <v>20592</v>
      </c>
      <c r="M956" t="s" s="0">
        <v>20592</v>
      </c>
      <c r="N956" t="s" s="0">
        <v>7004</v>
      </c>
      <c r="O956" t="s" s="0">
        <v>20593</v>
      </c>
      <c r="P956" t="s" s="0">
        <v>20594</v>
      </c>
      <c r="Q956" t="s" s="0">
        <v>87</v>
      </c>
      <c r="R956" t="s" s="0">
        <v>81</v>
      </c>
      <c r="S956" t="s" s="0">
        <v>81</v>
      </c>
      <c r="T956" t="s" s="0">
        <v>81</v>
      </c>
      <c r="U956" t="s" s="0">
        <v>81</v>
      </c>
      <c r="V956" t="s" s="0">
        <v>20595</v>
      </c>
      <c r="W956" t="s" s="0">
        <v>660</v>
      </c>
      <c r="X956" t="s" s="0">
        <v>81</v>
      </c>
      <c r="Y956" t="s" s="0">
        <v>81</v>
      </c>
      <c r="Z956" t="s" s="0">
        <v>90</v>
      </c>
      <c r="AA956" t="s" s="0">
        <v>91</v>
      </c>
      <c r="AB956" t="s" s="0">
        <v>81</v>
      </c>
      <c r="AC956" t="s" s="0">
        <v>81</v>
      </c>
      <c r="AD956" t="s" s="0">
        <v>81</v>
      </c>
      <c r="AE956" t="s" s="0">
        <v>81</v>
      </c>
      <c r="AF956" t="s" s="0">
        <v>81</v>
      </c>
      <c r="AG956" t="s" s="0">
        <v>20596</v>
      </c>
      <c r="AH956" t="s" s="0">
        <v>20597</v>
      </c>
      <c r="AI956" t="s" s="0">
        <v>20598</v>
      </c>
      <c r="AJ956" t="s" s="0">
        <v>20599</v>
      </c>
      <c r="AK956" t="s" s="0">
        <v>81</v>
      </c>
      <c r="AL956" t="s" s="0">
        <v>399</v>
      </c>
      <c r="AM956" t="s" s="0">
        <v>77</v>
      </c>
      <c r="AN956" t="s" s="0">
        <v>77</v>
      </c>
      <c r="AO956" t="s" s="0">
        <v>77</v>
      </c>
      <c r="AP956" t="s" s="0">
        <v>97</v>
      </c>
      <c r="AQ956" t="s" s="0">
        <v>665</v>
      </c>
      <c r="AR956" t="s" s="0">
        <v>546</v>
      </c>
      <c r="AS956" t="s" s="0">
        <v>666</v>
      </c>
      <c r="AT956" t="s" s="0">
        <v>667</v>
      </c>
      <c r="AU956" t="s" s="0">
        <v>81</v>
      </c>
      <c r="AV956" t="s" s="0">
        <v>81</v>
      </c>
      <c r="AW956" t="s" s="0">
        <v>668</v>
      </c>
      <c r="AX956" t="s" s="0">
        <v>669</v>
      </c>
      <c r="AY956" t="s" s="0">
        <v>6991</v>
      </c>
      <c r="AZ956" t="s" s="0">
        <v>290</v>
      </c>
      <c r="BA956" t="s" s="0">
        <v>228</v>
      </c>
      <c r="BB956" t="s" s="0">
        <v>97</v>
      </c>
      <c r="BC956" t="s" s="0">
        <v>81</v>
      </c>
      <c r="BD956" t="s" s="0">
        <v>81</v>
      </c>
      <c r="BE956" t="s" s="0">
        <v>81</v>
      </c>
      <c r="BF956" t="s" s="0">
        <v>81</v>
      </c>
      <c r="BG956" t="s" s="0">
        <v>81</v>
      </c>
      <c r="BH956" t="s" s="0">
        <v>81</v>
      </c>
      <c r="BI956" t="s" s="0">
        <v>5697</v>
      </c>
      <c r="BJ956" t="s" s="0">
        <v>20600</v>
      </c>
      <c r="BK956" t="s" s="1902">
        <f>HYPERLINK("http://dx.doi.org/10.1186/s12910-025-01350-x","http://dx.doi.org/10.1186/s12910-025-01350-x")</f>
        <v>20601</v>
      </c>
      <c r="BL956" t="s" s="0">
        <v>81</v>
      </c>
      <c r="BM956" t="s" s="0">
        <v>81</v>
      </c>
      <c r="BN956" t="s" s="0">
        <v>261</v>
      </c>
      <c r="BO956" t="s" s="0">
        <v>676</v>
      </c>
      <c r="BP956" t="s" s="0">
        <v>677</v>
      </c>
      <c r="BQ956" t="s" s="0">
        <v>20602</v>
      </c>
      <c r="BR956" t="s" s="0">
        <v>20603</v>
      </c>
      <c r="BS956" t="s" s="0">
        <v>20604</v>
      </c>
      <c r="BT956" t="s" s="1903">
        <f>HYPERLINK("https://www.webofscience.com/wos/woscc/full-record/WOS:001635961100001","View Record in Web of Science")</f>
        <v>114</v>
      </c>
      <c r="BU956" t="s" s="0">
        <v>301</v>
      </c>
      <c r="BV956" t="s" s="0">
        <v>81</v>
      </c>
      <c r="BW956" t="s" s="0">
        <v>81</v>
      </c>
      <c r="BX956" t="s" s="0">
        <v>116</v>
      </c>
    </row>
    <row r="957">
      <c r="A957" t="s" s="0">
        <v>77</v>
      </c>
      <c r="B957" t="s" s="0">
        <v>77</v>
      </c>
      <c r="C957" t="s" s="0">
        <v>77</v>
      </c>
      <c r="D957" t="s" s="0">
        <v>77</v>
      </c>
      <c r="E957" t="s" s="0">
        <v>20605</v>
      </c>
      <c r="F957" t="s" s="0">
        <v>20606</v>
      </c>
      <c r="G957" t="s" s="0">
        <v>20607</v>
      </c>
      <c r="H957" t="s" s="0">
        <v>81</v>
      </c>
      <c r="I957" t="s" s="0">
        <v>238</v>
      </c>
      <c r="J957" t="s" s="0">
        <v>20608</v>
      </c>
      <c r="K957" t="s" s="0">
        <v>20609</v>
      </c>
      <c r="L957" t="s" s="0">
        <v>81</v>
      </c>
      <c r="M957" t="s" s="0">
        <v>81</v>
      </c>
      <c r="N957" t="s" s="0">
        <v>81</v>
      </c>
      <c r="O957" t="s" s="0">
        <v>20610</v>
      </c>
      <c r="P957" t="s" s="0">
        <v>81</v>
      </c>
      <c r="Q957" t="s" s="0">
        <v>87</v>
      </c>
      <c r="R957" t="s" s="0">
        <v>81</v>
      </c>
      <c r="S957" t="s" s="0">
        <v>81</v>
      </c>
      <c r="T957" t="s" s="0">
        <v>81</v>
      </c>
      <c r="U957" t="s" s="0">
        <v>81</v>
      </c>
      <c r="V957" t="s" s="0">
        <v>20611</v>
      </c>
      <c r="W957" t="s" s="0">
        <v>4882</v>
      </c>
      <c r="X957" t="s" s="0">
        <v>81</v>
      </c>
      <c r="Y957" t="s" s="0">
        <v>81</v>
      </c>
      <c r="Z957" t="s" s="0">
        <v>90</v>
      </c>
      <c r="AA957" t="s" s="0">
        <v>91</v>
      </c>
      <c r="AB957" t="s" s="0">
        <v>81</v>
      </c>
      <c r="AC957" t="s" s="0">
        <v>81</v>
      </c>
      <c r="AD957" t="s" s="0">
        <v>81</v>
      </c>
      <c r="AE957" t="s" s="0">
        <v>81</v>
      </c>
      <c r="AF957" t="s" s="0">
        <v>81</v>
      </c>
      <c r="AG957" t="s" s="0">
        <v>20612</v>
      </c>
      <c r="AH957" t="s" s="0">
        <v>13619</v>
      </c>
      <c r="AI957" t="s" s="0">
        <v>81</v>
      </c>
      <c r="AJ957" t="s" s="0">
        <v>81</v>
      </c>
      <c r="AK957" t="s" s="0">
        <v>81</v>
      </c>
      <c r="AL957" t="s" s="0">
        <v>176</v>
      </c>
      <c r="AM957" t="s" s="0">
        <v>77</v>
      </c>
      <c r="AN957" t="s" s="0">
        <v>77</v>
      </c>
      <c r="AO957" t="s" s="0">
        <v>77</v>
      </c>
      <c r="AP957" t="s" s="0">
        <v>77</v>
      </c>
      <c r="AQ957" t="s" s="0">
        <v>1654</v>
      </c>
      <c r="AR957" t="s" s="0">
        <v>1345</v>
      </c>
      <c r="AS957" t="s" s="0">
        <v>1655</v>
      </c>
      <c r="AT957" t="s" s="0">
        <v>81</v>
      </c>
      <c r="AU957" t="s" s="0">
        <v>4884</v>
      </c>
      <c r="AV957" t="s" s="0">
        <v>81</v>
      </c>
      <c r="AW957" t="s" s="0">
        <v>4885</v>
      </c>
      <c r="AX957" t="s" s="0">
        <v>4886</v>
      </c>
      <c r="AY957" t="s" s="0">
        <v>6101</v>
      </c>
      <c r="AZ957" t="s" s="0">
        <v>103</v>
      </c>
      <c r="BA957" t="s" s="0">
        <v>175</v>
      </c>
      <c r="BB957" t="s" s="0">
        <v>381</v>
      </c>
      <c r="BC957" t="s" s="0">
        <v>81</v>
      </c>
      <c r="BD957" t="s" s="0">
        <v>81</v>
      </c>
      <c r="BE957" t="s" s="0">
        <v>81</v>
      </c>
      <c r="BF957" t="s" s="0">
        <v>81</v>
      </c>
      <c r="BG957" t="s" s="0">
        <v>81</v>
      </c>
      <c r="BH957" t="s" s="0">
        <v>81</v>
      </c>
      <c r="BI957" t="s" s="0">
        <v>20613</v>
      </c>
      <c r="BJ957" t="s" s="0">
        <v>20614</v>
      </c>
      <c r="BK957" t="s" s="1904">
        <f>HYPERLINK("http://dx.doi.org/10.1093/haschl/qxag197","http://dx.doi.org/10.1093/haschl/qxag197")</f>
        <v>20615</v>
      </c>
      <c r="BL957" t="s" s="0">
        <v>81</v>
      </c>
      <c r="BM957" t="s" s="0">
        <v>81</v>
      </c>
      <c r="BN957" t="s" s="0">
        <v>261</v>
      </c>
      <c r="BO957" t="s" s="0">
        <v>4481</v>
      </c>
      <c r="BP957" t="s" s="0">
        <v>4482</v>
      </c>
      <c r="BQ957" t="s" s="0">
        <v>20616</v>
      </c>
      <c r="BR957" t="s" s="0">
        <v>81</v>
      </c>
      <c r="BS957" t="s" s="0">
        <v>20617</v>
      </c>
      <c r="BT957" t="s" s="1905">
        <f>HYPERLINK("https://www.webofscience.com/wos/woscc/full-record/WOS:001845160300001","View Record in Web of Science")</f>
        <v>114</v>
      </c>
      <c r="BU957" t="s" s="0">
        <v>115</v>
      </c>
      <c r="BV957" t="s" s="0">
        <v>81</v>
      </c>
      <c r="BW957" t="s" s="0">
        <v>81</v>
      </c>
      <c r="BX957" t="s" s="0">
        <v>116</v>
      </c>
    </row>
    <row r="958">
      <c r="A958" t="s" s="0">
        <v>77</v>
      </c>
      <c r="B958" t="s" s="0">
        <v>77</v>
      </c>
      <c r="C958" t="s" s="0">
        <v>77</v>
      </c>
      <c r="D958" t="s" s="0">
        <v>77</v>
      </c>
      <c r="E958" t="s" s="0">
        <v>20618</v>
      </c>
      <c r="F958" t="s" s="0">
        <v>20619</v>
      </c>
      <c r="G958" t="s" s="0">
        <v>20620</v>
      </c>
      <c r="H958" t="s" s="0">
        <v>81</v>
      </c>
      <c r="I958" t="s" s="0">
        <v>82</v>
      </c>
      <c r="J958" t="s" s="0">
        <v>20621</v>
      </c>
      <c r="K958" t="s" s="0">
        <v>20622</v>
      </c>
      <c r="L958" t="s" s="0">
        <v>81</v>
      </c>
      <c r="M958" t="s" s="0">
        <v>81</v>
      </c>
      <c r="N958" t="s" s="0">
        <v>81</v>
      </c>
      <c r="O958" t="s" s="0">
        <v>20623</v>
      </c>
      <c r="P958" t="s" s="0">
        <v>20624</v>
      </c>
      <c r="Q958" t="s" s="0">
        <v>87</v>
      </c>
      <c r="R958" t="s" s="0">
        <v>81</v>
      </c>
      <c r="S958" t="s" s="0">
        <v>81</v>
      </c>
      <c r="T958" t="s" s="0">
        <v>81</v>
      </c>
      <c r="U958" t="s" s="0">
        <v>81</v>
      </c>
      <c r="V958" t="s" s="0">
        <v>20625</v>
      </c>
      <c r="W958" t="s" s="0">
        <v>20626</v>
      </c>
      <c r="X958" t="s" s="0">
        <v>81</v>
      </c>
      <c r="Y958" t="s" s="0">
        <v>81</v>
      </c>
      <c r="Z958" t="s" s="0">
        <v>90</v>
      </c>
      <c r="AA958" t="s" s="0">
        <v>91</v>
      </c>
      <c r="AB958" t="s" s="0">
        <v>81</v>
      </c>
      <c r="AC958" t="s" s="0">
        <v>81</v>
      </c>
      <c r="AD958" t="s" s="0">
        <v>81</v>
      </c>
      <c r="AE958" t="s" s="0">
        <v>81</v>
      </c>
      <c r="AF958" t="s" s="0">
        <v>81</v>
      </c>
      <c r="AG958" t="s" s="0">
        <v>81</v>
      </c>
      <c r="AH958" t="s" s="0">
        <v>81</v>
      </c>
      <c r="AI958" t="s" s="0">
        <v>81</v>
      </c>
      <c r="AJ958" t="s" s="0">
        <v>81</v>
      </c>
      <c r="AK958" t="s" s="0">
        <v>81</v>
      </c>
      <c r="AL958" t="s" s="0">
        <v>344</v>
      </c>
      <c r="AM958" t="s" s="0">
        <v>77</v>
      </c>
      <c r="AN958" t="s" s="0">
        <v>77</v>
      </c>
      <c r="AO958" t="s" s="0">
        <v>97</v>
      </c>
      <c r="AP958" t="s" s="0">
        <v>97</v>
      </c>
      <c r="AQ958" t="s" s="0">
        <v>428</v>
      </c>
      <c r="AR958" t="s" s="0">
        <v>429</v>
      </c>
      <c r="AS958" t="s" s="0">
        <v>509</v>
      </c>
      <c r="AT958" t="s" s="0">
        <v>20627</v>
      </c>
      <c r="AU958" t="s" s="0">
        <v>20628</v>
      </c>
      <c r="AV958" t="s" s="0">
        <v>81</v>
      </c>
      <c r="AW958" t="s" s="0">
        <v>20626</v>
      </c>
      <c r="AX958" t="s" s="0">
        <v>20629</v>
      </c>
      <c r="AY958" t="s" s="0">
        <v>20630</v>
      </c>
      <c r="AZ958" t="s" s="0">
        <v>103</v>
      </c>
      <c r="BA958" t="s" s="0">
        <v>20631</v>
      </c>
      <c r="BB958" t="s" s="0">
        <v>20632</v>
      </c>
      <c r="BC958" t="s" s="0">
        <v>81</v>
      </c>
      <c r="BD958" t="s" s="0">
        <v>81</v>
      </c>
      <c r="BE958" t="s" s="0">
        <v>81</v>
      </c>
      <c r="BF958" t="s" s="0">
        <v>81</v>
      </c>
      <c r="BG958" t="s" s="0">
        <v>5867</v>
      </c>
      <c r="BH958" t="s" s="0">
        <v>9899</v>
      </c>
      <c r="BI958" t="s" s="0">
        <v>81</v>
      </c>
      <c r="BJ958" t="s" s="0">
        <v>20633</v>
      </c>
      <c r="BK958" t="s" s="1906">
        <f>HYPERLINK("http://dx.doi.org/10.1016/S0140-6736(26)00693-8","http://dx.doi.org/10.1016/S0140-6736(26)00693-8")</f>
        <v>20634</v>
      </c>
      <c r="BL958" t="s" s="0">
        <v>81</v>
      </c>
      <c r="BM958" t="s" s="0">
        <v>81</v>
      </c>
      <c r="BN958" t="s" s="0">
        <v>133</v>
      </c>
      <c r="BO958" t="s" s="0">
        <v>296</v>
      </c>
      <c r="BP958" t="s" s="0">
        <v>297</v>
      </c>
      <c r="BQ958" t="s" s="0">
        <v>20635</v>
      </c>
      <c r="BR958" t="s" s="0">
        <v>20636</v>
      </c>
      <c r="BS958" t="s" s="0">
        <v>20637</v>
      </c>
      <c r="BT958" t="s" s="1907">
        <f>HYPERLINK("https://www.webofscience.com/wos/woscc/full-record/WOS:001844007200001","View Record in Web of Science")</f>
        <v>114</v>
      </c>
      <c r="BU958" t="s" s="0">
        <v>81</v>
      </c>
      <c r="BV958" t="s" s="0">
        <v>81</v>
      </c>
      <c r="BW958" t="s" s="0">
        <v>81</v>
      </c>
      <c r="BX958" t="s" s="0">
        <v>116</v>
      </c>
    </row>
    <row r="959">
      <c r="A959" t="s" s="0">
        <v>77</v>
      </c>
      <c r="B959" t="s" s="0">
        <v>77</v>
      </c>
      <c r="C959" t="s" s="0">
        <v>77</v>
      </c>
      <c r="D959" t="s" s="0">
        <v>77</v>
      </c>
      <c r="E959" t="s" s="0">
        <v>20638</v>
      </c>
      <c r="F959" t="s" s="0">
        <v>20639</v>
      </c>
      <c r="G959" t="s" s="0">
        <v>20640</v>
      </c>
      <c r="H959" t="s" s="0">
        <v>81</v>
      </c>
      <c r="I959" t="s" s="0">
        <v>82</v>
      </c>
      <c r="J959" t="s" s="0">
        <v>20641</v>
      </c>
      <c r="K959" t="s" s="0">
        <v>20642</v>
      </c>
      <c r="L959" t="s" s="0">
        <v>81</v>
      </c>
      <c r="M959" t="s" s="0">
        <v>81</v>
      </c>
      <c r="N959" t="s" s="0">
        <v>81</v>
      </c>
      <c r="O959" t="s" s="0">
        <v>20643</v>
      </c>
      <c r="P959" t="s" s="0">
        <v>20644</v>
      </c>
      <c r="Q959" t="s" s="0">
        <v>87</v>
      </c>
      <c r="R959" t="s" s="0">
        <v>81</v>
      </c>
      <c r="S959" t="s" s="0">
        <v>81</v>
      </c>
      <c r="T959" t="s" s="0">
        <v>81</v>
      </c>
      <c r="U959" t="s" s="0">
        <v>81</v>
      </c>
      <c r="V959" t="s" s="0">
        <v>20645</v>
      </c>
      <c r="W959" t="s" s="0">
        <v>20646</v>
      </c>
      <c r="X959" t="s" s="0">
        <v>81</v>
      </c>
      <c r="Y959" t="s" s="0">
        <v>81</v>
      </c>
      <c r="Z959" t="s" s="0">
        <v>90</v>
      </c>
      <c r="AA959" t="s" s="0">
        <v>91</v>
      </c>
      <c r="AB959" t="s" s="0">
        <v>81</v>
      </c>
      <c r="AC959" t="s" s="0">
        <v>81</v>
      </c>
      <c r="AD959" t="s" s="0">
        <v>81</v>
      </c>
      <c r="AE959" t="s" s="0">
        <v>81</v>
      </c>
      <c r="AF959" t="s" s="0">
        <v>81</v>
      </c>
      <c r="AG959" t="s" s="0">
        <v>81</v>
      </c>
      <c r="AH959" t="s" s="0">
        <v>20647</v>
      </c>
      <c r="AI959" t="s" s="0">
        <v>20648</v>
      </c>
      <c r="AJ959" t="s" s="0">
        <v>20649</v>
      </c>
      <c r="AK959" t="s" s="0">
        <v>81</v>
      </c>
      <c r="AL959" t="s" s="0">
        <v>5626</v>
      </c>
      <c r="AM959" t="s" s="0">
        <v>97</v>
      </c>
      <c r="AN959" t="s" s="0">
        <v>97</v>
      </c>
      <c r="AO959" t="s" s="0">
        <v>77</v>
      </c>
      <c r="AP959" t="s" s="0">
        <v>97</v>
      </c>
      <c r="AQ959" t="s" s="0">
        <v>2416</v>
      </c>
      <c r="AR959" t="s" s="0">
        <v>604</v>
      </c>
      <c r="AS959" t="s" s="0">
        <v>2417</v>
      </c>
      <c r="AT959" t="s" s="0">
        <v>20650</v>
      </c>
      <c r="AU959" t="s" s="0">
        <v>20651</v>
      </c>
      <c r="AV959" t="s" s="0">
        <v>81</v>
      </c>
      <c r="AW959" t="s" s="0">
        <v>20652</v>
      </c>
      <c r="AX959" t="s" s="0">
        <v>20653</v>
      </c>
      <c r="AY959" t="s" s="0">
        <v>149</v>
      </c>
      <c r="AZ959" t="s" s="0">
        <v>290</v>
      </c>
      <c r="BA959" t="s" s="0">
        <v>914</v>
      </c>
      <c r="BB959" t="s" s="0">
        <v>175</v>
      </c>
      <c r="BC959" t="s" s="0">
        <v>81</v>
      </c>
      <c r="BD959" t="s" s="0">
        <v>81</v>
      </c>
      <c r="BE959" t="s" s="0">
        <v>81</v>
      </c>
      <c r="BF959" t="s" s="0">
        <v>81</v>
      </c>
      <c r="BG959" t="s" s="0">
        <v>2006</v>
      </c>
      <c r="BH959" t="s" s="0">
        <v>20654</v>
      </c>
      <c r="BI959" t="s" s="0">
        <v>81</v>
      </c>
      <c r="BJ959" t="s" s="0">
        <v>20655</v>
      </c>
      <c r="BK959" t="s" s="1908">
        <f>HYPERLINK("http://dx.doi.org/10.1053/j.ro.2025.06.003","http://dx.doi.org/10.1053/j.ro.2025.06.003")</f>
        <v>20656</v>
      </c>
      <c r="BL959" t="s" s="0">
        <v>81</v>
      </c>
      <c r="BM959" t="s" s="0">
        <v>149</v>
      </c>
      <c r="BN959" t="s" s="0">
        <v>222</v>
      </c>
      <c r="BO959" t="s" s="0">
        <v>738</v>
      </c>
      <c r="BP959" t="s" s="0">
        <v>738</v>
      </c>
      <c r="BQ959" t="s" s="0">
        <v>20657</v>
      </c>
      <c r="BR959" t="s" s="0">
        <v>20658</v>
      </c>
      <c r="BS959" t="s" s="0">
        <v>20659</v>
      </c>
      <c r="BT959" t="s" s="1909">
        <f>HYPERLINK("https://www.webofscience.com/wos/woscc/full-record/WOS:001604665300008","View Record in Web of Science")</f>
        <v>114</v>
      </c>
      <c r="BU959" t="s" s="0">
        <v>81</v>
      </c>
      <c r="BV959" t="s" s="0">
        <v>81</v>
      </c>
      <c r="BW959" t="s" s="0">
        <v>81</v>
      </c>
      <c r="BX959" t="s" s="0">
        <v>116</v>
      </c>
    </row>
    <row r="960">
      <c r="A960" t="s" s="0">
        <v>77</v>
      </c>
      <c r="B960" t="s" s="0">
        <v>77</v>
      </c>
      <c r="C960" t="s" s="0">
        <v>196</v>
      </c>
      <c r="D960" t="s" s="0">
        <v>97</v>
      </c>
      <c r="E960" t="s" s="0">
        <v>20660</v>
      </c>
      <c r="F960" t="s" s="0">
        <v>20661</v>
      </c>
      <c r="G960" t="s" s="0">
        <v>20662</v>
      </c>
      <c r="H960" t="s" s="0">
        <v>81</v>
      </c>
      <c r="I960" t="s" s="0">
        <v>82</v>
      </c>
      <c r="J960" t="s" s="0">
        <v>20663</v>
      </c>
      <c r="K960" t="s" s="0">
        <v>20664</v>
      </c>
      <c r="L960" t="s" s="0">
        <v>81</v>
      </c>
      <c r="M960" t="s" s="0">
        <v>81</v>
      </c>
      <c r="N960" t="s" s="0">
        <v>81</v>
      </c>
      <c r="O960" t="s" s="0">
        <v>20665</v>
      </c>
      <c r="P960" t="s" s="0">
        <v>20666</v>
      </c>
      <c r="Q960" t="s" s="0">
        <v>87</v>
      </c>
      <c r="R960" t="s" s="0">
        <v>81</v>
      </c>
      <c r="S960" t="s" s="0">
        <v>81</v>
      </c>
      <c r="T960" t="s" s="0">
        <v>81</v>
      </c>
      <c r="U960" t="s" s="0">
        <v>81</v>
      </c>
      <c r="V960" t="s" s="0">
        <v>20667</v>
      </c>
      <c r="W960" t="s" s="0">
        <v>20668</v>
      </c>
      <c r="X960" t="s" s="0">
        <v>81</v>
      </c>
      <c r="Y960" t="s" s="0">
        <v>81</v>
      </c>
      <c r="Z960" t="s" s="0">
        <v>90</v>
      </c>
      <c r="AA960" t="s" s="0">
        <v>91</v>
      </c>
      <c r="AB960" t="s" s="0">
        <v>81</v>
      </c>
      <c r="AC960" t="s" s="0">
        <v>81</v>
      </c>
      <c r="AD960" t="s" s="0">
        <v>81</v>
      </c>
      <c r="AE960" t="s" s="0">
        <v>81</v>
      </c>
      <c r="AF960" t="s" s="0">
        <v>81</v>
      </c>
      <c r="AG960" t="s" s="0">
        <v>81</v>
      </c>
      <c r="AH960" t="s" s="0">
        <v>20669</v>
      </c>
      <c r="AI960" t="s" s="0">
        <v>20670</v>
      </c>
      <c r="AJ960" t="s" s="0">
        <v>20671</v>
      </c>
      <c r="AK960" t="s" s="0">
        <v>81</v>
      </c>
      <c r="AL960" t="s" s="0">
        <v>1684</v>
      </c>
      <c r="AM960" t="s" s="0">
        <v>134</v>
      </c>
      <c r="AN960" t="s" s="0">
        <v>367</v>
      </c>
      <c r="AO960" t="s" s="0">
        <v>175</v>
      </c>
      <c r="AP960" t="s" s="0">
        <v>134</v>
      </c>
      <c r="AQ960" t="s" s="0">
        <v>1654</v>
      </c>
      <c r="AR960" t="s" s="0">
        <v>1345</v>
      </c>
      <c r="AS960" t="s" s="0">
        <v>1655</v>
      </c>
      <c r="AT960" t="s" s="0">
        <v>20672</v>
      </c>
      <c r="AU960" t="s" s="0">
        <v>20673</v>
      </c>
      <c r="AV960" t="s" s="0">
        <v>81</v>
      </c>
      <c r="AW960" t="s" s="0">
        <v>20674</v>
      </c>
      <c r="AX960" t="s" s="0">
        <v>20675</v>
      </c>
      <c r="AY960" t="s" s="0">
        <v>20676</v>
      </c>
      <c r="AZ960" t="s" s="0">
        <v>185</v>
      </c>
      <c r="BA960" t="s" s="0">
        <v>12651</v>
      </c>
      <c r="BB960" t="s" s="0">
        <v>196</v>
      </c>
      <c r="BC960" t="s" s="0">
        <v>81</v>
      </c>
      <c r="BD960" t="s" s="0">
        <v>81</v>
      </c>
      <c r="BE960" t="s" s="0">
        <v>81</v>
      </c>
      <c r="BF960" t="s" s="0">
        <v>81</v>
      </c>
      <c r="BG960" t="s" s="0">
        <v>20677</v>
      </c>
      <c r="BH960" t="s" s="0">
        <v>2692</v>
      </c>
      <c r="BI960" t="s" s="0">
        <v>81</v>
      </c>
      <c r="BJ960" t="s" s="0">
        <v>20678</v>
      </c>
      <c r="BK960" t="s" s="1910">
        <f>HYPERLINK("http://dx.doi.org/10.1093/bjd/ljae434","http://dx.doi.org/10.1093/bjd/ljae434")</f>
        <v>20679</v>
      </c>
      <c r="BL960" t="s" s="0">
        <v>81</v>
      </c>
      <c r="BM960" t="s" s="0">
        <v>1183</v>
      </c>
      <c r="BN960" t="s" s="0">
        <v>211</v>
      </c>
      <c r="BO960" t="s" s="0">
        <v>17843</v>
      </c>
      <c r="BP960" t="s" s="0">
        <v>17843</v>
      </c>
      <c r="BQ960" t="s" s="0">
        <v>20680</v>
      </c>
      <c r="BR960" t="s" s="0">
        <v>20681</v>
      </c>
      <c r="BS960" t="s" s="0">
        <v>20682</v>
      </c>
      <c r="BT960" t="s" s="1911">
        <f>HYPERLINK("https://www.webofscience.com/wos/woscc/full-record/WOS:001381782000001","View Record in Web of Science")</f>
        <v>114</v>
      </c>
      <c r="BU960" t="s" s="0">
        <v>1055</v>
      </c>
      <c r="BV960" t="s" s="0">
        <v>81</v>
      </c>
      <c r="BW960" t="s" s="0">
        <v>81</v>
      </c>
      <c r="BX960" t="s" s="0">
        <v>116</v>
      </c>
    </row>
    <row r="961">
      <c r="A961" t="s" s="0">
        <v>77</v>
      </c>
      <c r="B961" t="s" s="0">
        <v>77</v>
      </c>
      <c r="C961" t="s" s="0">
        <v>77</v>
      </c>
      <c r="D961" t="s" s="0">
        <v>77</v>
      </c>
      <c r="E961" t="s" s="0">
        <v>20683</v>
      </c>
      <c r="F961" t="s" s="0">
        <v>20684</v>
      </c>
      <c r="G961" t="s" s="0">
        <v>20685</v>
      </c>
      <c r="H961" t="s" s="0">
        <v>81</v>
      </c>
      <c r="I961" t="s" s="0">
        <v>82</v>
      </c>
      <c r="J961" t="s" s="0">
        <v>20686</v>
      </c>
      <c r="K961" t="s" s="0">
        <v>20687</v>
      </c>
      <c r="L961" t="s" s="0">
        <v>81</v>
      </c>
      <c r="M961" t="s" s="0">
        <v>81</v>
      </c>
      <c r="N961" t="s" s="0">
        <v>81</v>
      </c>
      <c r="O961" t="s" s="0">
        <v>20688</v>
      </c>
      <c r="P961" t="s" s="0">
        <v>20689</v>
      </c>
      <c r="Q961" t="s" s="0">
        <v>87</v>
      </c>
      <c r="R961" t="s" s="0">
        <v>81</v>
      </c>
      <c r="S961" t="s" s="0">
        <v>81</v>
      </c>
      <c r="T961" t="s" s="0">
        <v>81</v>
      </c>
      <c r="U961" t="s" s="0">
        <v>81</v>
      </c>
      <c r="V961" t="s" s="0">
        <v>20690</v>
      </c>
      <c r="W961" t="s" s="0">
        <v>20691</v>
      </c>
      <c r="X961" t="s" s="0">
        <v>81</v>
      </c>
      <c r="Y961" t="s" s="0">
        <v>81</v>
      </c>
      <c r="Z961" t="s" s="0">
        <v>90</v>
      </c>
      <c r="AA961" t="s" s="0">
        <v>91</v>
      </c>
      <c r="AB961" t="s" s="0">
        <v>81</v>
      </c>
      <c r="AC961" t="s" s="0">
        <v>81</v>
      </c>
      <c r="AD961" t="s" s="0">
        <v>81</v>
      </c>
      <c r="AE961" t="s" s="0">
        <v>81</v>
      </c>
      <c r="AF961" t="s" s="0">
        <v>81</v>
      </c>
      <c r="AG961" t="s" s="0">
        <v>20692</v>
      </c>
      <c r="AH961" t="s" s="0">
        <v>81</v>
      </c>
      <c r="AI961" t="s" s="0">
        <v>81</v>
      </c>
      <c r="AJ961" t="s" s="0">
        <v>81</v>
      </c>
      <c r="AK961" t="s" s="0">
        <v>81</v>
      </c>
      <c r="AL961" t="s" s="0">
        <v>671</v>
      </c>
      <c r="AM961" t="s" s="0">
        <v>97</v>
      </c>
      <c r="AN961" t="s" s="0">
        <v>97</v>
      </c>
      <c r="AO961" t="s" s="0">
        <v>77</v>
      </c>
      <c r="AP961" t="s" s="0">
        <v>77</v>
      </c>
      <c r="AQ961" t="s" s="0">
        <v>428</v>
      </c>
      <c r="AR961" t="s" s="0">
        <v>429</v>
      </c>
      <c r="AS961" t="s" s="0">
        <v>509</v>
      </c>
      <c r="AT961" t="s" s="0">
        <v>20693</v>
      </c>
      <c r="AU961" t="s" s="0">
        <v>20694</v>
      </c>
      <c r="AV961" t="s" s="0">
        <v>81</v>
      </c>
      <c r="AW961" t="s" s="0">
        <v>20695</v>
      </c>
      <c r="AX961" t="s" s="0">
        <v>20696</v>
      </c>
      <c r="AY961" t="s" s="0">
        <v>6101</v>
      </c>
      <c r="AZ961" t="s" s="0">
        <v>103</v>
      </c>
      <c r="BA961" t="s" s="0">
        <v>135</v>
      </c>
      <c r="BB961" t="s" s="0">
        <v>381</v>
      </c>
      <c r="BC961" t="s" s="0">
        <v>81</v>
      </c>
      <c r="BD961" t="s" s="0">
        <v>81</v>
      </c>
      <c r="BE961" t="s" s="0">
        <v>81</v>
      </c>
      <c r="BF961" t="s" s="0">
        <v>81</v>
      </c>
      <c r="BG961" t="s" s="0">
        <v>20697</v>
      </c>
      <c r="BH961" t="s" s="0">
        <v>20698</v>
      </c>
      <c r="BI961" t="s" s="0">
        <v>81</v>
      </c>
      <c r="BJ961" t="s" s="0">
        <v>20699</v>
      </c>
      <c r="BK961" t="s" s="1912">
        <f>HYPERLINK("http://dx.doi.org/10.1016/j.jacr.2026.04.024","http://dx.doi.org/10.1016/j.jacr.2026.04.024")</f>
        <v>20700</v>
      </c>
      <c r="BL961" t="s" s="0">
        <v>81</v>
      </c>
      <c r="BM961" t="s" s="0">
        <v>81</v>
      </c>
      <c r="BN961" t="s" s="0">
        <v>211</v>
      </c>
      <c r="BO961" t="s" s="0">
        <v>738</v>
      </c>
      <c r="BP961" t="s" s="0">
        <v>738</v>
      </c>
      <c r="BQ961" t="s" s="0">
        <v>20701</v>
      </c>
      <c r="BR961" t="s" s="0">
        <v>20702</v>
      </c>
      <c r="BS961" t="s" s="0">
        <v>20703</v>
      </c>
      <c r="BT961" t="s" s="1913">
        <f>HYPERLINK("https://www.webofscience.com/wos/woscc/full-record/WOS:001841337000001","View Record in Web of Science")</f>
        <v>114</v>
      </c>
      <c r="BU961" t="s" s="0">
        <v>2239</v>
      </c>
      <c r="BV961" t="s" s="0">
        <v>81</v>
      </c>
      <c r="BW961" t="s" s="0">
        <v>81</v>
      </c>
      <c r="BX961" t="s" s="0">
        <v>116</v>
      </c>
    </row>
    <row r="962">
      <c r="A962" t="s" s="0">
        <v>77</v>
      </c>
      <c r="B962" t="s" s="0">
        <v>77</v>
      </c>
      <c r="C962" t="s" s="0">
        <v>77</v>
      </c>
      <c r="D962" t="s" s="0">
        <v>77</v>
      </c>
      <c r="E962" t="s" s="0">
        <v>20704</v>
      </c>
      <c r="F962" t="s" s="0">
        <v>20705</v>
      </c>
      <c r="G962" t="s" s="0">
        <v>20706</v>
      </c>
      <c r="H962" t="s" s="0">
        <v>81</v>
      </c>
      <c r="I962" t="s" s="0">
        <v>238</v>
      </c>
      <c r="J962" t="s" s="0">
        <v>20707</v>
      </c>
      <c r="K962" t="s" s="0">
        <v>20708</v>
      </c>
      <c r="L962" t="s" s="0">
        <v>81</v>
      </c>
      <c r="M962" t="s" s="0">
        <v>81</v>
      </c>
      <c r="N962" t="s" s="0">
        <v>3193</v>
      </c>
      <c r="O962" t="s" s="0">
        <v>20709</v>
      </c>
      <c r="P962" t="s" s="0">
        <v>20710</v>
      </c>
      <c r="Q962" t="s" s="0">
        <v>87</v>
      </c>
      <c r="R962" t="s" s="0">
        <v>81</v>
      </c>
      <c r="S962" t="s" s="0">
        <v>81</v>
      </c>
      <c r="T962" t="s" s="0">
        <v>81</v>
      </c>
      <c r="U962" t="s" s="0">
        <v>81</v>
      </c>
      <c r="V962" t="s" s="0">
        <v>20711</v>
      </c>
      <c r="W962" t="s" s="0">
        <v>20712</v>
      </c>
      <c r="X962" t="s" s="0">
        <v>81</v>
      </c>
      <c r="Y962" t="s" s="0">
        <v>81</v>
      </c>
      <c r="Z962" t="s" s="0">
        <v>90</v>
      </c>
      <c r="AA962" t="s" s="0">
        <v>91</v>
      </c>
      <c r="AB962" t="s" s="0">
        <v>81</v>
      </c>
      <c r="AC962" t="s" s="0">
        <v>81</v>
      </c>
      <c r="AD962" t="s" s="0">
        <v>81</v>
      </c>
      <c r="AE962" t="s" s="0">
        <v>81</v>
      </c>
      <c r="AF962" t="s" s="0">
        <v>81</v>
      </c>
      <c r="AG962" t="s" s="0">
        <v>20713</v>
      </c>
      <c r="AH962" t="s" s="0">
        <v>20714</v>
      </c>
      <c r="AI962" t="s" s="0">
        <v>81</v>
      </c>
      <c r="AJ962" t="s" s="0">
        <v>81</v>
      </c>
      <c r="AK962" t="s" s="0">
        <v>81</v>
      </c>
      <c r="AL962" t="s" s="0">
        <v>1561</v>
      </c>
      <c r="AM962" t="s" s="0">
        <v>77</v>
      </c>
      <c r="AN962" t="s" s="0">
        <v>77</v>
      </c>
      <c r="AO962" t="s" s="0">
        <v>196</v>
      </c>
      <c r="AP962" t="s" s="0">
        <v>196</v>
      </c>
      <c r="AQ962" t="s" s="0">
        <v>284</v>
      </c>
      <c r="AR962" t="s" s="0">
        <v>285</v>
      </c>
      <c r="AS962" t="s" s="0">
        <v>286</v>
      </c>
      <c r="AT962" t="s" s="0">
        <v>81</v>
      </c>
      <c r="AU962" t="s" s="0">
        <v>20715</v>
      </c>
      <c r="AV962" t="s" s="0">
        <v>81</v>
      </c>
      <c r="AW962" t="s" s="0">
        <v>20716</v>
      </c>
      <c r="AX962" t="s" s="0">
        <v>20717</v>
      </c>
      <c r="AY962" t="s" s="0">
        <v>20718</v>
      </c>
      <c r="AZ962" t="s" s="0">
        <v>103</v>
      </c>
      <c r="BA962" t="s" s="0">
        <v>925</v>
      </c>
      <c r="BB962" t="s" s="0">
        <v>234</v>
      </c>
      <c r="BC962" t="s" s="0">
        <v>81</v>
      </c>
      <c r="BD962" t="s" s="0">
        <v>81</v>
      </c>
      <c r="BE962" t="s" s="0">
        <v>81</v>
      </c>
      <c r="BF962" t="s" s="0">
        <v>81</v>
      </c>
      <c r="BG962" t="s" s="0">
        <v>81</v>
      </c>
      <c r="BH962" t="s" s="0">
        <v>81</v>
      </c>
      <c r="BI962" t="s" s="0">
        <v>11938</v>
      </c>
      <c r="BJ962" t="s" s="0">
        <v>20719</v>
      </c>
      <c r="BK962" t="s" s="1914">
        <f>HYPERLINK("http://dx.doi.org/10.3390/admsci16070335","http://dx.doi.org/10.3390/admsci16070335")</f>
        <v>20720</v>
      </c>
      <c r="BL962" t="s" s="0">
        <v>81</v>
      </c>
      <c r="BM962" t="s" s="0">
        <v>81</v>
      </c>
      <c r="BN962" t="s" s="0">
        <v>295</v>
      </c>
      <c r="BO962" t="s" s="0">
        <v>8217</v>
      </c>
      <c r="BP962" t="s" s="0">
        <v>326</v>
      </c>
      <c r="BQ962" t="s" s="0">
        <v>20721</v>
      </c>
      <c r="BR962" t="s" s="0">
        <v>81</v>
      </c>
      <c r="BS962" t="s" s="0">
        <v>20722</v>
      </c>
      <c r="BT962" t="s" s="1915">
        <f>HYPERLINK("https://www.webofscience.com/wos/woscc/full-record/WOS:001831355100001","View Record in Web of Science")</f>
        <v>114</v>
      </c>
      <c r="BU962" t="s" s="0">
        <v>115</v>
      </c>
      <c r="BV962" t="s" s="0">
        <v>81</v>
      </c>
      <c r="BW962" t="s" s="0">
        <v>81</v>
      </c>
      <c r="BX962" t="s" s="0">
        <v>116</v>
      </c>
    </row>
    <row r="963">
      <c r="A963" t="s" s="0">
        <v>97</v>
      </c>
      <c r="B963" t="s" s="0">
        <v>77</v>
      </c>
      <c r="C963" t="s" s="0">
        <v>77</v>
      </c>
      <c r="D963" t="s" s="0">
        <v>77</v>
      </c>
      <c r="E963" t="s" s="0">
        <v>20723</v>
      </c>
      <c r="F963" t="s" s="0">
        <v>20724</v>
      </c>
      <c r="G963" t="s" s="0">
        <v>20725</v>
      </c>
      <c r="H963" t="s" s="0">
        <v>81</v>
      </c>
      <c r="I963" t="s" s="0">
        <v>82</v>
      </c>
      <c r="J963" t="s" s="0">
        <v>20726</v>
      </c>
      <c r="K963" t="s" s="0">
        <v>20727</v>
      </c>
      <c r="L963" t="s" s="0">
        <v>20728</v>
      </c>
      <c r="M963" t="s" s="0">
        <v>20729</v>
      </c>
      <c r="N963" t="s" s="0">
        <v>20730</v>
      </c>
      <c r="O963" t="s" s="0">
        <v>20731</v>
      </c>
      <c r="P963" t="s" s="0">
        <v>20732</v>
      </c>
      <c r="Q963" t="s" s="0">
        <v>87</v>
      </c>
      <c r="R963" t="s" s="0">
        <v>81</v>
      </c>
      <c r="S963" t="s" s="0">
        <v>81</v>
      </c>
      <c r="T963" t="s" s="0">
        <v>81</v>
      </c>
      <c r="U963" t="s" s="0">
        <v>81</v>
      </c>
      <c r="V963" t="s" s="0">
        <v>20733</v>
      </c>
      <c r="W963" t="s" s="0">
        <v>20734</v>
      </c>
      <c r="X963" t="s" s="0">
        <v>81</v>
      </c>
      <c r="Y963" t="s" s="0">
        <v>81</v>
      </c>
      <c r="Z963" t="s" s="0">
        <v>90</v>
      </c>
      <c r="AA963" t="s" s="0">
        <v>91</v>
      </c>
      <c r="AB963" t="s" s="0">
        <v>81</v>
      </c>
      <c r="AC963" t="s" s="0">
        <v>81</v>
      </c>
      <c r="AD963" t="s" s="0">
        <v>81</v>
      </c>
      <c r="AE963" t="s" s="0">
        <v>81</v>
      </c>
      <c r="AF963" t="s" s="0">
        <v>81</v>
      </c>
      <c r="AG963" t="s" s="0">
        <v>20735</v>
      </c>
      <c r="AH963" t="s" s="0">
        <v>81</v>
      </c>
      <c r="AI963" t="s" s="0">
        <v>20736</v>
      </c>
      <c r="AJ963" t="s" s="0">
        <v>20737</v>
      </c>
      <c r="AK963" t="s" s="0">
        <v>81</v>
      </c>
      <c r="AL963" t="s" s="0">
        <v>398</v>
      </c>
      <c r="AM963" t="s" s="0">
        <v>486</v>
      </c>
      <c r="AN963" t="s" s="0">
        <v>104</v>
      </c>
      <c r="AO963" t="s" s="0">
        <v>77</v>
      </c>
      <c r="AP963" t="s" s="0">
        <v>295</v>
      </c>
      <c r="AQ963" t="s" s="0">
        <v>98</v>
      </c>
      <c r="AR963" t="s" s="0">
        <v>99</v>
      </c>
      <c r="AS963" t="s" s="0">
        <v>100</v>
      </c>
      <c r="AT963" t="s" s="0">
        <v>20738</v>
      </c>
      <c r="AU963" t="s" s="0">
        <v>81</v>
      </c>
      <c r="AV963" t="s" s="0">
        <v>81</v>
      </c>
      <c r="AW963" t="s" s="0">
        <v>20739</v>
      </c>
      <c r="AX963" t="s" s="0">
        <v>20740</v>
      </c>
      <c r="AY963" t="s" s="0">
        <v>4259</v>
      </c>
      <c r="AZ963" t="s" s="0">
        <v>260</v>
      </c>
      <c r="BA963" t="s" s="0">
        <v>211</v>
      </c>
      <c r="BB963" t="s" s="0">
        <v>316</v>
      </c>
      <c r="BC963" t="s" s="0">
        <v>81</v>
      </c>
      <c r="BD963" t="s" s="0">
        <v>81</v>
      </c>
      <c r="BE963" t="s" s="0">
        <v>81</v>
      </c>
      <c r="BF963" t="s" s="0">
        <v>81</v>
      </c>
      <c r="BG963" t="s" s="0">
        <v>20741</v>
      </c>
      <c r="BH963" t="s" s="0">
        <v>20742</v>
      </c>
      <c r="BI963" t="s" s="0">
        <v>81</v>
      </c>
      <c r="BJ963" t="s" s="0">
        <v>20743</v>
      </c>
      <c r="BK963" t="s" s="1916">
        <f>HYPERLINK("http://dx.doi.org/10.1109/TCSS.2023.3262289","http://dx.doi.org/10.1109/TCSS.2023.3262289")</f>
        <v>20744</v>
      </c>
      <c r="BL963" t="s" s="0">
        <v>81</v>
      </c>
      <c r="BM963" t="s" s="0">
        <v>6608</v>
      </c>
      <c r="BN963" t="s" s="0">
        <v>261</v>
      </c>
      <c r="BO963" t="s" s="0">
        <v>20051</v>
      </c>
      <c r="BP963" t="s" s="0">
        <v>152</v>
      </c>
      <c r="BQ963" t="s" s="0">
        <v>20745</v>
      </c>
      <c r="BR963" t="s" s="0">
        <v>81</v>
      </c>
      <c r="BS963" t="s" s="0">
        <v>20746</v>
      </c>
      <c r="BT963" t="s" s="1917">
        <f>HYPERLINK("https://www.webofscience.com/wos/woscc/full-record/WOS:000967315100001","View Record in Web of Science")</f>
        <v>114</v>
      </c>
      <c r="BU963" t="s" s="0">
        <v>81</v>
      </c>
      <c r="BV963" t="s" s="0">
        <v>81</v>
      </c>
      <c r="BW963" t="s" s="0">
        <v>81</v>
      </c>
      <c r="BX963" t="s" s="0">
        <v>116</v>
      </c>
    </row>
    <row r="964">
      <c r="A964" t="s" s="0">
        <v>77</v>
      </c>
      <c r="B964" t="s" s="0">
        <v>77</v>
      </c>
      <c r="C964" t="s" s="0">
        <v>77</v>
      </c>
      <c r="D964" t="s" s="0">
        <v>77</v>
      </c>
      <c r="E964" t="s" s="0">
        <v>20747</v>
      </c>
      <c r="F964" t="s" s="0">
        <v>20748</v>
      </c>
      <c r="G964" t="s" s="0">
        <v>20749</v>
      </c>
      <c r="H964" t="s" s="0">
        <v>81</v>
      </c>
      <c r="I964" t="s" s="0">
        <v>238</v>
      </c>
      <c r="J964" t="s" s="0">
        <v>20750</v>
      </c>
      <c r="K964" t="s" s="0">
        <v>20751</v>
      </c>
      <c r="L964" t="s" s="0">
        <v>81</v>
      </c>
      <c r="M964" t="s" s="0">
        <v>81</v>
      </c>
      <c r="N964" t="s" s="0">
        <v>81</v>
      </c>
      <c r="O964" t="s" s="0">
        <v>20752</v>
      </c>
      <c r="P964" t="s" s="0">
        <v>20753</v>
      </c>
      <c r="Q964" t="s" s="0">
        <v>87</v>
      </c>
      <c r="R964" t="s" s="0">
        <v>81</v>
      </c>
      <c r="S964" t="s" s="0">
        <v>81</v>
      </c>
      <c r="T964" t="s" s="0">
        <v>81</v>
      </c>
      <c r="U964" t="s" s="0">
        <v>81</v>
      </c>
      <c r="V964" t="s" s="0">
        <v>20754</v>
      </c>
      <c r="W964" t="s" s="0">
        <v>2096</v>
      </c>
      <c r="X964" t="s" s="0">
        <v>81</v>
      </c>
      <c r="Y964" t="s" s="0">
        <v>81</v>
      </c>
      <c r="Z964" t="s" s="0">
        <v>90</v>
      </c>
      <c r="AA964" t="s" s="0">
        <v>91</v>
      </c>
      <c r="AB964" t="s" s="0">
        <v>81</v>
      </c>
      <c r="AC964" t="s" s="0">
        <v>81</v>
      </c>
      <c r="AD964" t="s" s="0">
        <v>81</v>
      </c>
      <c r="AE964" t="s" s="0">
        <v>81</v>
      </c>
      <c r="AF964" t="s" s="0">
        <v>81</v>
      </c>
      <c r="AG964" t="s" s="0">
        <v>20755</v>
      </c>
      <c r="AH964" t="s" s="0">
        <v>9515</v>
      </c>
      <c r="AI964" t="s" s="0">
        <v>20756</v>
      </c>
      <c r="AJ964" t="s" s="0">
        <v>81</v>
      </c>
      <c r="AK964" t="s" s="0">
        <v>81</v>
      </c>
      <c r="AL964" t="s" s="0">
        <v>508</v>
      </c>
      <c r="AM964" t="s" s="0">
        <v>156</v>
      </c>
      <c r="AN964" t="s" s="0">
        <v>196</v>
      </c>
      <c r="AO964" t="s" s="0">
        <v>156</v>
      </c>
      <c r="AP964" t="s" s="0">
        <v>134</v>
      </c>
      <c r="AQ964" t="s" s="0">
        <v>212</v>
      </c>
      <c r="AR964" t="s" s="0">
        <v>429</v>
      </c>
      <c r="AS964" t="s" s="0">
        <v>784</v>
      </c>
      <c r="AT964" t="s" s="0">
        <v>2100</v>
      </c>
      <c r="AU964" t="s" s="0">
        <v>2101</v>
      </c>
      <c r="AV964" t="s" s="0">
        <v>81</v>
      </c>
      <c r="AW964" t="s" s="0">
        <v>2102</v>
      </c>
      <c r="AX964" t="s" s="0">
        <v>2103</v>
      </c>
      <c r="AY964" t="s" s="0">
        <v>143</v>
      </c>
      <c r="AZ964" t="s" s="0">
        <v>103</v>
      </c>
      <c r="BA964" t="s" s="0">
        <v>1883</v>
      </c>
      <c r="BB964" t="s" s="0">
        <v>196</v>
      </c>
      <c r="BC964" t="s" s="0">
        <v>81</v>
      </c>
      <c r="BD964" t="s" s="0">
        <v>81</v>
      </c>
      <c r="BE964" t="s" s="0">
        <v>81</v>
      </c>
      <c r="BF964" t="s" s="0">
        <v>81</v>
      </c>
      <c r="BG964" t="s" s="0">
        <v>20757</v>
      </c>
      <c r="BH964" t="s" s="0">
        <v>11063</v>
      </c>
      <c r="BI964" t="s" s="0">
        <v>81</v>
      </c>
      <c r="BJ964" t="s" s="0">
        <v>20758</v>
      </c>
      <c r="BK964" t="s" s="1918">
        <f>HYPERLINK("http://dx.doi.org/10.1007/s00146-025-02617-y","http://dx.doi.org/10.1007/s00146-025-02617-y")</f>
        <v>20759</v>
      </c>
      <c r="BL964" t="s" s="0">
        <v>81</v>
      </c>
      <c r="BM964" t="s" s="0">
        <v>149</v>
      </c>
      <c r="BN964" t="s" s="0">
        <v>211</v>
      </c>
      <c r="BO964" t="s" s="0">
        <v>409</v>
      </c>
      <c r="BP964" t="s" s="0">
        <v>152</v>
      </c>
      <c r="BQ964" t="s" s="0">
        <v>13028</v>
      </c>
      <c r="BR964" t="s" s="0">
        <v>81</v>
      </c>
      <c r="BS964" t="s" s="0">
        <v>20760</v>
      </c>
      <c r="BT964" t="s" s="1919">
        <f>HYPERLINK("https://www.webofscience.com/wos/woscc/full-record/WOS:001590038300001","View Record in Web of Science")</f>
        <v>114</v>
      </c>
      <c r="BU964" t="s" s="0">
        <v>81</v>
      </c>
      <c r="BV964" t="s" s="0">
        <v>81</v>
      </c>
      <c r="BW964" t="s" s="0">
        <v>81</v>
      </c>
      <c r="BX964" t="s" s="0">
        <v>116</v>
      </c>
    </row>
    <row r="965">
      <c r="A965" t="s" s="0">
        <v>77</v>
      </c>
      <c r="B965" t="s" s="0">
        <v>77</v>
      </c>
      <c r="C965" t="s" s="0">
        <v>77</v>
      </c>
      <c r="D965" t="s" s="0">
        <v>77</v>
      </c>
      <c r="E965" t="s" s="0">
        <v>20761</v>
      </c>
      <c r="F965" t="s" s="0">
        <v>20762</v>
      </c>
      <c r="G965" t="s" s="0">
        <v>20763</v>
      </c>
      <c r="H965" t="s" s="0">
        <v>81</v>
      </c>
      <c r="I965" t="s" s="0">
        <v>238</v>
      </c>
      <c r="J965" t="s" s="0">
        <v>20764</v>
      </c>
      <c r="K965" t="s" s="0">
        <v>81</v>
      </c>
      <c r="L965" t="s" s="0">
        <v>81</v>
      </c>
      <c r="M965" t="s" s="0">
        <v>81</v>
      </c>
      <c r="N965" t="s" s="0">
        <v>81</v>
      </c>
      <c r="O965" t="s" s="0">
        <v>20765</v>
      </c>
      <c r="P965" t="s" s="0">
        <v>20766</v>
      </c>
      <c r="Q965" t="s" s="0">
        <v>87</v>
      </c>
      <c r="R965" t="s" s="0">
        <v>81</v>
      </c>
      <c r="S965" t="s" s="0">
        <v>81</v>
      </c>
      <c r="T965" t="s" s="0">
        <v>81</v>
      </c>
      <c r="U965" t="s" s="0">
        <v>81</v>
      </c>
      <c r="V965" t="s" s="0">
        <v>20767</v>
      </c>
      <c r="W965" t="s" s="0">
        <v>20768</v>
      </c>
      <c r="X965" t="s" s="0">
        <v>81</v>
      </c>
      <c r="Y965" t="s" s="0">
        <v>81</v>
      </c>
      <c r="Z965" t="s" s="0">
        <v>90</v>
      </c>
      <c r="AA965" t="s" s="0">
        <v>91</v>
      </c>
      <c r="AB965" t="s" s="0">
        <v>81</v>
      </c>
      <c r="AC965" t="s" s="0">
        <v>81</v>
      </c>
      <c r="AD965" t="s" s="0">
        <v>81</v>
      </c>
      <c r="AE965" t="s" s="0">
        <v>81</v>
      </c>
      <c r="AF965" t="s" s="0">
        <v>81</v>
      </c>
      <c r="AG965" t="s" s="0">
        <v>81</v>
      </c>
      <c r="AH965" t="s" s="0">
        <v>20769</v>
      </c>
      <c r="AI965" t="s" s="0">
        <v>81</v>
      </c>
      <c r="AJ965" t="s" s="0">
        <v>81</v>
      </c>
      <c r="AK965" t="s" s="0">
        <v>81</v>
      </c>
      <c r="AL965" t="s" s="0">
        <v>2028</v>
      </c>
      <c r="AM965" t="s" s="0">
        <v>77</v>
      </c>
      <c r="AN965" t="s" s="0">
        <v>77</v>
      </c>
      <c r="AO965" t="s" s="0">
        <v>97</v>
      </c>
      <c r="AP965" t="s" s="0">
        <v>97</v>
      </c>
      <c r="AQ965" t="s" s="0">
        <v>20770</v>
      </c>
      <c r="AR965" t="s" s="0">
        <v>20771</v>
      </c>
      <c r="AS965" t="s" s="0">
        <v>20772</v>
      </c>
      <c r="AT965" t="s" s="0">
        <v>20773</v>
      </c>
      <c r="AU965" t="s" s="0">
        <v>81</v>
      </c>
      <c r="AV965" t="s" s="0">
        <v>81</v>
      </c>
      <c r="AW965" t="s" s="0">
        <v>20774</v>
      </c>
      <c r="AX965" t="s" s="0">
        <v>20775</v>
      </c>
      <c r="AY965" t="s" s="0">
        <v>1743</v>
      </c>
      <c r="AZ965" t="s" s="0">
        <v>290</v>
      </c>
      <c r="BA965" t="s" s="0">
        <v>2447</v>
      </c>
      <c r="BB965" t="s" s="0">
        <v>156</v>
      </c>
      <c r="BC965" t="s" s="0">
        <v>4172</v>
      </c>
      <c r="BD965" t="s" s="0">
        <v>81</v>
      </c>
      <c r="BE965" t="s" s="0">
        <v>81</v>
      </c>
      <c r="BF965" t="s" s="0">
        <v>81</v>
      </c>
      <c r="BG965" t="s" s="0">
        <v>19248</v>
      </c>
      <c r="BH965" t="s" s="0">
        <v>1615</v>
      </c>
      <c r="BI965" t="s" s="0">
        <v>81</v>
      </c>
      <c r="BJ965" t="s" s="0">
        <v>81</v>
      </c>
      <c r="BK965" t="s" s="0">
        <v>81</v>
      </c>
      <c r="BL965" t="s" s="0">
        <v>81</v>
      </c>
      <c r="BM965" t="s" s="0">
        <v>81</v>
      </c>
      <c r="BN965" t="s" s="0">
        <v>1607</v>
      </c>
      <c r="BO965" t="s" s="0">
        <v>9623</v>
      </c>
      <c r="BP965" t="s" s="0">
        <v>9624</v>
      </c>
      <c r="BQ965" t="s" s="0">
        <v>20776</v>
      </c>
      <c r="BR965" t="s" s="0">
        <v>81</v>
      </c>
      <c r="BS965" t="s" s="0">
        <v>20777</v>
      </c>
      <c r="BT965" t="s" s="1920">
        <f>HYPERLINK("https://www.webofscience.com/wos/woscc/full-record/WOS:001668934500008","View Record in Web of Science")</f>
        <v>114</v>
      </c>
      <c r="BU965" t="s" s="0">
        <v>81</v>
      </c>
      <c r="BV965" t="s" s="0">
        <v>81</v>
      </c>
      <c r="BW965" t="s" s="0">
        <v>81</v>
      </c>
      <c r="BX965" t="s" s="0">
        <v>116</v>
      </c>
    </row>
    <row r="966">
      <c r="A966" t="s" s="0">
        <v>77</v>
      </c>
      <c r="B966" t="s" s="0">
        <v>77</v>
      </c>
      <c r="C966" t="s" s="0">
        <v>77</v>
      </c>
      <c r="D966" t="s" s="0">
        <v>77</v>
      </c>
      <c r="E966" t="s" s="0">
        <v>20778</v>
      </c>
      <c r="F966" t="s" s="0">
        <v>20779</v>
      </c>
      <c r="G966" t="s" s="0">
        <v>20780</v>
      </c>
      <c r="H966" t="s" s="0">
        <v>81</v>
      </c>
      <c r="I966" t="s" s="0">
        <v>238</v>
      </c>
      <c r="J966" t="s" s="0">
        <v>20781</v>
      </c>
      <c r="K966" t="s" s="0">
        <v>20782</v>
      </c>
      <c r="L966" t="s" s="0">
        <v>81</v>
      </c>
      <c r="M966" t="s" s="0">
        <v>81</v>
      </c>
      <c r="N966" t="s" s="0">
        <v>81</v>
      </c>
      <c r="O966" t="s" s="0">
        <v>20783</v>
      </c>
      <c r="P966" t="s" s="0">
        <v>20784</v>
      </c>
      <c r="Q966" t="s" s="0">
        <v>87</v>
      </c>
      <c r="R966" t="s" s="0">
        <v>81</v>
      </c>
      <c r="S966" t="s" s="0">
        <v>81</v>
      </c>
      <c r="T966" t="s" s="0">
        <v>81</v>
      </c>
      <c r="U966" t="s" s="0">
        <v>81</v>
      </c>
      <c r="V966" t="s" s="0">
        <v>20785</v>
      </c>
      <c r="W966" t="s" s="0">
        <v>20786</v>
      </c>
      <c r="X966" t="s" s="0">
        <v>81</v>
      </c>
      <c r="Y966" t="s" s="0">
        <v>81</v>
      </c>
      <c r="Z966" t="s" s="0">
        <v>90</v>
      </c>
      <c r="AA966" t="s" s="0">
        <v>91</v>
      </c>
      <c r="AB966" t="s" s="0">
        <v>81</v>
      </c>
      <c r="AC966" t="s" s="0">
        <v>81</v>
      </c>
      <c r="AD966" t="s" s="0">
        <v>81</v>
      </c>
      <c r="AE966" t="s" s="0">
        <v>81</v>
      </c>
      <c r="AF966" t="s" s="0">
        <v>81</v>
      </c>
      <c r="AG966" t="s" s="0">
        <v>20787</v>
      </c>
      <c r="AH966" t="s" s="0">
        <v>81</v>
      </c>
      <c r="AI966" t="s" s="0">
        <v>20788</v>
      </c>
      <c r="AJ966" t="s" s="0">
        <v>81</v>
      </c>
      <c r="AK966" t="s" s="0">
        <v>81</v>
      </c>
      <c r="AL966" t="s" s="0">
        <v>671</v>
      </c>
      <c r="AM966" t="s" s="0">
        <v>97</v>
      </c>
      <c r="AN966" t="s" s="0">
        <v>97</v>
      </c>
      <c r="AO966" t="s" s="0">
        <v>175</v>
      </c>
      <c r="AP966" t="s" s="0">
        <v>175</v>
      </c>
      <c r="AQ966" t="s" s="0">
        <v>284</v>
      </c>
      <c r="AR966" t="s" s="0">
        <v>285</v>
      </c>
      <c r="AS966" t="s" s="0">
        <v>286</v>
      </c>
      <c r="AT966" t="s" s="0">
        <v>81</v>
      </c>
      <c r="AU966" t="s" s="0">
        <v>20789</v>
      </c>
      <c r="AV966" t="s" s="0">
        <v>81</v>
      </c>
      <c r="AW966" t="s" s="0">
        <v>20790</v>
      </c>
      <c r="AX966" t="s" s="0">
        <v>20791</v>
      </c>
      <c r="AY966" t="s" s="0">
        <v>10240</v>
      </c>
      <c r="AZ966" t="s" s="0">
        <v>103</v>
      </c>
      <c r="BA966" t="s" s="0">
        <v>291</v>
      </c>
      <c r="BB966" t="s" s="0">
        <v>156</v>
      </c>
      <c r="BC966" t="s" s="0">
        <v>81</v>
      </c>
      <c r="BD966" t="s" s="0">
        <v>81</v>
      </c>
      <c r="BE966" t="s" s="0">
        <v>81</v>
      </c>
      <c r="BF966" t="s" s="0">
        <v>81</v>
      </c>
      <c r="BG966" t="s" s="0">
        <v>81</v>
      </c>
      <c r="BH966" t="s" s="0">
        <v>81</v>
      </c>
      <c r="BI966" t="s" s="0">
        <v>5938</v>
      </c>
      <c r="BJ966" t="s" s="0">
        <v>20792</v>
      </c>
      <c r="BK966" t="s" s="1921">
        <f>HYPERLINK("http://dx.doi.org/10.3390/socsci15020119","http://dx.doi.org/10.3390/socsci15020119")</f>
        <v>20793</v>
      </c>
      <c r="BL966" t="s" s="0">
        <v>81</v>
      </c>
      <c r="BM966" t="s" s="0">
        <v>81</v>
      </c>
      <c r="BN966" t="s" s="0">
        <v>234</v>
      </c>
      <c r="BO966" t="s" s="0">
        <v>3207</v>
      </c>
      <c r="BP966" t="s" s="0">
        <v>3208</v>
      </c>
      <c r="BQ966" t="s" s="0">
        <v>20794</v>
      </c>
      <c r="BR966" t="s" s="0">
        <v>81</v>
      </c>
      <c r="BS966" t="s" s="0">
        <v>20795</v>
      </c>
      <c r="BT966" t="s" s="1922">
        <f>HYPERLINK("https://www.webofscience.com/wos/woscc/full-record/WOS:001702282200001","View Record in Web of Science")</f>
        <v>114</v>
      </c>
      <c r="BU966" t="s" s="0">
        <v>115</v>
      </c>
      <c r="BV966" t="s" s="0">
        <v>81</v>
      </c>
      <c r="BW966" t="s" s="0">
        <v>81</v>
      </c>
      <c r="BX966" t="s" s="0">
        <v>116</v>
      </c>
    </row>
    <row r="967">
      <c r="A967" t="s" s="0">
        <v>77</v>
      </c>
      <c r="B967" t="s" s="0">
        <v>77</v>
      </c>
      <c r="C967" t="s" s="0">
        <v>175</v>
      </c>
      <c r="D967" t="s" s="0">
        <v>77</v>
      </c>
      <c r="E967" t="s" s="0">
        <v>20796</v>
      </c>
      <c r="F967" t="s" s="0">
        <v>20797</v>
      </c>
      <c r="G967" t="s" s="0">
        <v>20798</v>
      </c>
      <c r="H967" t="s" s="0">
        <v>81</v>
      </c>
      <c r="I967" t="s" s="0">
        <v>82</v>
      </c>
      <c r="J967" t="s" s="0">
        <v>20799</v>
      </c>
      <c r="K967" t="s" s="0">
        <v>20800</v>
      </c>
      <c r="L967" t="s" s="0">
        <v>20801</v>
      </c>
      <c r="M967" t="s" s="0">
        <v>20802</v>
      </c>
      <c r="N967" t="s" s="0">
        <v>20803</v>
      </c>
      <c r="O967" t="s" s="0">
        <v>20804</v>
      </c>
      <c r="P967" t="s" s="0">
        <v>20805</v>
      </c>
      <c r="Q967" t="s" s="0">
        <v>87</v>
      </c>
      <c r="R967" t="s" s="0">
        <v>81</v>
      </c>
      <c r="S967" t="s" s="0">
        <v>81</v>
      </c>
      <c r="T967" t="s" s="0">
        <v>81</v>
      </c>
      <c r="U967" t="s" s="0">
        <v>81</v>
      </c>
      <c r="V967" t="s" s="0">
        <v>20806</v>
      </c>
      <c r="W967" t="s" s="0">
        <v>20807</v>
      </c>
      <c r="X967" t="s" s="0">
        <v>81</v>
      </c>
      <c r="Y967" t="s" s="0">
        <v>81</v>
      </c>
      <c r="Z967" t="s" s="0">
        <v>90</v>
      </c>
      <c r="AA967" t="s" s="0">
        <v>91</v>
      </c>
      <c r="AB967" t="s" s="0">
        <v>81</v>
      </c>
      <c r="AC967" t="s" s="0">
        <v>81</v>
      </c>
      <c r="AD967" t="s" s="0">
        <v>81</v>
      </c>
      <c r="AE967" t="s" s="0">
        <v>81</v>
      </c>
      <c r="AF967" t="s" s="0">
        <v>81</v>
      </c>
      <c r="AG967" t="s" s="0">
        <v>81</v>
      </c>
      <c r="AH967" t="s" s="0">
        <v>81</v>
      </c>
      <c r="AI967" t="s" s="0">
        <v>81</v>
      </c>
      <c r="AJ967" t="s" s="0">
        <v>20808</v>
      </c>
      <c r="AK967" t="s" s="0">
        <v>81</v>
      </c>
      <c r="AL967" t="s" s="0">
        <v>697</v>
      </c>
      <c r="AM967" t="s" s="0">
        <v>874</v>
      </c>
      <c r="AN967" t="s" s="0">
        <v>176</v>
      </c>
      <c r="AO967" t="s" s="0">
        <v>234</v>
      </c>
      <c r="AP967" t="s" s="0">
        <v>291</v>
      </c>
      <c r="AQ967" t="s" s="0">
        <v>20809</v>
      </c>
      <c r="AR967" t="s" s="0">
        <v>20810</v>
      </c>
      <c r="AS967" t="s" s="0">
        <v>20811</v>
      </c>
      <c r="AT967" t="s" s="0">
        <v>20812</v>
      </c>
      <c r="AU967" t="s" s="0">
        <v>20813</v>
      </c>
      <c r="AV967" t="s" s="0">
        <v>81</v>
      </c>
      <c r="AW967" t="s" s="0">
        <v>20814</v>
      </c>
      <c r="AX967" t="s" s="0">
        <v>20815</v>
      </c>
      <c r="AY967" t="s" s="0">
        <v>20816</v>
      </c>
      <c r="AZ967" t="s" s="0">
        <v>290</v>
      </c>
      <c r="BA967" t="s" s="0">
        <v>3984</v>
      </c>
      <c r="BB967" t="s" s="0">
        <v>156</v>
      </c>
      <c r="BC967" t="s" s="0">
        <v>81</v>
      </c>
      <c r="BD967" t="s" s="0">
        <v>81</v>
      </c>
      <c r="BE967" t="s" s="0">
        <v>81</v>
      </c>
      <c r="BF967" t="s" s="0">
        <v>81</v>
      </c>
      <c r="BG967" t="s" s="0">
        <v>2168</v>
      </c>
      <c r="BH967" t="s" s="0">
        <v>20504</v>
      </c>
      <c r="BI967" t="s" s="0">
        <v>81</v>
      </c>
      <c r="BJ967" t="s" s="0">
        <v>20817</v>
      </c>
      <c r="BK967" t="s" s="1923">
        <f>HYPERLINK("http://dx.doi.org/10.2471/BLT.24.291643","http://dx.doi.org/10.2471/BLT.24.291643")</f>
        <v>20818</v>
      </c>
      <c r="BL967" t="s" s="0">
        <v>81</v>
      </c>
      <c r="BM967" t="s" s="0">
        <v>81</v>
      </c>
      <c r="BN967" t="s" s="0">
        <v>234</v>
      </c>
      <c r="BO967" t="s" s="0">
        <v>850</v>
      </c>
      <c r="BP967" t="s" s="0">
        <v>850</v>
      </c>
      <c r="BQ967" t="s" s="0">
        <v>20819</v>
      </c>
      <c r="BR967" t="s" s="0">
        <v>20820</v>
      </c>
      <c r="BS967" t="s" s="0">
        <v>20821</v>
      </c>
      <c r="BT967" t="s" s="1924">
        <f>HYPERLINK("https://www.webofscience.com/wos/woscc/full-record/WOS:001528957100011","View Record in Web of Science")</f>
        <v>114</v>
      </c>
      <c r="BU967" t="s" s="0">
        <v>301</v>
      </c>
      <c r="BV967" t="s" s="0">
        <v>2886</v>
      </c>
      <c r="BW967" t="s" s="0">
        <v>2887</v>
      </c>
      <c r="BX967" t="s" s="0">
        <v>116</v>
      </c>
    </row>
    <row r="968">
      <c r="A968" t="s" s="0">
        <v>77</v>
      </c>
      <c r="B968" t="s" s="0">
        <v>77</v>
      </c>
      <c r="C968" t="s" s="0">
        <v>77</v>
      </c>
      <c r="D968" t="s" s="0">
        <v>77</v>
      </c>
      <c r="E968" t="s" s="0">
        <v>20822</v>
      </c>
      <c r="F968" t="s" s="0">
        <v>20823</v>
      </c>
      <c r="G968" t="s" s="0">
        <v>20824</v>
      </c>
      <c r="H968" t="s" s="0">
        <v>81</v>
      </c>
      <c r="I968" t="s" s="0">
        <v>528</v>
      </c>
      <c r="J968" t="s" s="0">
        <v>20825</v>
      </c>
      <c r="K968" t="s" s="0">
        <v>20826</v>
      </c>
      <c r="L968" t="s" s="0">
        <v>20827</v>
      </c>
      <c r="M968" t="s" s="0">
        <v>20828</v>
      </c>
      <c r="N968" t="s" s="0">
        <v>20829</v>
      </c>
      <c r="O968" t="s" s="0">
        <v>20830</v>
      </c>
      <c r="P968" t="s" s="0">
        <v>20831</v>
      </c>
      <c r="Q968" t="s" s="0">
        <v>87</v>
      </c>
      <c r="R968" t="s" s="0">
        <v>81</v>
      </c>
      <c r="S968" t="s" s="0">
        <v>81</v>
      </c>
      <c r="T968" t="s" s="0">
        <v>81</v>
      </c>
      <c r="U968" t="s" s="0">
        <v>81</v>
      </c>
      <c r="V968" t="s" s="0">
        <v>20832</v>
      </c>
      <c r="W968" t="s" s="0">
        <v>660</v>
      </c>
      <c r="X968" t="s" s="0">
        <v>81</v>
      </c>
      <c r="Y968" t="s" s="0">
        <v>81</v>
      </c>
      <c r="Z968" t="s" s="0">
        <v>90</v>
      </c>
      <c r="AA968" t="s" s="0">
        <v>91</v>
      </c>
      <c r="AB968" t="s" s="0">
        <v>81</v>
      </c>
      <c r="AC968" t="s" s="0">
        <v>81</v>
      </c>
      <c r="AD968" t="s" s="0">
        <v>81</v>
      </c>
      <c r="AE968" t="s" s="0">
        <v>81</v>
      </c>
      <c r="AF968" t="s" s="0">
        <v>81</v>
      </c>
      <c r="AG968" t="s" s="0">
        <v>20833</v>
      </c>
      <c r="AH968" t="s" s="0">
        <v>20834</v>
      </c>
      <c r="AI968" t="s" s="0">
        <v>20835</v>
      </c>
      <c r="AJ968" t="s" s="0">
        <v>20836</v>
      </c>
      <c r="AK968" t="s" s="0">
        <v>81</v>
      </c>
      <c r="AL968" t="s" s="0">
        <v>1684</v>
      </c>
      <c r="AM968" t="s" s="0">
        <v>77</v>
      </c>
      <c r="AN968" t="s" s="0">
        <v>77</v>
      </c>
      <c r="AO968" t="s" s="0">
        <v>175</v>
      </c>
      <c r="AP968" t="s" s="0">
        <v>381</v>
      </c>
      <c r="AQ968" t="s" s="0">
        <v>665</v>
      </c>
      <c r="AR968" t="s" s="0">
        <v>546</v>
      </c>
      <c r="AS968" t="s" s="0">
        <v>666</v>
      </c>
      <c r="AT968" t="s" s="0">
        <v>667</v>
      </c>
      <c r="AU968" t="s" s="0">
        <v>81</v>
      </c>
      <c r="AV968" t="s" s="0">
        <v>81</v>
      </c>
      <c r="AW968" t="s" s="0">
        <v>668</v>
      </c>
      <c r="AX968" t="s" s="0">
        <v>669</v>
      </c>
      <c r="AY968" t="s" s="0">
        <v>3383</v>
      </c>
      <c r="AZ968" t="s" s="0">
        <v>290</v>
      </c>
      <c r="BA968" t="s" s="0">
        <v>228</v>
      </c>
      <c r="BB968" t="s" s="0">
        <v>97</v>
      </c>
      <c r="BC968" t="s" s="0">
        <v>81</v>
      </c>
      <c r="BD968" t="s" s="0">
        <v>81</v>
      </c>
      <c r="BE968" t="s" s="0">
        <v>81</v>
      </c>
      <c r="BF968" t="s" s="0">
        <v>81</v>
      </c>
      <c r="BG968" t="s" s="0">
        <v>81</v>
      </c>
      <c r="BH968" t="s" s="0">
        <v>81</v>
      </c>
      <c r="BI968" t="s" s="0">
        <v>2733</v>
      </c>
      <c r="BJ968" t="s" s="0">
        <v>20837</v>
      </c>
      <c r="BK968" t="s" s="1925">
        <f>HYPERLINK("http://dx.doi.org/10.1186/s12910-025-01314-1","http://dx.doi.org/10.1186/s12910-025-01314-1")</f>
        <v>20838</v>
      </c>
      <c r="BL968" t="s" s="0">
        <v>81</v>
      </c>
      <c r="BM968" t="s" s="0">
        <v>81</v>
      </c>
      <c r="BN968" t="s" s="0">
        <v>486</v>
      </c>
      <c r="BO968" t="s" s="0">
        <v>676</v>
      </c>
      <c r="BP968" t="s" s="0">
        <v>677</v>
      </c>
      <c r="BQ968" t="s" s="0">
        <v>20839</v>
      </c>
      <c r="BR968" t="s" s="0">
        <v>20840</v>
      </c>
      <c r="BS968" t="s" s="0">
        <v>20841</v>
      </c>
      <c r="BT968" t="s" s="1926">
        <f>HYPERLINK("https://www.webofscience.com/wos/woscc/full-record/WOS:001594099700002","View Record in Web of Science")</f>
        <v>114</v>
      </c>
      <c r="BU968" t="s" s="0">
        <v>301</v>
      </c>
      <c r="BV968" t="s" s="0">
        <v>81</v>
      </c>
      <c r="BW968" t="s" s="0">
        <v>81</v>
      </c>
      <c r="BX968" t="s" s="0">
        <v>116</v>
      </c>
    </row>
    <row r="969">
      <c r="A969" t="s" s="0">
        <v>77</v>
      </c>
      <c r="B969" t="s" s="0">
        <v>77</v>
      </c>
      <c r="C969" t="s" s="0">
        <v>77</v>
      </c>
      <c r="D969" t="s" s="0">
        <v>77</v>
      </c>
      <c r="E969" t="s" s="0">
        <v>20842</v>
      </c>
      <c r="F969" t="s" s="0">
        <v>20843</v>
      </c>
      <c r="G969" t="s" s="0">
        <v>20844</v>
      </c>
      <c r="H969" t="s" s="0">
        <v>81</v>
      </c>
      <c r="I969" t="s" s="0">
        <v>82</v>
      </c>
      <c r="J969" t="s" s="0">
        <v>20845</v>
      </c>
      <c r="K969" t="s" s="0">
        <v>20846</v>
      </c>
      <c r="L969" t="s" s="0">
        <v>81</v>
      </c>
      <c r="M969" t="s" s="0">
        <v>81</v>
      </c>
      <c r="N969" t="s" s="0">
        <v>81</v>
      </c>
      <c r="O969" t="s" s="0">
        <v>20847</v>
      </c>
      <c r="P969" t="s" s="0">
        <v>20848</v>
      </c>
      <c r="Q969" t="s" s="0">
        <v>87</v>
      </c>
      <c r="R969" t="s" s="0">
        <v>81</v>
      </c>
      <c r="S969" t="s" s="0">
        <v>81</v>
      </c>
      <c r="T969" t="s" s="0">
        <v>81</v>
      </c>
      <c r="U969" t="s" s="0">
        <v>81</v>
      </c>
      <c r="V969" t="s" s="0">
        <v>20849</v>
      </c>
      <c r="W969" t="s" s="0">
        <v>5983</v>
      </c>
      <c r="X969" t="s" s="0">
        <v>81</v>
      </c>
      <c r="Y969" t="s" s="0">
        <v>81</v>
      </c>
      <c r="Z969" t="s" s="0">
        <v>90</v>
      </c>
      <c r="AA969" t="s" s="0">
        <v>1581</v>
      </c>
      <c r="AB969" t="s" s="0">
        <v>81</v>
      </c>
      <c r="AC969" t="s" s="0">
        <v>81</v>
      </c>
      <c r="AD969" t="s" s="0">
        <v>81</v>
      </c>
      <c r="AE969" t="s" s="0">
        <v>81</v>
      </c>
      <c r="AF969" t="s" s="0">
        <v>81</v>
      </c>
      <c r="AG969" t="s" s="0">
        <v>20850</v>
      </c>
      <c r="AH969" t="s" s="0">
        <v>81</v>
      </c>
      <c r="AI969" t="s" s="0">
        <v>81</v>
      </c>
      <c r="AJ969" t="s" s="0">
        <v>81</v>
      </c>
      <c r="AK969" t="s" s="0">
        <v>81</v>
      </c>
      <c r="AL969" t="s" s="0">
        <v>228</v>
      </c>
      <c r="AM969" t="s" s="0">
        <v>77</v>
      </c>
      <c r="AN969" t="s" s="0">
        <v>77</v>
      </c>
      <c r="AO969" t="s" s="0">
        <v>77</v>
      </c>
      <c r="AP969" t="s" s="0">
        <v>77</v>
      </c>
      <c r="AQ969" t="s" s="0">
        <v>212</v>
      </c>
      <c r="AR969" t="s" s="0">
        <v>429</v>
      </c>
      <c r="AS969" t="s" s="0">
        <v>784</v>
      </c>
      <c r="AT969" t="s" s="0">
        <v>5987</v>
      </c>
      <c r="AU969" t="s" s="0">
        <v>5988</v>
      </c>
      <c r="AV969" t="s" s="0">
        <v>81</v>
      </c>
      <c r="AW969" t="s" s="0">
        <v>5989</v>
      </c>
      <c r="AX969" t="s" s="0">
        <v>5990</v>
      </c>
      <c r="AY969" t="s" s="0">
        <v>81</v>
      </c>
      <c r="AZ969" t="s" s="0">
        <v>103</v>
      </c>
      <c r="BA969" t="s" s="0">
        <v>81</v>
      </c>
      <c r="BB969" t="s" s="0">
        <v>81</v>
      </c>
      <c r="BC969" t="s" s="0">
        <v>81</v>
      </c>
      <c r="BD969" t="s" s="0">
        <v>81</v>
      </c>
      <c r="BE969" t="s" s="0">
        <v>81</v>
      </c>
      <c r="BF969" t="s" s="0">
        <v>81</v>
      </c>
      <c r="BG969" t="s" s="0">
        <v>81</v>
      </c>
      <c r="BH969" t="s" s="0">
        <v>81</v>
      </c>
      <c r="BI969" t="s" s="0">
        <v>81</v>
      </c>
      <c r="BJ969" t="s" s="0">
        <v>20851</v>
      </c>
      <c r="BK969" t="s" s="1927">
        <f>HYPERLINK("http://dx.doi.org/10.1007/s10278-026-02179-5","http://dx.doi.org/10.1007/s10278-026-02179-5")</f>
        <v>20852</v>
      </c>
      <c r="BL969" t="s" s="0">
        <v>81</v>
      </c>
      <c r="BM969" t="s" s="0">
        <v>6101</v>
      </c>
      <c r="BN969" t="s" s="0">
        <v>191</v>
      </c>
      <c r="BO969" t="s" s="0">
        <v>738</v>
      </c>
      <c r="BP969" t="s" s="0">
        <v>738</v>
      </c>
      <c r="BQ969" t="s" s="0">
        <v>20853</v>
      </c>
      <c r="BR969" t="s" s="0">
        <v>20854</v>
      </c>
      <c r="BS969" t="s" s="0">
        <v>20855</v>
      </c>
      <c r="BT969" t="s" s="1928">
        <f>HYPERLINK("https://www.webofscience.com/wos/woscc/full-record/WOS:001845247400001","View Record in Web of Science")</f>
        <v>114</v>
      </c>
      <c r="BU969" t="s" s="0">
        <v>1055</v>
      </c>
      <c r="BV969" t="s" s="0">
        <v>81</v>
      </c>
      <c r="BW969" t="s" s="0">
        <v>81</v>
      </c>
      <c r="BX969" t="s" s="0">
        <v>116</v>
      </c>
    </row>
    <row r="970">
      <c r="A970" t="s" s="0">
        <v>77</v>
      </c>
      <c r="B970" t="s" s="0">
        <v>77</v>
      </c>
      <c r="C970" t="s" s="0">
        <v>77</v>
      </c>
      <c r="D970" t="s" s="0">
        <v>77</v>
      </c>
      <c r="E970" t="s" s="0">
        <v>20856</v>
      </c>
      <c r="F970" t="s" s="0">
        <v>20857</v>
      </c>
      <c r="G970" t="s" s="0">
        <v>20858</v>
      </c>
      <c r="H970" t="s" s="0">
        <v>81</v>
      </c>
      <c r="I970" t="s" s="0">
        <v>528</v>
      </c>
      <c r="J970" t="s" s="0">
        <v>20859</v>
      </c>
      <c r="K970" t="s" s="0">
        <v>20860</v>
      </c>
      <c r="L970" t="s" s="0">
        <v>81</v>
      </c>
      <c r="M970" t="s" s="0">
        <v>81</v>
      </c>
      <c r="N970" t="s" s="0">
        <v>81</v>
      </c>
      <c r="O970" t="s" s="0">
        <v>20861</v>
      </c>
      <c r="P970" t="s" s="0">
        <v>20862</v>
      </c>
      <c r="Q970" t="s" s="0">
        <v>87</v>
      </c>
      <c r="R970" t="s" s="0">
        <v>81</v>
      </c>
      <c r="S970" t="s" s="0">
        <v>81</v>
      </c>
      <c r="T970" t="s" s="0">
        <v>81</v>
      </c>
      <c r="U970" t="s" s="0">
        <v>81</v>
      </c>
      <c r="V970" t="s" s="0">
        <v>20863</v>
      </c>
      <c r="W970" t="s" s="0">
        <v>20864</v>
      </c>
      <c r="X970" t="s" s="0">
        <v>81</v>
      </c>
      <c r="Y970" t="s" s="0">
        <v>81</v>
      </c>
      <c r="Z970" t="s" s="0">
        <v>90</v>
      </c>
      <c r="AA970" t="s" s="0">
        <v>91</v>
      </c>
      <c r="AB970" t="s" s="0">
        <v>81</v>
      </c>
      <c r="AC970" t="s" s="0">
        <v>81</v>
      </c>
      <c r="AD970" t="s" s="0">
        <v>81</v>
      </c>
      <c r="AE970" t="s" s="0">
        <v>81</v>
      </c>
      <c r="AF970" t="s" s="0">
        <v>81</v>
      </c>
      <c r="AG970" t="s" s="0">
        <v>20865</v>
      </c>
      <c r="AH970" t="s" s="0">
        <v>81</v>
      </c>
      <c r="AI970" t="s" s="0">
        <v>20866</v>
      </c>
      <c r="AJ970" t="s" s="0">
        <v>81</v>
      </c>
      <c r="AK970" t="s" s="0">
        <v>81</v>
      </c>
      <c r="AL970" t="s" s="0">
        <v>221</v>
      </c>
      <c r="AM970" t="s" s="0">
        <v>97</v>
      </c>
      <c r="AN970" t="s" s="0">
        <v>97</v>
      </c>
      <c r="AO970" t="s" s="0">
        <v>381</v>
      </c>
      <c r="AP970" t="s" s="0">
        <v>381</v>
      </c>
      <c r="AQ970" t="s" s="0">
        <v>98</v>
      </c>
      <c r="AR970" t="s" s="0">
        <v>99</v>
      </c>
      <c r="AS970" t="s" s="0">
        <v>100</v>
      </c>
      <c r="AT970" t="s" s="0">
        <v>20867</v>
      </c>
      <c r="AU970" t="s" s="0">
        <v>20868</v>
      </c>
      <c r="AV970" t="s" s="0">
        <v>81</v>
      </c>
      <c r="AW970" t="s" s="0">
        <v>20869</v>
      </c>
      <c r="AX970" t="s" s="0">
        <v>20870</v>
      </c>
      <c r="AY970" t="s" s="0">
        <v>103</v>
      </c>
      <c r="AZ970" t="s" s="0">
        <v>103</v>
      </c>
      <c r="BA970" t="s" s="0">
        <v>1837</v>
      </c>
      <c r="BB970" t="s" s="0">
        <v>81</v>
      </c>
      <c r="BC970" t="s" s="0">
        <v>81</v>
      </c>
      <c r="BD970" t="s" s="0">
        <v>81</v>
      </c>
      <c r="BE970" t="s" s="0">
        <v>81</v>
      </c>
      <c r="BF970" t="s" s="0">
        <v>81</v>
      </c>
      <c r="BG970" t="s" s="0">
        <v>20871</v>
      </c>
      <c r="BH970" t="s" s="0">
        <v>20872</v>
      </c>
      <c r="BI970" t="s" s="0">
        <v>81</v>
      </c>
      <c r="BJ970" t="s" s="0">
        <v>20873</v>
      </c>
      <c r="BK970" t="s" s="1929">
        <f>HYPERLINK("http://dx.doi.org/10.1109/TEM.2026.3675417","http://dx.doi.org/10.1109/TEM.2026.3675417")</f>
        <v>20874</v>
      </c>
      <c r="BL970" t="s" s="0">
        <v>81</v>
      </c>
      <c r="BM970" t="s" s="0">
        <v>81</v>
      </c>
      <c r="BN970" t="s" s="0">
        <v>134</v>
      </c>
      <c r="BO970" t="s" s="0">
        <v>20875</v>
      </c>
      <c r="BP970" t="s" s="0">
        <v>20876</v>
      </c>
      <c r="BQ970" t="s" s="0">
        <v>20877</v>
      </c>
      <c r="BR970" t="s" s="0">
        <v>81</v>
      </c>
      <c r="BS970" t="s" s="0">
        <v>20878</v>
      </c>
      <c r="BT970" t="s" s="1930">
        <f>HYPERLINK("https://www.webofscience.com/wos/woscc/full-record/WOS:001756744600006","View Record in Web of Science")</f>
        <v>114</v>
      </c>
      <c r="BU970" t="s" s="0">
        <v>81</v>
      </c>
      <c r="BV970" t="s" s="0">
        <v>81</v>
      </c>
      <c r="BW970" t="s" s="0">
        <v>81</v>
      </c>
      <c r="BX970" t="s" s="0">
        <v>116</v>
      </c>
    </row>
    <row r="971">
      <c r="A971" t="s" s="0">
        <v>77</v>
      </c>
      <c r="B971" t="s" s="0">
        <v>77</v>
      </c>
      <c r="C971" t="s" s="0">
        <v>77</v>
      </c>
      <c r="D971" t="s" s="0">
        <v>77</v>
      </c>
      <c r="E971" t="s" s="0">
        <v>20879</v>
      </c>
      <c r="F971" t="s" s="0">
        <v>20880</v>
      </c>
      <c r="G971" t="s" s="0">
        <v>20881</v>
      </c>
      <c r="H971" t="s" s="0">
        <v>81</v>
      </c>
      <c r="I971" t="s" s="0">
        <v>82</v>
      </c>
      <c r="J971" t="s" s="0">
        <v>20882</v>
      </c>
      <c r="K971" t="s" s="0">
        <v>20883</v>
      </c>
      <c r="L971" t="s" s="0">
        <v>81</v>
      </c>
      <c r="M971" t="s" s="0">
        <v>81</v>
      </c>
      <c r="N971" t="s" s="0">
        <v>81</v>
      </c>
      <c r="O971" t="s" s="0">
        <v>20884</v>
      </c>
      <c r="P971" t="s" s="0">
        <v>20885</v>
      </c>
      <c r="Q971" t="s" s="0">
        <v>87</v>
      </c>
      <c r="R971" t="s" s="0">
        <v>81</v>
      </c>
      <c r="S971" t="s" s="0">
        <v>81</v>
      </c>
      <c r="T971" t="s" s="0">
        <v>81</v>
      </c>
      <c r="U971" t="s" s="0">
        <v>81</v>
      </c>
      <c r="V971" t="s" s="0">
        <v>20886</v>
      </c>
      <c r="W971" t="s" s="0">
        <v>1701</v>
      </c>
      <c r="X971" t="s" s="0">
        <v>81</v>
      </c>
      <c r="Y971" t="s" s="0">
        <v>81</v>
      </c>
      <c r="Z971" t="s" s="0">
        <v>90</v>
      </c>
      <c r="AA971" t="s" s="0">
        <v>91</v>
      </c>
      <c r="AB971" t="s" s="0">
        <v>81</v>
      </c>
      <c r="AC971" t="s" s="0">
        <v>81</v>
      </c>
      <c r="AD971" t="s" s="0">
        <v>81</v>
      </c>
      <c r="AE971" t="s" s="0">
        <v>81</v>
      </c>
      <c r="AF971" t="s" s="0">
        <v>81</v>
      </c>
      <c r="AG971" t="s" s="0">
        <v>20887</v>
      </c>
      <c r="AH971" t="s" s="0">
        <v>81</v>
      </c>
      <c r="AI971" t="s" s="0">
        <v>81</v>
      </c>
      <c r="AJ971" t="s" s="0">
        <v>81</v>
      </c>
      <c r="AK971" t="s" s="0">
        <v>81</v>
      </c>
      <c r="AL971" t="s" s="0">
        <v>4518</v>
      </c>
      <c r="AM971" t="s" s="0">
        <v>133</v>
      </c>
      <c r="AN971" t="s" s="0">
        <v>381</v>
      </c>
      <c r="AO971" t="s" s="0">
        <v>228</v>
      </c>
      <c r="AP971" t="s" s="0">
        <v>1635</v>
      </c>
      <c r="AQ971" t="s" s="0">
        <v>212</v>
      </c>
      <c r="AR971" t="s" s="0">
        <v>429</v>
      </c>
      <c r="AS971" t="s" s="0">
        <v>784</v>
      </c>
      <c r="AT971" t="s" s="0">
        <v>1707</v>
      </c>
      <c r="AU971" t="s" s="0">
        <v>1708</v>
      </c>
      <c r="AV971" t="s" s="0">
        <v>81</v>
      </c>
      <c r="AW971" t="s" s="0">
        <v>1709</v>
      </c>
      <c r="AX971" t="s" s="0">
        <v>1710</v>
      </c>
      <c r="AY971" t="s" s="0">
        <v>20003</v>
      </c>
      <c r="AZ971" t="s" s="0">
        <v>103</v>
      </c>
      <c r="BA971" t="s" s="0">
        <v>109</v>
      </c>
      <c r="BB971" t="s" s="0">
        <v>97</v>
      </c>
      <c r="BC971" t="s" s="0">
        <v>81</v>
      </c>
      <c r="BD971" t="s" s="0">
        <v>81</v>
      </c>
      <c r="BE971" t="s" s="0">
        <v>81</v>
      </c>
      <c r="BF971" t="s" s="0">
        <v>81</v>
      </c>
      <c r="BG971" t="s" s="0">
        <v>81</v>
      </c>
      <c r="BH971" t="s" s="0">
        <v>81</v>
      </c>
      <c r="BI971" t="s" s="0">
        <v>135</v>
      </c>
      <c r="BJ971" t="s" s="0">
        <v>20888</v>
      </c>
      <c r="BK971" t="s" s="1931">
        <f>HYPERLINK("http://dx.doi.org/10.1007/s10207-025-01185-y","http://dx.doi.org/10.1007/s10207-025-01185-y")</f>
        <v>20889</v>
      </c>
      <c r="BL971" t="s" s="0">
        <v>81</v>
      </c>
      <c r="BM971" t="s" s="0">
        <v>81</v>
      </c>
      <c r="BN971" t="s" s="0">
        <v>253</v>
      </c>
      <c r="BO971" t="s" s="0">
        <v>1715</v>
      </c>
      <c r="BP971" t="s" s="0">
        <v>152</v>
      </c>
      <c r="BQ971" t="s" s="0">
        <v>20890</v>
      </c>
      <c r="BR971" t="s" s="0">
        <v>81</v>
      </c>
      <c r="BS971" t="s" s="0">
        <v>20891</v>
      </c>
      <c r="BT971" t="s" s="1932">
        <f>HYPERLINK("https://www.webofscience.com/wos/woscc/full-record/WOS:001652966400001","View Record in Web of Science")</f>
        <v>114</v>
      </c>
      <c r="BU971" t="s" s="0">
        <v>81</v>
      </c>
      <c r="BV971" t="s" s="0">
        <v>81</v>
      </c>
      <c r="BW971" t="s" s="0">
        <v>81</v>
      </c>
      <c r="BX971" t="s" s="0">
        <v>116</v>
      </c>
    </row>
    <row r="972">
      <c r="A972" t="s" s="0">
        <v>77</v>
      </c>
      <c r="B972" t="s" s="0">
        <v>77</v>
      </c>
      <c r="C972" t="s" s="0">
        <v>77</v>
      </c>
      <c r="D972" t="s" s="0">
        <v>77</v>
      </c>
      <c r="E972" t="s" s="0">
        <v>20892</v>
      </c>
      <c r="F972" t="s" s="0">
        <v>20893</v>
      </c>
      <c r="G972" t="s" s="0">
        <v>20894</v>
      </c>
      <c r="H972" t="s" s="0">
        <v>81</v>
      </c>
      <c r="I972" t="s" s="0">
        <v>589</v>
      </c>
      <c r="J972" t="s" s="0">
        <v>20895</v>
      </c>
      <c r="K972" t="s" s="0">
        <v>20896</v>
      </c>
      <c r="L972" t="s" s="0">
        <v>81</v>
      </c>
      <c r="M972" t="s" s="0">
        <v>81</v>
      </c>
      <c r="N972" t="s" s="0">
        <v>81</v>
      </c>
      <c r="O972" t="s" s="0">
        <v>20897</v>
      </c>
      <c r="P972" t="s" s="0">
        <v>20898</v>
      </c>
      <c r="Q972" t="s" s="0">
        <v>87</v>
      </c>
      <c r="R972" t="s" s="0">
        <v>81</v>
      </c>
      <c r="S972" t="s" s="0">
        <v>81</v>
      </c>
      <c r="T972" t="s" s="0">
        <v>81</v>
      </c>
      <c r="U972" t="s" s="0">
        <v>81</v>
      </c>
      <c r="V972" t="s" s="0">
        <v>20899</v>
      </c>
      <c r="W972" t="s" s="0">
        <v>20900</v>
      </c>
      <c r="X972" t="s" s="0">
        <v>81</v>
      </c>
      <c r="Y972" t="s" s="0">
        <v>81</v>
      </c>
      <c r="Z972" t="s" s="0">
        <v>90</v>
      </c>
      <c r="AA972" t="s" s="0">
        <v>1581</v>
      </c>
      <c r="AB972" t="s" s="0">
        <v>81</v>
      </c>
      <c r="AC972" t="s" s="0">
        <v>81</v>
      </c>
      <c r="AD972" t="s" s="0">
        <v>81</v>
      </c>
      <c r="AE972" t="s" s="0">
        <v>81</v>
      </c>
      <c r="AF972" t="s" s="0">
        <v>81</v>
      </c>
      <c r="AG972" t="s" s="0">
        <v>20901</v>
      </c>
      <c r="AH972" t="s" s="0">
        <v>20902</v>
      </c>
      <c r="AI972" t="s" s="0">
        <v>20903</v>
      </c>
      <c r="AJ972" t="s" s="0">
        <v>20904</v>
      </c>
      <c r="AK972" t="s" s="0">
        <v>81</v>
      </c>
      <c r="AL972" t="s" s="0">
        <v>1561</v>
      </c>
      <c r="AM972" t="s" s="0">
        <v>77</v>
      </c>
      <c r="AN972" t="s" s="0">
        <v>77</v>
      </c>
      <c r="AO972" t="s" s="0">
        <v>176</v>
      </c>
      <c r="AP972" t="s" s="0">
        <v>176</v>
      </c>
      <c r="AQ972" t="s" s="0">
        <v>5049</v>
      </c>
      <c r="AR972" t="s" s="0">
        <v>5050</v>
      </c>
      <c r="AS972" t="s" s="0">
        <v>5051</v>
      </c>
      <c r="AT972" t="s" s="0">
        <v>20905</v>
      </c>
      <c r="AU972" t="s" s="0">
        <v>20906</v>
      </c>
      <c r="AV972" t="s" s="0">
        <v>81</v>
      </c>
      <c r="AW972" t="s" s="0">
        <v>20907</v>
      </c>
      <c r="AX972" t="s" s="0">
        <v>20908</v>
      </c>
      <c r="AY972" t="s" s="0">
        <v>81</v>
      </c>
      <c r="AZ972" t="s" s="0">
        <v>103</v>
      </c>
      <c r="BA972" t="s" s="0">
        <v>81</v>
      </c>
      <c r="BB972" t="s" s="0">
        <v>81</v>
      </c>
      <c r="BC972" t="s" s="0">
        <v>81</v>
      </c>
      <c r="BD972" t="s" s="0">
        <v>81</v>
      </c>
      <c r="BE972" t="s" s="0">
        <v>81</v>
      </c>
      <c r="BF972" t="s" s="0">
        <v>81</v>
      </c>
      <c r="BG972" t="s" s="0">
        <v>81</v>
      </c>
      <c r="BH972" t="s" s="0">
        <v>81</v>
      </c>
      <c r="BI972" t="s" s="0">
        <v>81</v>
      </c>
      <c r="BJ972" t="s" s="0">
        <v>20909</v>
      </c>
      <c r="BK972" t="s" s="1933">
        <f>HYPERLINK("http://dx.doi.org/10.1108/ITP-07-2025-1115","http://dx.doi.org/10.1108/ITP-07-2025-1115")</f>
        <v>20910</v>
      </c>
      <c r="BL972" t="s" s="0">
        <v>81</v>
      </c>
      <c r="BM972" t="s" s="0">
        <v>143</v>
      </c>
      <c r="BN972" t="s" s="0">
        <v>1635</v>
      </c>
      <c r="BO972" t="s" s="0">
        <v>8153</v>
      </c>
      <c r="BP972" t="s" s="0">
        <v>8153</v>
      </c>
      <c r="BQ972" t="s" s="0">
        <v>20911</v>
      </c>
      <c r="BR972" t="s" s="0">
        <v>81</v>
      </c>
      <c r="BS972" t="s" s="0">
        <v>20912</v>
      </c>
      <c r="BT972" t="s" s="1934">
        <f>HYPERLINK("https://www.webofscience.com/wos/woscc/full-record/WOS:001719141200001","View Record in Web of Science")</f>
        <v>114</v>
      </c>
      <c r="BU972" t="s" s="0">
        <v>81</v>
      </c>
      <c r="BV972" t="s" s="0">
        <v>81</v>
      </c>
      <c r="BW972" t="s" s="0">
        <v>81</v>
      </c>
      <c r="BX972" t="s" s="0">
        <v>116</v>
      </c>
    </row>
    <row r="973">
      <c r="A973" t="s" s="0">
        <v>77</v>
      </c>
      <c r="B973" t="s" s="0">
        <v>77</v>
      </c>
      <c r="C973" t="s" s="0">
        <v>77</v>
      </c>
      <c r="D973" t="s" s="0">
        <v>77</v>
      </c>
      <c r="E973" t="s" s="0">
        <v>20913</v>
      </c>
      <c r="F973" t="s" s="0">
        <v>20914</v>
      </c>
      <c r="G973" t="s" s="0">
        <v>20915</v>
      </c>
      <c r="H973" t="s" s="0">
        <v>81</v>
      </c>
      <c r="I973" t="s" s="0">
        <v>589</v>
      </c>
      <c r="J973" t="s" s="0">
        <v>20916</v>
      </c>
      <c r="K973" t="s" s="0">
        <v>20917</v>
      </c>
      <c r="L973" t="s" s="0">
        <v>81</v>
      </c>
      <c r="M973" t="s" s="0">
        <v>81</v>
      </c>
      <c r="N973" t="s" s="0">
        <v>81</v>
      </c>
      <c r="O973" t="s" s="0">
        <v>20918</v>
      </c>
      <c r="P973" t="s" s="0">
        <v>20919</v>
      </c>
      <c r="Q973" t="s" s="0">
        <v>87</v>
      </c>
      <c r="R973" t="s" s="0">
        <v>81</v>
      </c>
      <c r="S973" t="s" s="0">
        <v>81</v>
      </c>
      <c r="T973" t="s" s="0">
        <v>81</v>
      </c>
      <c r="U973" t="s" s="0">
        <v>81</v>
      </c>
      <c r="V973" t="s" s="0">
        <v>20920</v>
      </c>
      <c r="W973" t="s" s="0">
        <v>20921</v>
      </c>
      <c r="X973" t="s" s="0">
        <v>81</v>
      </c>
      <c r="Y973" t="s" s="0">
        <v>81</v>
      </c>
      <c r="Z973" t="s" s="0">
        <v>90</v>
      </c>
      <c r="AA973" t="s" s="0">
        <v>91</v>
      </c>
      <c r="AB973" t="s" s="0">
        <v>81</v>
      </c>
      <c r="AC973" t="s" s="0">
        <v>81</v>
      </c>
      <c r="AD973" t="s" s="0">
        <v>81</v>
      </c>
      <c r="AE973" t="s" s="0">
        <v>81</v>
      </c>
      <c r="AF973" t="s" s="0">
        <v>81</v>
      </c>
      <c r="AG973" t="s" s="0">
        <v>20922</v>
      </c>
      <c r="AH973" t="s" s="0">
        <v>81</v>
      </c>
      <c r="AI973" t="s" s="0">
        <v>81</v>
      </c>
      <c r="AJ973" t="s" s="0">
        <v>81</v>
      </c>
      <c r="AK973" t="s" s="0">
        <v>81</v>
      </c>
      <c r="AL973" t="s" s="0">
        <v>210</v>
      </c>
      <c r="AM973" t="s" s="0">
        <v>97</v>
      </c>
      <c r="AN973" t="s" s="0">
        <v>97</v>
      </c>
      <c r="AO973" t="s" s="0">
        <v>196</v>
      </c>
      <c r="AP973" t="s" s="0">
        <v>196</v>
      </c>
      <c r="AQ973" t="s" s="0">
        <v>20923</v>
      </c>
      <c r="AR973" t="s" s="0">
        <v>20924</v>
      </c>
      <c r="AS973" t="s" s="0">
        <v>20925</v>
      </c>
      <c r="AT973" t="s" s="0">
        <v>20926</v>
      </c>
      <c r="AU973" t="s" s="0">
        <v>20927</v>
      </c>
      <c r="AV973" t="s" s="0">
        <v>81</v>
      </c>
      <c r="AW973" t="s" s="0">
        <v>20928</v>
      </c>
      <c r="AX973" t="s" s="0">
        <v>20929</v>
      </c>
      <c r="AY973" t="s" s="0">
        <v>2353</v>
      </c>
      <c r="AZ973" t="s" s="0">
        <v>290</v>
      </c>
      <c r="BA973" t="s" s="0">
        <v>890</v>
      </c>
      <c r="BB973" t="s" s="0">
        <v>81</v>
      </c>
      <c r="BC973" t="s" s="0">
        <v>81</v>
      </c>
      <c r="BD973" t="s" s="0">
        <v>81</v>
      </c>
      <c r="BE973" t="s" s="0">
        <v>134</v>
      </c>
      <c r="BF973" t="s" s="0">
        <v>81</v>
      </c>
      <c r="BG973" t="s" s="0">
        <v>81</v>
      </c>
      <c r="BH973" t="s" s="0">
        <v>81</v>
      </c>
      <c r="BI973" t="s" s="0">
        <v>4518</v>
      </c>
      <c r="BJ973" t="s" s="0">
        <v>20930</v>
      </c>
      <c r="BK973" t="s" s="1935">
        <f>HYPERLINK("http://dx.doi.org/10.29063/ajrh2025/v29i12s.9","http://dx.doi.org/10.29063/ajrh2025/v29i12s.9")</f>
        <v>20931</v>
      </c>
      <c r="BL973" t="s" s="0">
        <v>81</v>
      </c>
      <c r="BM973" t="s" s="0">
        <v>81</v>
      </c>
      <c r="BN973" t="s" s="0">
        <v>234</v>
      </c>
      <c r="BO973" t="s" s="0">
        <v>850</v>
      </c>
      <c r="BP973" t="s" s="0">
        <v>850</v>
      </c>
      <c r="BQ973" t="s" s="0">
        <v>20932</v>
      </c>
      <c r="BR973" t="s" s="0">
        <v>20933</v>
      </c>
      <c r="BS973" t="s" s="0">
        <v>20934</v>
      </c>
      <c r="BT973" t="s" s="1936">
        <f>HYPERLINK("https://www.webofscience.com/wos/woscc/full-record/WOS:001667179800004","View Record in Web of Science")</f>
        <v>114</v>
      </c>
      <c r="BU973" t="s" s="0">
        <v>115</v>
      </c>
      <c r="BV973" t="s" s="0">
        <v>81</v>
      </c>
      <c r="BW973" t="s" s="0">
        <v>81</v>
      </c>
      <c r="BX973" t="s" s="0">
        <v>116</v>
      </c>
    </row>
    <row r="974">
      <c r="A974" t="s" s="0">
        <v>77</v>
      </c>
      <c r="B974" t="s" s="0">
        <v>77</v>
      </c>
      <c r="C974" t="s" s="0">
        <v>97</v>
      </c>
      <c r="D974" t="s" s="0">
        <v>77</v>
      </c>
      <c r="E974" t="s" s="0">
        <v>20935</v>
      </c>
      <c r="F974" t="s" s="0">
        <v>20936</v>
      </c>
      <c r="G974" t="s" s="0">
        <v>20937</v>
      </c>
      <c r="H974" t="s" s="0">
        <v>81</v>
      </c>
      <c r="I974" t="s" s="0">
        <v>238</v>
      </c>
      <c r="J974" t="s" s="0">
        <v>20938</v>
      </c>
      <c r="K974" t="s" s="0">
        <v>20939</v>
      </c>
      <c r="L974" t="s" s="0">
        <v>81</v>
      </c>
      <c r="M974" t="s" s="0">
        <v>81</v>
      </c>
      <c r="N974" t="s" s="0">
        <v>81</v>
      </c>
      <c r="O974" t="s" s="0">
        <v>20940</v>
      </c>
      <c r="P974" t="s" s="0">
        <v>20941</v>
      </c>
      <c r="Q974" t="s" s="0">
        <v>87</v>
      </c>
      <c r="R974" t="s" s="0">
        <v>81</v>
      </c>
      <c r="S974" t="s" s="0">
        <v>81</v>
      </c>
      <c r="T974" t="s" s="0">
        <v>81</v>
      </c>
      <c r="U974" t="s" s="0">
        <v>81</v>
      </c>
      <c r="V974" t="s" s="0">
        <v>20942</v>
      </c>
      <c r="W974" t="s" s="0">
        <v>20943</v>
      </c>
      <c r="X974" t="s" s="0">
        <v>81</v>
      </c>
      <c r="Y974" t="s" s="0">
        <v>81</v>
      </c>
      <c r="Z974" t="s" s="0">
        <v>90</v>
      </c>
      <c r="AA974" t="s" s="0">
        <v>91</v>
      </c>
      <c r="AB974" t="s" s="0">
        <v>81</v>
      </c>
      <c r="AC974" t="s" s="0">
        <v>81</v>
      </c>
      <c r="AD974" t="s" s="0">
        <v>81</v>
      </c>
      <c r="AE974" t="s" s="0">
        <v>81</v>
      </c>
      <c r="AF974" t="s" s="0">
        <v>81</v>
      </c>
      <c r="AG974" t="s" s="0">
        <v>20944</v>
      </c>
      <c r="AH974" t="s" s="0">
        <v>20945</v>
      </c>
      <c r="AI974" t="s" s="0">
        <v>20946</v>
      </c>
      <c r="AJ974" t="s" s="0">
        <v>20947</v>
      </c>
      <c r="AK974" t="s" s="0">
        <v>81</v>
      </c>
      <c r="AL974" t="s" s="0">
        <v>405</v>
      </c>
      <c r="AM974" t="s" s="0">
        <v>156</v>
      </c>
      <c r="AN974" t="s" s="0">
        <v>156</v>
      </c>
      <c r="AO974" t="s" s="0">
        <v>77</v>
      </c>
      <c r="AP974" t="s" s="0">
        <v>77</v>
      </c>
      <c r="AQ974" t="s" s="0">
        <v>284</v>
      </c>
      <c r="AR974" t="s" s="0">
        <v>285</v>
      </c>
      <c r="AS974" t="s" s="0">
        <v>286</v>
      </c>
      <c r="AT974" t="s" s="0">
        <v>81</v>
      </c>
      <c r="AU974" t="s" s="0">
        <v>20948</v>
      </c>
      <c r="AV974" t="s" s="0">
        <v>81</v>
      </c>
      <c r="AW974" t="s" s="0">
        <v>20943</v>
      </c>
      <c r="AX974" t="s" s="0">
        <v>20949</v>
      </c>
      <c r="AY974" t="s" s="0">
        <v>20950</v>
      </c>
      <c r="AZ974" t="s" s="0">
        <v>260</v>
      </c>
      <c r="BA974" t="s" s="0">
        <v>196</v>
      </c>
      <c r="BB974" t="s" s="0">
        <v>175</v>
      </c>
      <c r="BC974" t="s" s="0">
        <v>81</v>
      </c>
      <c r="BD974" t="s" s="0">
        <v>81</v>
      </c>
      <c r="BE974" t="s" s="0">
        <v>81</v>
      </c>
      <c r="BF974" t="s" s="0">
        <v>81</v>
      </c>
      <c r="BG974" t="s" s="0">
        <v>20951</v>
      </c>
      <c r="BH974" t="s" s="0">
        <v>20952</v>
      </c>
      <c r="BI974" t="s" s="0">
        <v>81</v>
      </c>
      <c r="BJ974" t="s" s="0">
        <v>20953</v>
      </c>
      <c r="BK974" t="s" s="1937">
        <f>HYPERLINK("http://dx.doi.org/10.3390/biomedinformatics3040062","http://dx.doi.org/10.3390/biomedinformatics3040062")</f>
        <v>20954</v>
      </c>
      <c r="BL974" t="s" s="0">
        <v>81</v>
      </c>
      <c r="BM974" t="s" s="0">
        <v>81</v>
      </c>
      <c r="BN974" t="s" s="0">
        <v>295</v>
      </c>
      <c r="BO974" t="s" s="0">
        <v>20955</v>
      </c>
      <c r="BP974" t="s" s="0">
        <v>20955</v>
      </c>
      <c r="BQ974" t="s" s="0">
        <v>20956</v>
      </c>
      <c r="BR974" t="s" s="0">
        <v>81</v>
      </c>
      <c r="BS974" t="s" s="0">
        <v>20957</v>
      </c>
      <c r="BT974" t="s" s="1938">
        <f>HYPERLINK("https://www.webofscience.com/wos/woscc/full-record/WOS:001644192800001","View Record in Web of Science")</f>
        <v>114</v>
      </c>
      <c r="BU974" t="s" s="0">
        <v>301</v>
      </c>
      <c r="BV974" t="s" s="0">
        <v>81</v>
      </c>
      <c r="BW974" t="s" s="0">
        <v>81</v>
      </c>
      <c r="BX974" t="s" s="0">
        <v>116</v>
      </c>
    </row>
    <row r="975">
      <c r="A975" t="s" s="0">
        <v>77</v>
      </c>
      <c r="B975" t="s" s="0">
        <v>77</v>
      </c>
      <c r="C975" t="s" s="0">
        <v>77</v>
      </c>
      <c r="D975" t="s" s="0">
        <v>77</v>
      </c>
      <c r="E975" t="s" s="0">
        <v>20958</v>
      </c>
      <c r="F975" t="s" s="0">
        <v>20959</v>
      </c>
      <c r="G975" t="s" s="0">
        <v>20960</v>
      </c>
      <c r="H975" t="s" s="0">
        <v>81</v>
      </c>
      <c r="I975" t="s" s="0">
        <v>528</v>
      </c>
      <c r="J975" t="s" s="0">
        <v>20961</v>
      </c>
      <c r="K975" t="s" s="0">
        <v>20962</v>
      </c>
      <c r="L975" t="s" s="0">
        <v>20963</v>
      </c>
      <c r="M975" t="s" s="0">
        <v>419</v>
      </c>
      <c r="N975" t="s" s="0">
        <v>20964</v>
      </c>
      <c r="O975" t="s" s="0">
        <v>20965</v>
      </c>
      <c r="P975" t="s" s="0">
        <v>20966</v>
      </c>
      <c r="Q975" t="s" s="0">
        <v>87</v>
      </c>
      <c r="R975" t="s" s="0">
        <v>81</v>
      </c>
      <c r="S975" t="s" s="0">
        <v>81</v>
      </c>
      <c r="T975" t="s" s="0">
        <v>81</v>
      </c>
      <c r="U975" t="s" s="0">
        <v>81</v>
      </c>
      <c r="V975" t="s" s="0">
        <v>20967</v>
      </c>
      <c r="W975" t="s" s="0">
        <v>18788</v>
      </c>
      <c r="X975" t="s" s="0">
        <v>81</v>
      </c>
      <c r="Y975" t="s" s="0">
        <v>81</v>
      </c>
      <c r="Z975" t="s" s="0">
        <v>90</v>
      </c>
      <c r="AA975" t="s" s="0">
        <v>91</v>
      </c>
      <c r="AB975" t="s" s="0">
        <v>81</v>
      </c>
      <c r="AC975" t="s" s="0">
        <v>81</v>
      </c>
      <c r="AD975" t="s" s="0">
        <v>81</v>
      </c>
      <c r="AE975" t="s" s="0">
        <v>81</v>
      </c>
      <c r="AF975" t="s" s="0">
        <v>81</v>
      </c>
      <c r="AG975" t="s" s="0">
        <v>20968</v>
      </c>
      <c r="AH975" t="s" s="0">
        <v>20969</v>
      </c>
      <c r="AI975" t="s" s="0">
        <v>20970</v>
      </c>
      <c r="AJ975" t="s" s="0">
        <v>20971</v>
      </c>
      <c r="AK975" t="s" s="0">
        <v>81</v>
      </c>
      <c r="AL975" t="s" s="0">
        <v>543</v>
      </c>
      <c r="AM975" t="s" s="0">
        <v>196</v>
      </c>
      <c r="AN975" t="s" s="0">
        <v>196</v>
      </c>
      <c r="AO975" t="s" s="0">
        <v>196</v>
      </c>
      <c r="AP975" t="s" s="0">
        <v>175</v>
      </c>
      <c r="AQ975" t="s" s="0">
        <v>665</v>
      </c>
      <c r="AR975" t="s" s="0">
        <v>546</v>
      </c>
      <c r="AS975" t="s" s="0">
        <v>666</v>
      </c>
      <c r="AT975" t="s" s="0">
        <v>81</v>
      </c>
      <c r="AU975" t="s" s="0">
        <v>18792</v>
      </c>
      <c r="AV975" t="s" s="0">
        <v>81</v>
      </c>
      <c r="AW975" t="s" s="0">
        <v>18793</v>
      </c>
      <c r="AX975" t="s" s="0">
        <v>18794</v>
      </c>
      <c r="AY975" t="s" s="0">
        <v>20972</v>
      </c>
      <c r="AZ975" t="s" s="0">
        <v>103</v>
      </c>
      <c r="BA975" t="s" s="0">
        <v>228</v>
      </c>
      <c r="BB975" t="s" s="0">
        <v>97</v>
      </c>
      <c r="BC975" t="s" s="0">
        <v>81</v>
      </c>
      <c r="BD975" t="s" s="0">
        <v>81</v>
      </c>
      <c r="BE975" t="s" s="0">
        <v>81</v>
      </c>
      <c r="BF975" t="s" s="0">
        <v>81</v>
      </c>
      <c r="BG975" t="s" s="0">
        <v>81</v>
      </c>
      <c r="BH975" t="s" s="0">
        <v>81</v>
      </c>
      <c r="BI975" t="s" s="0">
        <v>9613</v>
      </c>
      <c r="BJ975" t="s" s="0">
        <v>20973</v>
      </c>
      <c r="BK975" t="s" s="1939">
        <f>HYPERLINK("http://dx.doi.org/10.1186/s12909-025-08524-6","http://dx.doi.org/10.1186/s12909-025-08524-6")</f>
        <v>20974</v>
      </c>
      <c r="BL975" t="s" s="0">
        <v>81</v>
      </c>
      <c r="BM975" t="s" s="0">
        <v>81</v>
      </c>
      <c r="BN975" t="s" s="0">
        <v>381</v>
      </c>
      <c r="BO975" t="s" s="0">
        <v>18799</v>
      </c>
      <c r="BP975" t="s" s="0">
        <v>6068</v>
      </c>
      <c r="BQ975" t="s" s="0">
        <v>20975</v>
      </c>
      <c r="BR975" t="s" s="0">
        <v>20976</v>
      </c>
      <c r="BS975" t="s" s="0">
        <v>20977</v>
      </c>
      <c r="BT975" t="s" s="1940">
        <f>HYPERLINK("https://www.webofscience.com/wos/woscc/full-record/WOS:001678942300002","View Record in Web of Science")</f>
        <v>114</v>
      </c>
      <c r="BU975" t="s" s="0">
        <v>301</v>
      </c>
      <c r="BV975" t="s" s="0">
        <v>81</v>
      </c>
      <c r="BW975" t="s" s="0">
        <v>81</v>
      </c>
      <c r="BX975" t="s" s="0">
        <v>116</v>
      </c>
    </row>
    <row r="976">
      <c r="A976" t="s" s="0">
        <v>77</v>
      </c>
      <c r="B976" t="s" s="0">
        <v>77</v>
      </c>
      <c r="C976" t="s" s="0">
        <v>77</v>
      </c>
      <c r="D976" t="s" s="0">
        <v>77</v>
      </c>
      <c r="E976" t="s" s="0">
        <v>20978</v>
      </c>
      <c r="F976" t="s" s="0">
        <v>20979</v>
      </c>
      <c r="G976" t="s" s="0">
        <v>20980</v>
      </c>
      <c r="H976" t="s" s="0">
        <v>81</v>
      </c>
      <c r="I976" t="s" s="0">
        <v>589</v>
      </c>
      <c r="J976" t="s" s="0">
        <v>20981</v>
      </c>
      <c r="K976" t="s" s="0">
        <v>20982</v>
      </c>
      <c r="L976" t="s" s="0">
        <v>81</v>
      </c>
      <c r="M976" t="s" s="0">
        <v>81</v>
      </c>
      <c r="N976" t="s" s="0">
        <v>81</v>
      </c>
      <c r="O976" t="s" s="0">
        <v>20983</v>
      </c>
      <c r="P976" t="s" s="0">
        <v>20984</v>
      </c>
      <c r="Q976" t="s" s="0">
        <v>87</v>
      </c>
      <c r="R976" t="s" s="0">
        <v>81</v>
      </c>
      <c r="S976" t="s" s="0">
        <v>81</v>
      </c>
      <c r="T976" t="s" s="0">
        <v>81</v>
      </c>
      <c r="U976" t="s" s="0">
        <v>81</v>
      </c>
      <c r="V976" t="s" s="0">
        <v>20985</v>
      </c>
      <c r="W976" t="s" s="0">
        <v>20986</v>
      </c>
      <c r="X976" t="s" s="0">
        <v>81</v>
      </c>
      <c r="Y976" t="s" s="0">
        <v>81</v>
      </c>
      <c r="Z976" t="s" s="0">
        <v>90</v>
      </c>
      <c r="AA976" t="s" s="0">
        <v>91</v>
      </c>
      <c r="AB976" t="s" s="0">
        <v>81</v>
      </c>
      <c r="AC976" t="s" s="0">
        <v>81</v>
      </c>
      <c r="AD976" t="s" s="0">
        <v>81</v>
      </c>
      <c r="AE976" t="s" s="0">
        <v>81</v>
      </c>
      <c r="AF976" t="s" s="0">
        <v>81</v>
      </c>
      <c r="AG976" t="s" s="0">
        <v>20987</v>
      </c>
      <c r="AH976" t="s" s="0">
        <v>20988</v>
      </c>
      <c r="AI976" t="s" s="0">
        <v>20989</v>
      </c>
      <c r="AJ976" t="s" s="0">
        <v>20990</v>
      </c>
      <c r="AK976" t="s" s="0">
        <v>81</v>
      </c>
      <c r="AL976" t="s" s="0">
        <v>20991</v>
      </c>
      <c r="AM976" t="s" s="0">
        <v>156</v>
      </c>
      <c r="AN976" t="s" s="0">
        <v>156</v>
      </c>
      <c r="AO976" t="s" s="0">
        <v>135</v>
      </c>
      <c r="AP976" t="s" s="0">
        <v>1912</v>
      </c>
      <c r="AQ976" t="s" s="0">
        <v>5049</v>
      </c>
      <c r="AR976" t="s" s="0">
        <v>5050</v>
      </c>
      <c r="AS976" t="s" s="0">
        <v>5051</v>
      </c>
      <c r="AT976" t="s" s="0">
        <v>20992</v>
      </c>
      <c r="AU976" t="s" s="0">
        <v>81</v>
      </c>
      <c r="AV976" t="s" s="0">
        <v>81</v>
      </c>
      <c r="AW976" t="s" s="0">
        <v>20993</v>
      </c>
      <c r="AX976" t="s" s="0">
        <v>20994</v>
      </c>
      <c r="AY976" t="s" s="0">
        <v>19100</v>
      </c>
      <c r="AZ976" t="s" s="0">
        <v>103</v>
      </c>
      <c r="BA976" t="s" s="0">
        <v>1635</v>
      </c>
      <c r="BB976" t="s" s="0">
        <v>196</v>
      </c>
      <c r="BC976" t="s" s="0">
        <v>81</v>
      </c>
      <c r="BD976" t="s" s="0">
        <v>81</v>
      </c>
      <c r="BE976" t="s" s="0">
        <v>81</v>
      </c>
      <c r="BF976" t="s" s="0">
        <v>81</v>
      </c>
      <c r="BG976" t="s" s="0">
        <v>20995</v>
      </c>
      <c r="BH976" t="s" s="0">
        <v>20996</v>
      </c>
      <c r="BI976" t="s" s="0">
        <v>81</v>
      </c>
      <c r="BJ976" t="s" s="0">
        <v>20997</v>
      </c>
      <c r="BK976" t="s" s="1941">
        <f>HYPERLINK("http://dx.doi.org/10.1108/JSTP-01-2025-0017","http://dx.doi.org/10.1108/JSTP-01-2025-0017")</f>
        <v>20998</v>
      </c>
      <c r="BL976" t="s" s="0">
        <v>81</v>
      </c>
      <c r="BM976" t="s" s="0">
        <v>1940</v>
      </c>
      <c r="BN976" t="s" s="0">
        <v>1254</v>
      </c>
      <c r="BO976" t="s" s="0">
        <v>18586</v>
      </c>
      <c r="BP976" t="s" s="0">
        <v>326</v>
      </c>
      <c r="BQ976" t="s" s="0">
        <v>20999</v>
      </c>
      <c r="BR976" t="s" s="0">
        <v>81</v>
      </c>
      <c r="BS976" t="s" s="0">
        <v>21000</v>
      </c>
      <c r="BT976" t="s" s="1942">
        <f>HYPERLINK("https://www.webofscience.com/wos/woscc/full-record/WOS:001651635700001","View Record in Web of Science")</f>
        <v>114</v>
      </c>
      <c r="BU976" t="s" s="0">
        <v>81</v>
      </c>
      <c r="BV976" t="s" s="0">
        <v>81</v>
      </c>
      <c r="BW976" t="s" s="0">
        <v>81</v>
      </c>
      <c r="BX976" t="s" s="0">
        <v>116</v>
      </c>
    </row>
    <row r="977">
      <c r="A977" t="s" s="0">
        <v>77</v>
      </c>
      <c r="B977" t="s" s="0">
        <v>77</v>
      </c>
      <c r="C977" t="s" s="0">
        <v>234</v>
      </c>
      <c r="D977" t="s" s="0">
        <v>77</v>
      </c>
      <c r="E977" t="s" s="0">
        <v>21001</v>
      </c>
      <c r="F977" t="s" s="0">
        <v>21002</v>
      </c>
      <c r="G977" t="s" s="0">
        <v>21003</v>
      </c>
      <c r="H977" t="s" s="0">
        <v>81</v>
      </c>
      <c r="I977" t="s" s="0">
        <v>82</v>
      </c>
      <c r="J977" t="s" s="0">
        <v>21004</v>
      </c>
      <c r="K977" t="s" s="0">
        <v>21005</v>
      </c>
      <c r="L977" t="s" s="0">
        <v>21006</v>
      </c>
      <c r="M977" t="s" s="0">
        <v>21006</v>
      </c>
      <c r="N977" t="s" s="0">
        <v>335</v>
      </c>
      <c r="O977" t="s" s="0">
        <v>21007</v>
      </c>
      <c r="P977" t="s" s="0">
        <v>21008</v>
      </c>
      <c r="Q977" t="s" s="0">
        <v>87</v>
      </c>
      <c r="R977" t="s" s="0">
        <v>81</v>
      </c>
      <c r="S977" t="s" s="0">
        <v>21009</v>
      </c>
      <c r="T977" t="s" s="0">
        <v>81</v>
      </c>
      <c r="U977" t="s" s="0">
        <v>81</v>
      </c>
      <c r="V977" t="s" s="0">
        <v>21010</v>
      </c>
      <c r="W977" t="s" s="0">
        <v>21011</v>
      </c>
      <c r="X977" t="s" s="0">
        <v>81</v>
      </c>
      <c r="Y977" t="s" s="0">
        <v>81</v>
      </c>
      <c r="Z977" t="s" s="0">
        <v>90</v>
      </c>
      <c r="AA977" t="s" s="0">
        <v>91</v>
      </c>
      <c r="AB977" t="s" s="0">
        <v>81</v>
      </c>
      <c r="AC977" t="s" s="0">
        <v>81</v>
      </c>
      <c r="AD977" t="s" s="0">
        <v>81</v>
      </c>
      <c r="AE977" t="s" s="0">
        <v>81</v>
      </c>
      <c r="AF977" t="s" s="0">
        <v>81</v>
      </c>
      <c r="AG977" t="s" s="0">
        <v>21012</v>
      </c>
      <c r="AH977" t="s" s="0">
        <v>21013</v>
      </c>
      <c r="AI977" t="s" s="0">
        <v>21014</v>
      </c>
      <c r="AJ977" t="s" s="0">
        <v>21015</v>
      </c>
      <c r="AK977" t="s" s="0">
        <v>81</v>
      </c>
      <c r="AL977" t="s" s="0">
        <v>756</v>
      </c>
      <c r="AM977" t="s" s="0">
        <v>399</v>
      </c>
      <c r="AN977" t="s" s="0">
        <v>756</v>
      </c>
      <c r="AO977" t="s" s="0">
        <v>234</v>
      </c>
      <c r="AP977" t="s" s="0">
        <v>343</v>
      </c>
      <c r="AQ977" t="s" s="0">
        <v>2208</v>
      </c>
      <c r="AR977" t="s" s="0">
        <v>2209</v>
      </c>
      <c r="AS977" t="s" s="0">
        <v>2210</v>
      </c>
      <c r="AT977" t="s" s="0">
        <v>21016</v>
      </c>
      <c r="AU977" t="s" s="0">
        <v>21017</v>
      </c>
      <c r="AV977" t="s" s="0">
        <v>81</v>
      </c>
      <c r="AW977" t="s" s="0">
        <v>21018</v>
      </c>
      <c r="AX977" t="s" s="0">
        <v>21019</v>
      </c>
      <c r="AY977" t="s" s="0">
        <v>6555</v>
      </c>
      <c r="AZ977" t="s" s="0">
        <v>185</v>
      </c>
      <c r="BA977" t="s" s="0">
        <v>17463</v>
      </c>
      <c r="BB977" t="s" s="0">
        <v>234</v>
      </c>
      <c r="BC977" t="s" s="0">
        <v>81</v>
      </c>
      <c r="BD977" t="s" s="0">
        <v>81</v>
      </c>
      <c r="BE977" t="s" s="0">
        <v>81</v>
      </c>
      <c r="BF977" t="s" s="0">
        <v>81</v>
      </c>
      <c r="BG977" t="s" s="0">
        <v>21020</v>
      </c>
      <c r="BH977" t="s" s="0">
        <v>21021</v>
      </c>
      <c r="BI977" t="s" s="0">
        <v>81</v>
      </c>
      <c r="BJ977" t="s" s="0">
        <v>21022</v>
      </c>
      <c r="BK977" t="s" s="1943">
        <f>HYPERLINK("http://dx.doi.org/10.1007/s00415-024-12328-x","http://dx.doi.org/10.1007/s00415-024-12328-x")</f>
        <v>21023</v>
      </c>
      <c r="BL977" t="s" s="0">
        <v>81</v>
      </c>
      <c r="BM977" t="s" s="0">
        <v>514</v>
      </c>
      <c r="BN977" t="s" s="0">
        <v>211</v>
      </c>
      <c r="BO977" t="s" s="0">
        <v>4009</v>
      </c>
      <c r="BP977" t="s" s="0">
        <v>2504</v>
      </c>
      <c r="BQ977" t="s" s="0">
        <v>21024</v>
      </c>
      <c r="BR977" t="s" s="0">
        <v>21025</v>
      </c>
      <c r="BS977" t="s" s="0">
        <v>21026</v>
      </c>
      <c r="BT977" t="s" s="1944">
        <f>HYPERLINK("https://www.webofscience.com/wos/woscc/full-record/WOS:001196952600003","View Record in Web of Science")</f>
        <v>114</v>
      </c>
      <c r="BU977" t="s" s="0">
        <v>155</v>
      </c>
      <c r="BV977" t="s" s="0">
        <v>81</v>
      </c>
      <c r="BW977" t="s" s="0">
        <v>81</v>
      </c>
      <c r="BX977" t="s" s="0">
        <v>116</v>
      </c>
    </row>
    <row r="978">
      <c r="A978" t="s" s="0">
        <v>77</v>
      </c>
      <c r="B978" t="s" s="0">
        <v>77</v>
      </c>
      <c r="C978" t="s" s="0">
        <v>77</v>
      </c>
      <c r="D978" t="s" s="0">
        <v>77</v>
      </c>
      <c r="E978" t="s" s="0">
        <v>21027</v>
      </c>
      <c r="F978" t="s" s="0">
        <v>21028</v>
      </c>
      <c r="G978" t="s" s="0">
        <v>21029</v>
      </c>
      <c r="H978" t="s" s="0">
        <v>81</v>
      </c>
      <c r="I978" t="s" s="0">
        <v>238</v>
      </c>
      <c r="J978" t="s" s="0">
        <v>21030</v>
      </c>
      <c r="K978" t="s" s="0">
        <v>14278</v>
      </c>
      <c r="L978" t="s" s="0">
        <v>21031</v>
      </c>
      <c r="M978" t="s" s="0">
        <v>21032</v>
      </c>
      <c r="N978" t="s" s="0">
        <v>21033</v>
      </c>
      <c r="O978" t="s" s="0">
        <v>21034</v>
      </c>
      <c r="P978" t="s" s="0">
        <v>21035</v>
      </c>
      <c r="Q978" t="s" s="0">
        <v>87</v>
      </c>
      <c r="R978" t="s" s="0">
        <v>81</v>
      </c>
      <c r="S978" t="s" s="0">
        <v>81</v>
      </c>
      <c r="T978" t="s" s="0">
        <v>81</v>
      </c>
      <c r="U978" t="s" s="0">
        <v>81</v>
      </c>
      <c r="V978" t="s" s="0">
        <v>21036</v>
      </c>
      <c r="W978" t="s" s="0">
        <v>13256</v>
      </c>
      <c r="X978" t="s" s="0">
        <v>81</v>
      </c>
      <c r="Y978" t="s" s="0">
        <v>81</v>
      </c>
      <c r="Z978" t="s" s="0">
        <v>90</v>
      </c>
      <c r="AA978" t="s" s="0">
        <v>91</v>
      </c>
      <c r="AB978" t="s" s="0">
        <v>81</v>
      </c>
      <c r="AC978" t="s" s="0">
        <v>81</v>
      </c>
      <c r="AD978" t="s" s="0">
        <v>81</v>
      </c>
      <c r="AE978" t="s" s="0">
        <v>81</v>
      </c>
      <c r="AF978" t="s" s="0">
        <v>81</v>
      </c>
      <c r="AG978" t="s" s="0">
        <v>21037</v>
      </c>
      <c r="AH978" t="s" s="0">
        <v>21038</v>
      </c>
      <c r="AI978" t="s" s="0">
        <v>21039</v>
      </c>
      <c r="AJ978" t="s" s="0">
        <v>21040</v>
      </c>
      <c r="AK978" t="s" s="0">
        <v>81</v>
      </c>
      <c r="AL978" t="s" s="0">
        <v>1607</v>
      </c>
      <c r="AM978" t="s" s="0">
        <v>175</v>
      </c>
      <c r="AN978" t="s" s="0">
        <v>133</v>
      </c>
      <c r="AO978" t="s" s="0">
        <v>97</v>
      </c>
      <c r="AP978" t="s" s="0">
        <v>133</v>
      </c>
      <c r="AQ978" t="s" s="0">
        <v>3061</v>
      </c>
      <c r="AR978" t="s" s="0">
        <v>3062</v>
      </c>
      <c r="AS978" t="s" s="0">
        <v>3063</v>
      </c>
      <c r="AT978" t="s" s="0">
        <v>81</v>
      </c>
      <c r="AU978" t="s" s="0">
        <v>13260</v>
      </c>
      <c r="AV978" t="s" s="0">
        <v>81</v>
      </c>
      <c r="AW978" t="s" s="0">
        <v>13256</v>
      </c>
      <c r="AX978" t="s" s="0">
        <v>13256</v>
      </c>
      <c r="AY978" t="s" s="0">
        <v>290</v>
      </c>
      <c r="AZ978" t="s" s="0">
        <v>290</v>
      </c>
      <c r="BA978" t="s" s="0">
        <v>175</v>
      </c>
      <c r="BB978" t="s" s="0">
        <v>81</v>
      </c>
      <c r="BC978" t="s" s="0">
        <v>81</v>
      </c>
      <c r="BD978" t="s" s="0">
        <v>81</v>
      </c>
      <c r="BE978" t="s" s="0">
        <v>81</v>
      </c>
      <c r="BF978" t="s" s="0">
        <v>81</v>
      </c>
      <c r="BG978" t="s" s="0">
        <v>81</v>
      </c>
      <c r="BH978" t="s" s="0">
        <v>81</v>
      </c>
      <c r="BI978" t="s" s="0">
        <v>21041</v>
      </c>
      <c r="BJ978" t="s" s="0">
        <v>21042</v>
      </c>
      <c r="BK978" t="s" s="1945">
        <f>HYPERLINK("http://dx.doi.org/10.2196/52270","http://dx.doi.org/10.2196/52270")</f>
        <v>21043</v>
      </c>
      <c r="BL978" t="s" s="0">
        <v>81</v>
      </c>
      <c r="BM978" t="s" s="0">
        <v>81</v>
      </c>
      <c r="BN978" t="s" s="0">
        <v>295</v>
      </c>
      <c r="BO978" t="s" s="0">
        <v>792</v>
      </c>
      <c r="BP978" t="s" s="0">
        <v>792</v>
      </c>
      <c r="BQ978" t="s" s="0">
        <v>21044</v>
      </c>
      <c r="BR978" t="s" s="0">
        <v>21045</v>
      </c>
      <c r="BS978" t="s" s="0">
        <v>21046</v>
      </c>
      <c r="BT978" t="s" s="1946">
        <f>HYPERLINK("https://www.webofscience.com/wos/woscc/full-record/WOS:001390452700001","View Record in Web of Science")</f>
        <v>114</v>
      </c>
      <c r="BU978" t="s" s="0">
        <v>301</v>
      </c>
      <c r="BV978" t="s" s="0">
        <v>81</v>
      </c>
      <c r="BW978" t="s" s="0">
        <v>81</v>
      </c>
      <c r="BX978" t="s" s="0">
        <v>116</v>
      </c>
    </row>
    <row r="979">
      <c r="A979" t="s" s="0">
        <v>77</v>
      </c>
      <c r="B979" t="s" s="0">
        <v>77</v>
      </c>
      <c r="C979" t="s" s="0">
        <v>77</v>
      </c>
      <c r="D979" t="s" s="0">
        <v>97</v>
      </c>
      <c r="E979" t="s" s="0">
        <v>21047</v>
      </c>
      <c r="F979" t="s" s="0">
        <v>21048</v>
      </c>
      <c r="G979" t="s" s="0">
        <v>21049</v>
      </c>
      <c r="H979" t="s" s="0">
        <v>81</v>
      </c>
      <c r="I979" t="s" s="0">
        <v>82</v>
      </c>
      <c r="J979" t="s" s="0">
        <v>21050</v>
      </c>
      <c r="K979" t="s" s="0">
        <v>21051</v>
      </c>
      <c r="L979" t="s" s="0">
        <v>21052</v>
      </c>
      <c r="M979" t="s" s="0">
        <v>21053</v>
      </c>
      <c r="N979" t="s" s="0">
        <v>21054</v>
      </c>
      <c r="O979" t="s" s="0">
        <v>21055</v>
      </c>
      <c r="P979" t="s" s="0">
        <v>21056</v>
      </c>
      <c r="Q979" t="s" s="0">
        <v>87</v>
      </c>
      <c r="R979" t="s" s="0">
        <v>81</v>
      </c>
      <c r="S979" t="s" s="0">
        <v>81</v>
      </c>
      <c r="T979" t="s" s="0">
        <v>81</v>
      </c>
      <c r="U979" t="s" s="0">
        <v>81</v>
      </c>
      <c r="V979" t="s" s="0">
        <v>21057</v>
      </c>
      <c r="W979" t="s" s="0">
        <v>21058</v>
      </c>
      <c r="X979" t="s" s="0">
        <v>81</v>
      </c>
      <c r="Y979" t="s" s="0">
        <v>81</v>
      </c>
      <c r="Z979" t="s" s="0">
        <v>90</v>
      </c>
      <c r="AA979" t="s" s="0">
        <v>91</v>
      </c>
      <c r="AB979" t="s" s="0">
        <v>81</v>
      </c>
      <c r="AC979" t="s" s="0">
        <v>81</v>
      </c>
      <c r="AD979" t="s" s="0">
        <v>81</v>
      </c>
      <c r="AE979" t="s" s="0">
        <v>81</v>
      </c>
      <c r="AF979" t="s" s="0">
        <v>81</v>
      </c>
      <c r="AG979" t="s" s="0">
        <v>21059</v>
      </c>
      <c r="AH979" t="s" s="0">
        <v>81</v>
      </c>
      <c r="AI979" t="s" s="0">
        <v>21060</v>
      </c>
      <c r="AJ979" t="s" s="0">
        <v>21061</v>
      </c>
      <c r="AK979" t="s" s="0">
        <v>81</v>
      </c>
      <c r="AL979" t="s" s="0">
        <v>228</v>
      </c>
      <c r="AM979" t="s" s="0">
        <v>196</v>
      </c>
      <c r="AN979" t="s" s="0">
        <v>175</v>
      </c>
      <c r="AO979" t="s" s="0">
        <v>156</v>
      </c>
      <c r="AP979" t="s" s="0">
        <v>234</v>
      </c>
      <c r="AQ979" t="s" s="0">
        <v>21062</v>
      </c>
      <c r="AR979" t="s" s="0">
        <v>21063</v>
      </c>
      <c r="AS979" t="s" s="0">
        <v>21064</v>
      </c>
      <c r="AT979" t="s" s="0">
        <v>21065</v>
      </c>
      <c r="AU979" t="s" s="0">
        <v>21066</v>
      </c>
      <c r="AV979" t="s" s="0">
        <v>81</v>
      </c>
      <c r="AW979" t="s" s="0">
        <v>21067</v>
      </c>
      <c r="AX979" t="s" s="0">
        <v>21068</v>
      </c>
      <c r="AY979" t="s" s="0">
        <v>190</v>
      </c>
      <c r="AZ979" t="s" s="0">
        <v>185</v>
      </c>
      <c r="BA979" t="s" s="0">
        <v>6271</v>
      </c>
      <c r="BB979" t="s" s="0">
        <v>97</v>
      </c>
      <c r="BC979" t="s" s="0">
        <v>81</v>
      </c>
      <c r="BD979" t="s" s="0">
        <v>81</v>
      </c>
      <c r="BE979" t="s" s="0">
        <v>81</v>
      </c>
      <c r="BF979" t="s" s="0">
        <v>81</v>
      </c>
      <c r="BG979" t="s" s="0">
        <v>3518</v>
      </c>
      <c r="BH979" t="s" s="0">
        <v>542</v>
      </c>
      <c r="BI979" t="s" s="0">
        <v>81</v>
      </c>
      <c r="BJ979" t="s" s="0">
        <v>21069</v>
      </c>
      <c r="BK979" t="s" s="1947">
        <f>HYPERLINK("http://dx.doi.org/10.23736/S2784-8671.23.07829-5","http://dx.doi.org/10.23736/S2784-8671.23.07829-5")</f>
        <v>21070</v>
      </c>
      <c r="BL979" t="s" s="0">
        <v>81</v>
      </c>
      <c r="BM979" t="s" s="0">
        <v>81</v>
      </c>
      <c r="BN979" t="s" s="0">
        <v>234</v>
      </c>
      <c r="BO979" t="s" s="0">
        <v>17843</v>
      </c>
      <c r="BP979" t="s" s="0">
        <v>17843</v>
      </c>
      <c r="BQ979" t="s" s="0">
        <v>21071</v>
      </c>
      <c r="BR979" t="s" s="0">
        <v>21072</v>
      </c>
      <c r="BS979" t="s" s="0">
        <v>21073</v>
      </c>
      <c r="BT979" t="s" s="1948">
        <f>HYPERLINK("https://www.webofscience.com/wos/woscc/full-record/WOS:001209125800011","View Record in Web of Science")</f>
        <v>114</v>
      </c>
      <c r="BU979" t="s" s="0">
        <v>233</v>
      </c>
      <c r="BV979" t="s" s="0">
        <v>81</v>
      </c>
      <c r="BW979" t="s" s="0">
        <v>81</v>
      </c>
      <c r="BX979" t="s" s="0">
        <v>116</v>
      </c>
    </row>
    <row r="980">
      <c r="A980" t="s" s="0">
        <v>77</v>
      </c>
      <c r="B980" t="s" s="0">
        <v>77</v>
      </c>
      <c r="C980" t="s" s="0">
        <v>77</v>
      </c>
      <c r="D980" t="s" s="0">
        <v>77</v>
      </c>
      <c r="E980" t="s" s="0">
        <v>21074</v>
      </c>
      <c r="F980" t="s" s="0">
        <v>21075</v>
      </c>
      <c r="G980" t="s" s="0">
        <v>21076</v>
      </c>
      <c r="H980" t="s" s="0">
        <v>81</v>
      </c>
      <c r="I980" t="s" s="0">
        <v>82</v>
      </c>
      <c r="J980" t="s" s="0">
        <v>21077</v>
      </c>
      <c r="K980" t="s" s="0">
        <v>21078</v>
      </c>
      <c r="L980" t="s" s="0">
        <v>81</v>
      </c>
      <c r="M980" t="s" s="0">
        <v>81</v>
      </c>
      <c r="N980" t="s" s="0">
        <v>81</v>
      </c>
      <c r="O980" t="s" s="0">
        <v>21079</v>
      </c>
      <c r="P980" t="s" s="0">
        <v>21080</v>
      </c>
      <c r="Q980" t="s" s="0">
        <v>87</v>
      </c>
      <c r="R980" t="s" s="0">
        <v>81</v>
      </c>
      <c r="S980" t="s" s="0">
        <v>81</v>
      </c>
      <c r="T980" t="s" s="0">
        <v>81</v>
      </c>
      <c r="U980" t="s" s="0">
        <v>81</v>
      </c>
      <c r="V980" t="s" s="0">
        <v>21081</v>
      </c>
      <c r="W980" t="s" s="0">
        <v>4446</v>
      </c>
      <c r="X980" t="s" s="0">
        <v>81</v>
      </c>
      <c r="Y980" t="s" s="0">
        <v>81</v>
      </c>
      <c r="Z980" t="s" s="0">
        <v>90</v>
      </c>
      <c r="AA980" t="s" s="0">
        <v>91</v>
      </c>
      <c r="AB980" t="s" s="0">
        <v>81</v>
      </c>
      <c r="AC980" t="s" s="0">
        <v>81</v>
      </c>
      <c r="AD980" t="s" s="0">
        <v>81</v>
      </c>
      <c r="AE980" t="s" s="0">
        <v>81</v>
      </c>
      <c r="AF980" t="s" s="0">
        <v>81</v>
      </c>
      <c r="AG980" t="s" s="0">
        <v>21082</v>
      </c>
      <c r="AH980" t="s" s="0">
        <v>21083</v>
      </c>
      <c r="AI980" t="s" s="0">
        <v>81</v>
      </c>
      <c r="AJ980" t="s" s="0">
        <v>81</v>
      </c>
      <c r="AK980" t="s" s="0">
        <v>81</v>
      </c>
      <c r="AL980" t="s" s="0">
        <v>315</v>
      </c>
      <c r="AM980" t="s" s="0">
        <v>175</v>
      </c>
      <c r="AN980" t="s" s="0">
        <v>316</v>
      </c>
      <c r="AO980" t="s" s="0">
        <v>97</v>
      </c>
      <c r="AP980" t="s" s="0">
        <v>133</v>
      </c>
      <c r="AQ980" t="s" s="0">
        <v>284</v>
      </c>
      <c r="AR980" t="s" s="0">
        <v>285</v>
      </c>
      <c r="AS980" t="s" s="0">
        <v>286</v>
      </c>
      <c r="AT980" t="s" s="0">
        <v>81</v>
      </c>
      <c r="AU980" t="s" s="0">
        <v>4451</v>
      </c>
      <c r="AV980" t="s" s="0">
        <v>81</v>
      </c>
      <c r="AW980" t="s" s="0">
        <v>4452</v>
      </c>
      <c r="AX980" t="s" s="0">
        <v>4453</v>
      </c>
      <c r="AY980" t="s" s="0">
        <v>21084</v>
      </c>
      <c r="AZ980" t="s" s="0">
        <v>290</v>
      </c>
      <c r="BA980" t="s" s="0">
        <v>104</v>
      </c>
      <c r="BB980" t="s" s="0">
        <v>222</v>
      </c>
      <c r="BC980" t="s" s="0">
        <v>81</v>
      </c>
      <c r="BD980" t="s" s="0">
        <v>81</v>
      </c>
      <c r="BE980" t="s" s="0">
        <v>81</v>
      </c>
      <c r="BF980" t="s" s="0">
        <v>81</v>
      </c>
      <c r="BG980" t="s" s="0">
        <v>81</v>
      </c>
      <c r="BH980" t="s" s="0">
        <v>81</v>
      </c>
      <c r="BI980" t="s" s="0">
        <v>21085</v>
      </c>
      <c r="BJ980" t="s" s="0">
        <v>21086</v>
      </c>
      <c r="BK980" t="s" s="1949">
        <f>HYPERLINK("http://dx.doi.org/10.3390/jcm14176307","http://dx.doi.org/10.3390/jcm14176307")</f>
        <v>21087</v>
      </c>
      <c r="BL980" t="s" s="0">
        <v>81</v>
      </c>
      <c r="BM980" t="s" s="0">
        <v>81</v>
      </c>
      <c r="BN980" t="s" s="0">
        <v>222</v>
      </c>
      <c r="BO980" t="s" s="0">
        <v>296</v>
      </c>
      <c r="BP980" t="s" s="0">
        <v>297</v>
      </c>
      <c r="BQ980" t="s" s="0">
        <v>21088</v>
      </c>
      <c r="BR980" t="s" s="0">
        <v>21089</v>
      </c>
      <c r="BS980" t="s" s="0">
        <v>21090</v>
      </c>
      <c r="BT980" t="s" s="1950">
        <f>HYPERLINK("https://www.webofscience.com/wos/woscc/full-record/WOS:001569824000001","View Record in Web of Science")</f>
        <v>114</v>
      </c>
      <c r="BU980" t="s" s="0">
        <v>301</v>
      </c>
      <c r="BV980" t="s" s="0">
        <v>81</v>
      </c>
      <c r="BW980" t="s" s="0">
        <v>81</v>
      </c>
      <c r="BX980" t="s" s="0">
        <v>116</v>
      </c>
    </row>
    <row r="981">
      <c r="A981" t="s" s="0">
        <v>97</v>
      </c>
      <c r="B981" t="s" s="0">
        <v>77</v>
      </c>
      <c r="C981" t="s" s="0">
        <v>196</v>
      </c>
      <c r="D981" t="s" s="0">
        <v>77</v>
      </c>
      <c r="E981" t="s" s="0">
        <v>21091</v>
      </c>
      <c r="F981" t="s" s="0">
        <v>21092</v>
      </c>
      <c r="G981" t="s" s="0">
        <v>21093</v>
      </c>
      <c r="H981" t="s" s="0">
        <v>81</v>
      </c>
      <c r="I981" t="s" s="0">
        <v>82</v>
      </c>
      <c r="J981" t="s" s="0">
        <v>21094</v>
      </c>
      <c r="K981" t="s" s="0">
        <v>21095</v>
      </c>
      <c r="L981" t="s" s="0">
        <v>21096</v>
      </c>
      <c r="M981" t="s" s="0">
        <v>21097</v>
      </c>
      <c r="N981" t="s" s="0">
        <v>21098</v>
      </c>
      <c r="O981" t="s" s="0">
        <v>21099</v>
      </c>
      <c r="P981" t="s" s="0">
        <v>21100</v>
      </c>
      <c r="Q981" t="s" s="0">
        <v>87</v>
      </c>
      <c r="R981" t="s" s="0">
        <v>81</v>
      </c>
      <c r="S981" t="s" s="0">
        <v>81</v>
      </c>
      <c r="T981" t="s" s="0">
        <v>81</v>
      </c>
      <c r="U981" t="s" s="0">
        <v>81</v>
      </c>
      <c r="V981" t="s" s="0">
        <v>21101</v>
      </c>
      <c r="W981" t="s" s="0">
        <v>2369</v>
      </c>
      <c r="X981" t="s" s="0">
        <v>81</v>
      </c>
      <c r="Y981" t="s" s="0">
        <v>81</v>
      </c>
      <c r="Z981" t="s" s="0">
        <v>90</v>
      </c>
      <c r="AA981" t="s" s="0">
        <v>91</v>
      </c>
      <c r="AB981" t="s" s="0">
        <v>81</v>
      </c>
      <c r="AC981" t="s" s="0">
        <v>81</v>
      </c>
      <c r="AD981" t="s" s="0">
        <v>81</v>
      </c>
      <c r="AE981" t="s" s="0">
        <v>81</v>
      </c>
      <c r="AF981" t="s" s="0">
        <v>81</v>
      </c>
      <c r="AG981" t="s" s="0">
        <v>21102</v>
      </c>
      <c r="AH981" t="s" s="0">
        <v>21103</v>
      </c>
      <c r="AI981" t="s" s="0">
        <v>21104</v>
      </c>
      <c r="AJ981" t="s" s="0">
        <v>21105</v>
      </c>
      <c r="AK981" t="s" s="0">
        <v>81</v>
      </c>
      <c r="AL981" t="s" s="0">
        <v>343</v>
      </c>
      <c r="AM981" t="s" s="0">
        <v>456</v>
      </c>
      <c r="AN981" t="s" s="0">
        <v>3559</v>
      </c>
      <c r="AO981" t="s" s="0">
        <v>175</v>
      </c>
      <c r="AP981" t="s" s="0">
        <v>4375</v>
      </c>
      <c r="AQ981" t="s" s="0">
        <v>98</v>
      </c>
      <c r="AR981" t="s" s="0">
        <v>99</v>
      </c>
      <c r="AS981" t="s" s="0">
        <v>100</v>
      </c>
      <c r="AT981" t="s" s="0">
        <v>2371</v>
      </c>
      <c r="AU981" t="s" s="0">
        <v>81</v>
      </c>
      <c r="AV981" t="s" s="0">
        <v>81</v>
      </c>
      <c r="AW981" t="s" s="0">
        <v>2372</v>
      </c>
      <c r="AX981" t="s" s="0">
        <v>2373</v>
      </c>
      <c r="AY981" t="s" s="0">
        <v>6017</v>
      </c>
      <c r="AZ981" t="s" s="0">
        <v>260</v>
      </c>
      <c r="BA981" t="s" s="0">
        <v>211</v>
      </c>
      <c r="BB981" t="s" s="0">
        <v>175</v>
      </c>
      <c r="BC981" t="s" s="0">
        <v>81</v>
      </c>
      <c r="BD981" t="s" s="0">
        <v>81</v>
      </c>
      <c r="BE981" t="s" s="0">
        <v>81</v>
      </c>
      <c r="BF981" t="s" s="0">
        <v>81</v>
      </c>
      <c r="BG981" t="s" s="0">
        <v>21106</v>
      </c>
      <c r="BH981" t="s" s="0">
        <v>21107</v>
      </c>
      <c r="BI981" t="s" s="0">
        <v>81</v>
      </c>
      <c r="BJ981" t="s" s="0">
        <v>21108</v>
      </c>
      <c r="BK981" t="s" s="1951">
        <f>HYPERLINK("http://dx.doi.org/10.1109/JIOT.2021.3122019","http://dx.doi.org/10.1109/JIOT.2021.3122019")</f>
        <v>21109</v>
      </c>
      <c r="BL981" t="s" s="0">
        <v>81</v>
      </c>
      <c r="BM981" t="s" s="0">
        <v>81</v>
      </c>
      <c r="BN981" t="s" s="0">
        <v>134</v>
      </c>
      <c r="BO981" t="s" s="0">
        <v>110</v>
      </c>
      <c r="BP981" t="s" s="0">
        <v>111</v>
      </c>
      <c r="BQ981" t="s" s="0">
        <v>21110</v>
      </c>
      <c r="BR981" t="s" s="0">
        <v>81</v>
      </c>
      <c r="BS981" t="s" s="0">
        <v>21111</v>
      </c>
      <c r="BT981" t="s" s="1952">
        <f>HYPERLINK("https://www.webofscience.com/wos/woscc/full-record/WOS:000965692500001","View Record in Web of Science")</f>
        <v>114</v>
      </c>
      <c r="BU981" t="s" s="0">
        <v>81</v>
      </c>
      <c r="BV981" t="s" s="0">
        <v>81</v>
      </c>
      <c r="BW981" t="s" s="0">
        <v>81</v>
      </c>
      <c r="BX981" t="s" s="0">
        <v>116</v>
      </c>
    </row>
    <row r="982">
      <c r="A982" t="s" s="0">
        <v>97</v>
      </c>
      <c r="B982" t="s" s="0">
        <v>77</v>
      </c>
      <c r="C982" t="s" s="0">
        <v>156</v>
      </c>
      <c r="D982" t="s" s="0">
        <v>77</v>
      </c>
      <c r="E982" t="s" s="0">
        <v>21112</v>
      </c>
      <c r="F982" t="s" s="0">
        <v>21113</v>
      </c>
      <c r="G982" t="s" s="0">
        <v>21114</v>
      </c>
      <c r="H982" t="s" s="0">
        <v>81</v>
      </c>
      <c r="I982" t="s" s="0">
        <v>238</v>
      </c>
      <c r="J982" t="s" s="0">
        <v>21115</v>
      </c>
      <c r="K982" t="s" s="0">
        <v>21116</v>
      </c>
      <c r="L982" t="s" s="0">
        <v>81</v>
      </c>
      <c r="M982" t="s" s="0">
        <v>81</v>
      </c>
      <c r="N982" t="s" s="0">
        <v>81</v>
      </c>
      <c r="O982" t="s" s="0">
        <v>21117</v>
      </c>
      <c r="P982" t="s" s="0">
        <v>81</v>
      </c>
      <c r="Q982" t="s" s="0">
        <v>87</v>
      </c>
      <c r="R982" t="s" s="0">
        <v>81</v>
      </c>
      <c r="S982" t="s" s="0">
        <v>81</v>
      </c>
      <c r="T982" t="s" s="0">
        <v>81</v>
      </c>
      <c r="U982" t="s" s="0">
        <v>81</v>
      </c>
      <c r="V982" t="s" s="0">
        <v>21118</v>
      </c>
      <c r="W982" t="s" s="0">
        <v>21119</v>
      </c>
      <c r="X982" t="s" s="0">
        <v>81</v>
      </c>
      <c r="Y982" t="s" s="0">
        <v>81</v>
      </c>
      <c r="Z982" t="s" s="0">
        <v>90</v>
      </c>
      <c r="AA982" t="s" s="0">
        <v>91</v>
      </c>
      <c r="AB982" t="s" s="0">
        <v>81</v>
      </c>
      <c r="AC982" t="s" s="0">
        <v>81</v>
      </c>
      <c r="AD982" t="s" s="0">
        <v>81</v>
      </c>
      <c r="AE982" t="s" s="0">
        <v>81</v>
      </c>
      <c r="AF982" t="s" s="0">
        <v>81</v>
      </c>
      <c r="AG982" t="s" s="0">
        <v>21120</v>
      </c>
      <c r="AH982" t="s" s="0">
        <v>81</v>
      </c>
      <c r="AI982" t="s" s="0">
        <v>21121</v>
      </c>
      <c r="AJ982" t="s" s="0">
        <v>81</v>
      </c>
      <c r="AK982" t="s" s="0">
        <v>81</v>
      </c>
      <c r="AL982" t="s" s="0">
        <v>133</v>
      </c>
      <c r="AM982" t="s" s="0">
        <v>196</v>
      </c>
      <c r="AN982" t="s" s="0">
        <v>316</v>
      </c>
      <c r="AO982" t="s" s="0">
        <v>77</v>
      </c>
      <c r="AP982" t="s" s="0">
        <v>485</v>
      </c>
      <c r="AQ982" t="s" s="0">
        <v>3016</v>
      </c>
      <c r="AR982" t="s" s="0">
        <v>546</v>
      </c>
      <c r="AS982" t="s" s="0">
        <v>3017</v>
      </c>
      <c r="AT982" t="s" s="0">
        <v>81</v>
      </c>
      <c r="AU982" t="s" s="0">
        <v>21122</v>
      </c>
      <c r="AV982" t="s" s="0">
        <v>81</v>
      </c>
      <c r="AW982" t="s" s="0">
        <v>21123</v>
      </c>
      <c r="AX982" t="s" s="0">
        <v>21124</v>
      </c>
      <c r="AY982" t="s" s="0">
        <v>21125</v>
      </c>
      <c r="AZ982" t="s" s="0">
        <v>260</v>
      </c>
      <c r="BA982" t="s" s="0">
        <v>291</v>
      </c>
      <c r="BB982" t="s" s="0">
        <v>381</v>
      </c>
      <c r="BC982" t="s" s="0">
        <v>81</v>
      </c>
      <c r="BD982" t="s" s="0">
        <v>81</v>
      </c>
      <c r="BE982" t="s" s="0">
        <v>81</v>
      </c>
      <c r="BF982" t="s" s="0">
        <v>81</v>
      </c>
      <c r="BG982" t="s" s="0">
        <v>81</v>
      </c>
      <c r="BH982" t="s" s="0">
        <v>81</v>
      </c>
      <c r="BI982" t="s" s="0">
        <v>21126</v>
      </c>
      <c r="BJ982" t="s" s="0">
        <v>21127</v>
      </c>
      <c r="BK982" t="s" s="1953">
        <f>HYPERLINK("http://dx.doi.org/10.7759/cureus.43975","http://dx.doi.org/10.7759/cureus.43975")</f>
        <v>21128</v>
      </c>
      <c r="BL982" t="s" s="0">
        <v>81</v>
      </c>
      <c r="BM982" t="s" s="0">
        <v>81</v>
      </c>
      <c r="BN982" t="s" s="0">
        <v>156</v>
      </c>
      <c r="BO982" t="s" s="0">
        <v>81</v>
      </c>
      <c r="BP982" t="s" s="0">
        <v>81</v>
      </c>
      <c r="BQ982" t="s" s="0">
        <v>21129</v>
      </c>
      <c r="BR982" t="s" s="0">
        <v>21130</v>
      </c>
      <c r="BS982" t="s" s="0">
        <v>21131</v>
      </c>
      <c r="BT982" t="s" s="1954">
        <f>HYPERLINK("https://www.webofscience.com/wos/woscc/full-record/WOS:001065123000010","View Record in Web of Science")</f>
        <v>114</v>
      </c>
      <c r="BU982" t="s" s="0">
        <v>301</v>
      </c>
      <c r="BV982" t="s" s="0">
        <v>81</v>
      </c>
      <c r="BW982" t="s" s="0">
        <v>81</v>
      </c>
      <c r="BX982" t="s" s="0">
        <v>116</v>
      </c>
    </row>
    <row r="983">
      <c r="A983" t="s" s="0">
        <v>77</v>
      </c>
      <c r="B983" t="s" s="0">
        <v>77</v>
      </c>
      <c r="C983" t="s" s="0">
        <v>77</v>
      </c>
      <c r="D983" t="s" s="0">
        <v>77</v>
      </c>
      <c r="E983" t="s" s="0">
        <v>21132</v>
      </c>
      <c r="F983" t="s" s="0">
        <v>21133</v>
      </c>
      <c r="G983" t="s" s="0">
        <v>21134</v>
      </c>
      <c r="H983" t="s" s="0">
        <v>81</v>
      </c>
      <c r="I983" t="s" s="0">
        <v>589</v>
      </c>
      <c r="J983" t="s" s="0">
        <v>21135</v>
      </c>
      <c r="K983" t="s" s="0">
        <v>21136</v>
      </c>
      <c r="L983" t="s" s="0">
        <v>81</v>
      </c>
      <c r="M983" t="s" s="0">
        <v>81</v>
      </c>
      <c r="N983" t="s" s="0">
        <v>81</v>
      </c>
      <c r="O983" t="s" s="0">
        <v>21137</v>
      </c>
      <c r="P983" t="s" s="0">
        <v>21138</v>
      </c>
      <c r="Q983" t="s" s="0">
        <v>87</v>
      </c>
      <c r="R983" t="s" s="0">
        <v>81</v>
      </c>
      <c r="S983" t="s" s="0">
        <v>81</v>
      </c>
      <c r="T983" t="s" s="0">
        <v>81</v>
      </c>
      <c r="U983" t="s" s="0">
        <v>81</v>
      </c>
      <c r="V983" t="s" s="0">
        <v>21139</v>
      </c>
      <c r="W983" t="s" s="0">
        <v>21140</v>
      </c>
      <c r="X983" t="s" s="0">
        <v>81</v>
      </c>
      <c r="Y983" t="s" s="0">
        <v>81</v>
      </c>
      <c r="Z983" t="s" s="0">
        <v>90</v>
      </c>
      <c r="AA983" t="s" s="0">
        <v>91</v>
      </c>
      <c r="AB983" t="s" s="0">
        <v>81</v>
      </c>
      <c r="AC983" t="s" s="0">
        <v>81</v>
      </c>
      <c r="AD983" t="s" s="0">
        <v>81</v>
      </c>
      <c r="AE983" t="s" s="0">
        <v>81</v>
      </c>
      <c r="AF983" t="s" s="0">
        <v>81</v>
      </c>
      <c r="AG983" t="s" s="0">
        <v>21141</v>
      </c>
      <c r="AH983" t="s" s="0">
        <v>21142</v>
      </c>
      <c r="AI983" t="s" s="0">
        <v>21143</v>
      </c>
      <c r="AJ983" t="s" s="0">
        <v>21144</v>
      </c>
      <c r="AK983" t="s" s="0">
        <v>81</v>
      </c>
      <c r="AL983" t="s" s="0">
        <v>2955</v>
      </c>
      <c r="AM983" t="s" s="0">
        <v>671</v>
      </c>
      <c r="AN983" t="s" s="0">
        <v>252</v>
      </c>
      <c r="AO983" t="s" s="0">
        <v>756</v>
      </c>
      <c r="AP983" t="s" s="0">
        <v>2028</v>
      </c>
      <c r="AQ983" t="s" s="0">
        <v>21145</v>
      </c>
      <c r="AR983" t="s" s="0">
        <v>21146</v>
      </c>
      <c r="AS983" t="s" s="0">
        <v>21147</v>
      </c>
      <c r="AT983" t="s" s="0">
        <v>21148</v>
      </c>
      <c r="AU983" t="s" s="0">
        <v>21149</v>
      </c>
      <c r="AV983" t="s" s="0">
        <v>81</v>
      </c>
      <c r="AW983" t="s" s="0">
        <v>21150</v>
      </c>
      <c r="AX983" t="s" s="0">
        <v>21151</v>
      </c>
      <c r="AY983" t="s" s="0">
        <v>21152</v>
      </c>
      <c r="AZ983" t="s" s="0">
        <v>290</v>
      </c>
      <c r="BA983" t="s" s="0">
        <v>211</v>
      </c>
      <c r="BB983" t="s" s="0">
        <v>175</v>
      </c>
      <c r="BC983" t="s" s="0">
        <v>81</v>
      </c>
      <c r="BD983" t="s" s="0">
        <v>81</v>
      </c>
      <c r="BE983" t="s" s="0">
        <v>81</v>
      </c>
      <c r="BF983" t="s" s="0">
        <v>81</v>
      </c>
      <c r="BG983" t="s" s="0">
        <v>81</v>
      </c>
      <c r="BH983" t="s" s="0">
        <v>81</v>
      </c>
      <c r="BI983" t="s" s="0">
        <v>21153</v>
      </c>
      <c r="BJ983" t="s" s="0">
        <v>21154</v>
      </c>
      <c r="BK983" t="s" s="1955">
        <f>HYPERLINK("http://dx.doi.org/10.1016/j.jik.2025.100751","http://dx.doi.org/10.1016/j.jik.2025.100751")</f>
        <v>21155</v>
      </c>
      <c r="BL983" t="s" s="0">
        <v>81</v>
      </c>
      <c r="BM983" t="s" s="0">
        <v>1029</v>
      </c>
      <c r="BN983" t="s" s="0">
        <v>486</v>
      </c>
      <c r="BO983" t="s" s="0">
        <v>18586</v>
      </c>
      <c r="BP983" t="s" s="0">
        <v>326</v>
      </c>
      <c r="BQ983" t="s" s="0">
        <v>21156</v>
      </c>
      <c r="BR983" t="s" s="0">
        <v>81</v>
      </c>
      <c r="BS983" t="s" s="0">
        <v>21157</v>
      </c>
      <c r="BT983" t="s" s="1956">
        <f>HYPERLINK("https://www.webofscience.com/wos/woscc/full-record/WOS:001504899900001","View Record in Web of Science")</f>
        <v>114</v>
      </c>
      <c r="BU983" t="s" s="0">
        <v>301</v>
      </c>
      <c r="BV983" t="s" s="0">
        <v>81</v>
      </c>
      <c r="BW983" t="s" s="0">
        <v>81</v>
      </c>
      <c r="BX983" t="s" s="0">
        <v>116</v>
      </c>
    </row>
    <row r="984">
      <c r="A984" t="s" s="0">
        <v>77</v>
      </c>
      <c r="B984" t="s" s="0">
        <v>77</v>
      </c>
      <c r="C984" t="s" s="0">
        <v>77</v>
      </c>
      <c r="D984" t="s" s="0">
        <v>77</v>
      </c>
      <c r="E984" t="s" s="0">
        <v>21158</v>
      </c>
      <c r="F984" t="s" s="0">
        <v>21159</v>
      </c>
      <c r="G984" t="s" s="0">
        <v>21160</v>
      </c>
      <c r="H984" t="s" s="0">
        <v>81</v>
      </c>
      <c r="I984" t="s" s="0">
        <v>238</v>
      </c>
      <c r="J984" t="s" s="0">
        <v>21161</v>
      </c>
      <c r="K984" t="s" s="0">
        <v>21162</v>
      </c>
      <c r="L984" t="s" s="0">
        <v>81</v>
      </c>
      <c r="M984" t="s" s="0">
        <v>81</v>
      </c>
      <c r="N984" t="s" s="0">
        <v>81</v>
      </c>
      <c r="O984" t="s" s="0">
        <v>21163</v>
      </c>
      <c r="P984" t="s" s="0">
        <v>21164</v>
      </c>
      <c r="Q984" t="s" s="0">
        <v>87</v>
      </c>
      <c r="R984" t="s" s="0">
        <v>81</v>
      </c>
      <c r="S984" t="s" s="0">
        <v>81</v>
      </c>
      <c r="T984" t="s" s="0">
        <v>81</v>
      </c>
      <c r="U984" t="s" s="0">
        <v>81</v>
      </c>
      <c r="V984" t="s" s="0">
        <v>21165</v>
      </c>
      <c r="W984" t="s" s="0">
        <v>21166</v>
      </c>
      <c r="X984" t="s" s="0">
        <v>81</v>
      </c>
      <c r="Y984" t="s" s="0">
        <v>81</v>
      </c>
      <c r="Z984" t="s" s="0">
        <v>90</v>
      </c>
      <c r="AA984" t="s" s="0">
        <v>91</v>
      </c>
      <c r="AB984" t="s" s="0">
        <v>81</v>
      </c>
      <c r="AC984" t="s" s="0">
        <v>81</v>
      </c>
      <c r="AD984" t="s" s="0">
        <v>81</v>
      </c>
      <c r="AE984" t="s" s="0">
        <v>81</v>
      </c>
      <c r="AF984" t="s" s="0">
        <v>81</v>
      </c>
      <c r="AG984" t="s" s="0">
        <v>21167</v>
      </c>
      <c r="AH984" t="s" s="0">
        <v>81</v>
      </c>
      <c r="AI984" t="s" s="0">
        <v>21168</v>
      </c>
      <c r="AJ984" t="s" s="0">
        <v>21169</v>
      </c>
      <c r="AK984" t="s" s="0">
        <v>81</v>
      </c>
      <c r="AL984" t="s" s="0">
        <v>3518</v>
      </c>
      <c r="AM984" t="s" s="0">
        <v>222</v>
      </c>
      <c r="AN984" t="s" s="0">
        <v>874</v>
      </c>
      <c r="AO984" t="s" s="0">
        <v>156</v>
      </c>
      <c r="AP984" t="s" s="0">
        <v>874</v>
      </c>
      <c r="AQ984" t="s" s="0">
        <v>5049</v>
      </c>
      <c r="AR984" t="s" s="0">
        <v>5050</v>
      </c>
      <c r="AS984" t="s" s="0">
        <v>5051</v>
      </c>
      <c r="AT984" t="s" s="0">
        <v>21170</v>
      </c>
      <c r="AU984" t="s" s="0">
        <v>21171</v>
      </c>
      <c r="AV984" t="s" s="0">
        <v>81</v>
      </c>
      <c r="AW984" t="s" s="0">
        <v>21172</v>
      </c>
      <c r="AX984" t="s" s="0">
        <v>21173</v>
      </c>
      <c r="AY984" t="s" s="0">
        <v>1048</v>
      </c>
      <c r="AZ984" t="s" s="0">
        <v>290</v>
      </c>
      <c r="BA984" t="s" s="0">
        <v>381</v>
      </c>
      <c r="BB984" t="s" s="0">
        <v>175</v>
      </c>
      <c r="BC984" t="s" s="0">
        <v>81</v>
      </c>
      <c r="BD984" t="s" s="0">
        <v>81</v>
      </c>
      <c r="BE984" t="s" s="0">
        <v>81</v>
      </c>
      <c r="BF984" t="s" s="0">
        <v>81</v>
      </c>
      <c r="BG984" t="s" s="0">
        <v>21174</v>
      </c>
      <c r="BH984" t="s" s="0">
        <v>21175</v>
      </c>
      <c r="BI984" t="s" s="0">
        <v>81</v>
      </c>
      <c r="BJ984" t="s" s="0">
        <v>21176</v>
      </c>
      <c r="BK984" t="s" s="1957">
        <f>HYPERLINK("http://dx.doi.org/10.1108/JHTI-04-2024-0292","http://dx.doi.org/10.1108/JHTI-04-2024-0292")</f>
        <v>21177</v>
      </c>
      <c r="BL984" t="s" s="0">
        <v>81</v>
      </c>
      <c r="BM984" t="s" s="0">
        <v>1816</v>
      </c>
      <c r="BN984" t="s" s="0">
        <v>295</v>
      </c>
      <c r="BO984" t="s" s="0">
        <v>14968</v>
      </c>
      <c r="BP984" t="s" s="0">
        <v>3208</v>
      </c>
      <c r="BQ984" t="s" s="0">
        <v>21178</v>
      </c>
      <c r="BR984" t="s" s="0">
        <v>81</v>
      </c>
      <c r="BS984" t="s" s="0">
        <v>21179</v>
      </c>
      <c r="BT984" t="s" s="1958">
        <f>HYPERLINK("https://www.webofscience.com/wos/woscc/full-record/WOS:001343688600001","View Record in Web of Science")</f>
        <v>114</v>
      </c>
      <c r="BU984" t="s" s="0">
        <v>81</v>
      </c>
      <c r="BV984" t="s" s="0">
        <v>81</v>
      </c>
      <c r="BW984" t="s" s="0">
        <v>81</v>
      </c>
      <c r="BX984" t="s" s="0">
        <v>116</v>
      </c>
    </row>
    <row r="985">
      <c r="A985" t="s" s="0">
        <v>97</v>
      </c>
      <c r="B985" t="s" s="0">
        <v>77</v>
      </c>
      <c r="C985" t="s" s="0">
        <v>97</v>
      </c>
      <c r="D985" t="s" s="0">
        <v>77</v>
      </c>
      <c r="E985" t="s" s="0">
        <v>21180</v>
      </c>
      <c r="F985" t="s" s="0">
        <v>21181</v>
      </c>
      <c r="G985" t="s" s="0">
        <v>21182</v>
      </c>
      <c r="H985" t="s" s="0">
        <v>81</v>
      </c>
      <c r="I985" t="s" s="0">
        <v>589</v>
      </c>
      <c r="J985" t="s" s="0">
        <v>21183</v>
      </c>
      <c r="K985" t="s" s="0">
        <v>21184</v>
      </c>
      <c r="L985" t="s" s="0">
        <v>81</v>
      </c>
      <c r="M985" t="s" s="0">
        <v>81</v>
      </c>
      <c r="N985" t="s" s="0">
        <v>81</v>
      </c>
      <c r="O985" t="s" s="0">
        <v>21185</v>
      </c>
      <c r="P985" t="s" s="0">
        <v>21186</v>
      </c>
      <c r="Q985" t="s" s="0">
        <v>87</v>
      </c>
      <c r="R985" t="s" s="0">
        <v>81</v>
      </c>
      <c r="S985" t="s" s="0">
        <v>81</v>
      </c>
      <c r="T985" t="s" s="0">
        <v>81</v>
      </c>
      <c r="U985" t="s" s="0">
        <v>81</v>
      </c>
      <c r="V985" t="s" s="0">
        <v>21187</v>
      </c>
      <c r="W985" t="s" s="0">
        <v>21188</v>
      </c>
      <c r="X985" t="s" s="0">
        <v>81</v>
      </c>
      <c r="Y985" t="s" s="0">
        <v>81</v>
      </c>
      <c r="Z985" t="s" s="0">
        <v>90</v>
      </c>
      <c r="AA985" t="s" s="0">
        <v>91</v>
      </c>
      <c r="AB985" t="s" s="0">
        <v>81</v>
      </c>
      <c r="AC985" t="s" s="0">
        <v>81</v>
      </c>
      <c r="AD985" t="s" s="0">
        <v>81</v>
      </c>
      <c r="AE985" t="s" s="0">
        <v>81</v>
      </c>
      <c r="AF985" t="s" s="0">
        <v>81</v>
      </c>
      <c r="AG985" t="s" s="0">
        <v>21189</v>
      </c>
      <c r="AH985" t="s" s="0">
        <v>81</v>
      </c>
      <c r="AI985" t="s" s="0">
        <v>21190</v>
      </c>
      <c r="AJ985" t="s" s="0">
        <v>21191</v>
      </c>
      <c r="AK985" t="s" s="0">
        <v>81</v>
      </c>
      <c r="AL985" t="s" s="0">
        <v>291</v>
      </c>
      <c r="AM985" t="s" s="0">
        <v>210</v>
      </c>
      <c r="AN985" t="s" s="0">
        <v>344</v>
      </c>
      <c r="AO985" t="s" s="0">
        <v>367</v>
      </c>
      <c r="AP985" t="s" s="0">
        <v>3786</v>
      </c>
      <c r="AQ985" t="s" s="0">
        <v>1809</v>
      </c>
      <c r="AR985" t="s" s="0">
        <v>1810</v>
      </c>
      <c r="AS985" t="s" s="0">
        <v>1811</v>
      </c>
      <c r="AT985" t="s" s="0">
        <v>21192</v>
      </c>
      <c r="AU985" t="s" s="0">
        <v>21193</v>
      </c>
      <c r="AV985" t="s" s="0">
        <v>81</v>
      </c>
      <c r="AW985" t="s" s="0">
        <v>21194</v>
      </c>
      <c r="AX985" t="s" s="0">
        <v>21195</v>
      </c>
      <c r="AY985" t="s" s="0">
        <v>1183</v>
      </c>
      <c r="AZ985" t="s" s="0">
        <v>185</v>
      </c>
      <c r="BA985" t="s" s="0">
        <v>173</v>
      </c>
      <c r="BB985" t="s" s="0">
        <v>175</v>
      </c>
      <c r="BC985" t="s" s="0">
        <v>81</v>
      </c>
      <c r="BD985" t="s" s="0">
        <v>81</v>
      </c>
      <c r="BE985" t="s" s="0">
        <v>81</v>
      </c>
      <c r="BF985" t="s" s="0">
        <v>81</v>
      </c>
      <c r="BG985" t="s" s="0">
        <v>21196</v>
      </c>
      <c r="BH985" t="s" s="0">
        <v>21197</v>
      </c>
      <c r="BI985" t="s" s="0">
        <v>81</v>
      </c>
      <c r="BJ985" t="s" s="0">
        <v>21198</v>
      </c>
      <c r="BK985" t="s" s="1959">
        <f>HYPERLINK("http://dx.doi.org/10.1177/02761467241286483","http://dx.doi.org/10.1177/02761467241286483")</f>
        <v>21199</v>
      </c>
      <c r="BL985" t="s" s="0">
        <v>81</v>
      </c>
      <c r="BM985" t="s" s="0">
        <v>1816</v>
      </c>
      <c r="BN985" t="s" s="0">
        <v>381</v>
      </c>
      <c r="BO985" t="s" s="0">
        <v>469</v>
      </c>
      <c r="BP985" t="s" s="0">
        <v>326</v>
      </c>
      <c r="BQ985" t="s" s="0">
        <v>21200</v>
      </c>
      <c r="BR985" t="s" s="0">
        <v>81</v>
      </c>
      <c r="BS985" t="s" s="0">
        <v>21201</v>
      </c>
      <c r="BT985" t="s" s="1960">
        <f>HYPERLINK("https://www.webofscience.com/wos/woscc/full-record/WOS:001345977300001","View Record in Web of Science")</f>
        <v>114</v>
      </c>
      <c r="BU985" t="s" s="0">
        <v>81</v>
      </c>
      <c r="BV985" t="s" s="0">
        <v>81</v>
      </c>
      <c r="BW985" t="s" s="0">
        <v>81</v>
      </c>
      <c r="BX985" t="s" s="0">
        <v>116</v>
      </c>
    </row>
    <row r="986">
      <c r="A986" t="s" s="0">
        <v>77</v>
      </c>
      <c r="B986" t="s" s="0">
        <v>77</v>
      </c>
      <c r="C986" t="s" s="0">
        <v>77</v>
      </c>
      <c r="D986" t="s" s="0">
        <v>77</v>
      </c>
      <c r="E986" t="s" s="0">
        <v>21202</v>
      </c>
      <c r="F986" t="s" s="0">
        <v>21203</v>
      </c>
      <c r="G986" t="s" s="0">
        <v>21204</v>
      </c>
      <c r="H986" t="s" s="0">
        <v>81</v>
      </c>
      <c r="I986" t="s" s="0">
        <v>238</v>
      </c>
      <c r="J986" t="s" s="0">
        <v>21205</v>
      </c>
      <c r="K986" t="s" s="0">
        <v>21206</v>
      </c>
      <c r="L986" t="s" s="0">
        <v>21207</v>
      </c>
      <c r="M986" t="s" s="0">
        <v>21208</v>
      </c>
      <c r="N986" t="s" s="0">
        <v>21209</v>
      </c>
      <c r="O986" t="s" s="0">
        <v>21210</v>
      </c>
      <c r="P986" t="s" s="0">
        <v>21211</v>
      </c>
      <c r="Q986" t="s" s="0">
        <v>87</v>
      </c>
      <c r="R986" t="s" s="0">
        <v>81</v>
      </c>
      <c r="S986" t="s" s="0">
        <v>81</v>
      </c>
      <c r="T986" t="s" s="0">
        <v>81</v>
      </c>
      <c r="U986" t="s" s="0">
        <v>81</v>
      </c>
      <c r="V986" t="s" s="0">
        <v>21212</v>
      </c>
      <c r="W986" t="s" s="0">
        <v>21213</v>
      </c>
      <c r="X986" t="s" s="0">
        <v>81</v>
      </c>
      <c r="Y986" t="s" s="0">
        <v>81</v>
      </c>
      <c r="Z986" t="s" s="0">
        <v>90</v>
      </c>
      <c r="AA986" t="s" s="0">
        <v>1581</v>
      </c>
      <c r="AB986" t="s" s="0">
        <v>81</v>
      </c>
      <c r="AC986" t="s" s="0">
        <v>81</v>
      </c>
      <c r="AD986" t="s" s="0">
        <v>81</v>
      </c>
      <c r="AE986" t="s" s="0">
        <v>81</v>
      </c>
      <c r="AF986" t="s" s="0">
        <v>81</v>
      </c>
      <c r="AG986" t="s" s="0">
        <v>21214</v>
      </c>
      <c r="AH986" t="s" s="0">
        <v>4100</v>
      </c>
      <c r="AI986" t="s" s="0">
        <v>21215</v>
      </c>
      <c r="AJ986" t="s" s="0">
        <v>81</v>
      </c>
      <c r="AK986" t="s" s="0">
        <v>81</v>
      </c>
      <c r="AL986" t="s" s="0">
        <v>1561</v>
      </c>
      <c r="AM986" t="s" s="0">
        <v>196</v>
      </c>
      <c r="AN986" t="s" s="0">
        <v>196</v>
      </c>
      <c r="AO986" t="s" s="0">
        <v>486</v>
      </c>
      <c r="AP986" t="s" s="0">
        <v>486</v>
      </c>
      <c r="AQ986" t="s" s="0">
        <v>5049</v>
      </c>
      <c r="AR986" t="s" s="0">
        <v>5050</v>
      </c>
      <c r="AS986" t="s" s="0">
        <v>5051</v>
      </c>
      <c r="AT986" t="s" s="0">
        <v>21216</v>
      </c>
      <c r="AU986" t="s" s="0">
        <v>21217</v>
      </c>
      <c r="AV986" t="s" s="0">
        <v>81</v>
      </c>
      <c r="AW986" t="s" s="0">
        <v>21218</v>
      </c>
      <c r="AX986" t="s" s="0">
        <v>21219</v>
      </c>
      <c r="AY986" t="s" s="0">
        <v>81</v>
      </c>
      <c r="AZ986" t="s" s="0">
        <v>103</v>
      </c>
      <c r="BA986" t="s" s="0">
        <v>81</v>
      </c>
      <c r="BB986" t="s" s="0">
        <v>81</v>
      </c>
      <c r="BC986" t="s" s="0">
        <v>81</v>
      </c>
      <c r="BD986" t="s" s="0">
        <v>81</v>
      </c>
      <c r="BE986" t="s" s="0">
        <v>81</v>
      </c>
      <c r="BF986" t="s" s="0">
        <v>81</v>
      </c>
      <c r="BG986" t="s" s="0">
        <v>81</v>
      </c>
      <c r="BH986" t="s" s="0">
        <v>81</v>
      </c>
      <c r="BI986" t="s" s="0">
        <v>81</v>
      </c>
      <c r="BJ986" t="s" s="0">
        <v>21220</v>
      </c>
      <c r="BK986" t="s" s="1961">
        <f>HYPERLINK("http://dx.doi.org/10.1108/JM2-08-2025-0415","http://dx.doi.org/10.1108/JM2-08-2025-0415")</f>
        <v>21221</v>
      </c>
      <c r="BL986" t="s" s="0">
        <v>81</v>
      </c>
      <c r="BM986" t="s" s="0">
        <v>1940</v>
      </c>
      <c r="BN986" t="s" s="0">
        <v>109</v>
      </c>
      <c r="BO986" t="s" s="0">
        <v>8217</v>
      </c>
      <c r="BP986" t="s" s="0">
        <v>326</v>
      </c>
      <c r="BQ986" t="s" s="0">
        <v>21222</v>
      </c>
      <c r="BR986" t="s" s="0">
        <v>81</v>
      </c>
      <c r="BS986" t="s" s="0">
        <v>21223</v>
      </c>
      <c r="BT986" t="s" s="1962">
        <f>HYPERLINK("https://www.webofscience.com/wos/woscc/full-record/WOS:001662012200001","View Record in Web of Science")</f>
        <v>114</v>
      </c>
      <c r="BU986" t="s" s="0">
        <v>81</v>
      </c>
      <c r="BV986" t="s" s="0">
        <v>81</v>
      </c>
      <c r="BW986" t="s" s="0">
        <v>81</v>
      </c>
      <c r="BX986" t="s" s="0">
        <v>116</v>
      </c>
    </row>
    <row r="987">
      <c r="A987" t="s" s="0">
        <v>77</v>
      </c>
      <c r="B987" t="s" s="0">
        <v>77</v>
      </c>
      <c r="C987" t="s" s="0">
        <v>77</v>
      </c>
      <c r="D987" t="s" s="0">
        <v>77</v>
      </c>
      <c r="E987" t="s" s="0">
        <v>21224</v>
      </c>
      <c r="F987" t="s" s="0">
        <v>21225</v>
      </c>
      <c r="G987" t="s" s="0">
        <v>21226</v>
      </c>
      <c r="H987" t="s" s="0">
        <v>81</v>
      </c>
      <c r="I987" t="s" s="0">
        <v>238</v>
      </c>
      <c r="J987" t="s" s="0">
        <v>21227</v>
      </c>
      <c r="K987" t="s" s="0">
        <v>21228</v>
      </c>
      <c r="L987" t="s" s="0">
        <v>81</v>
      </c>
      <c r="M987" t="s" s="0">
        <v>81</v>
      </c>
      <c r="N987" t="s" s="0">
        <v>3193</v>
      </c>
      <c r="O987" t="s" s="0">
        <v>21229</v>
      </c>
      <c r="P987" t="s" s="0">
        <v>81</v>
      </c>
      <c r="Q987" t="s" s="0">
        <v>87</v>
      </c>
      <c r="R987" t="s" s="0">
        <v>81</v>
      </c>
      <c r="S987" t="s" s="0">
        <v>81</v>
      </c>
      <c r="T987" t="s" s="0">
        <v>81</v>
      </c>
      <c r="U987" t="s" s="0">
        <v>81</v>
      </c>
      <c r="V987" t="s" s="0">
        <v>21230</v>
      </c>
      <c r="W987" t="s" s="0">
        <v>21231</v>
      </c>
      <c r="X987" t="s" s="0">
        <v>81</v>
      </c>
      <c r="Y987" t="s" s="0">
        <v>81</v>
      </c>
      <c r="Z987" t="s" s="0">
        <v>90</v>
      </c>
      <c r="AA987" t="s" s="0">
        <v>91</v>
      </c>
      <c r="AB987" t="s" s="0">
        <v>81</v>
      </c>
      <c r="AC987" t="s" s="0">
        <v>81</v>
      </c>
      <c r="AD987" t="s" s="0">
        <v>81</v>
      </c>
      <c r="AE987" t="s" s="0">
        <v>81</v>
      </c>
      <c r="AF987" t="s" s="0">
        <v>81</v>
      </c>
      <c r="AG987" t="s" s="0">
        <v>21232</v>
      </c>
      <c r="AH987" t="s" s="0">
        <v>21233</v>
      </c>
      <c r="AI987" t="s" s="0">
        <v>21234</v>
      </c>
      <c r="AJ987" t="s" s="0">
        <v>81</v>
      </c>
      <c r="AK987" t="s" s="0">
        <v>81</v>
      </c>
      <c r="AL987" t="s" s="0">
        <v>890</v>
      </c>
      <c r="AM987" t="s" s="0">
        <v>77</v>
      </c>
      <c r="AN987" t="s" s="0">
        <v>77</v>
      </c>
      <c r="AO987" t="s" s="0">
        <v>77</v>
      </c>
      <c r="AP987" t="s" s="0">
        <v>77</v>
      </c>
      <c r="AQ987" t="s" s="0">
        <v>284</v>
      </c>
      <c r="AR987" t="s" s="0">
        <v>285</v>
      </c>
      <c r="AS987" t="s" s="0">
        <v>286</v>
      </c>
      <c r="AT987" t="s" s="0">
        <v>81</v>
      </c>
      <c r="AU987" t="s" s="0">
        <v>21235</v>
      </c>
      <c r="AV987" t="s" s="0">
        <v>81</v>
      </c>
      <c r="AW987" t="s" s="0">
        <v>21231</v>
      </c>
      <c r="AX987" t="s" s="0">
        <v>21236</v>
      </c>
      <c r="AY987" t="s" s="0">
        <v>21237</v>
      </c>
      <c r="AZ987" t="s" s="0">
        <v>103</v>
      </c>
      <c r="BA987" t="s" s="0">
        <v>486</v>
      </c>
      <c r="BB987" t="s" s="0">
        <v>316</v>
      </c>
      <c r="BC987" t="s" s="0">
        <v>81</v>
      </c>
      <c r="BD987" t="s" s="0">
        <v>81</v>
      </c>
      <c r="BE987" t="s" s="0">
        <v>81</v>
      </c>
      <c r="BF987" t="s" s="0">
        <v>81</v>
      </c>
      <c r="BG987" t="s" s="0">
        <v>81</v>
      </c>
      <c r="BH987" t="s" s="0">
        <v>81</v>
      </c>
      <c r="BI987" t="s" s="0">
        <v>2955</v>
      </c>
      <c r="BJ987" t="s" s="0">
        <v>21238</v>
      </c>
      <c r="BK987" t="s" s="1963">
        <f>HYPERLINK("http://dx.doi.org/10.3390/informatics13060091","http://dx.doi.org/10.3390/informatics13060091")</f>
        <v>21239</v>
      </c>
      <c r="BL987" t="s" s="0">
        <v>81</v>
      </c>
      <c r="BM987" t="s" s="0">
        <v>849</v>
      </c>
      <c r="BN987" t="s" s="0">
        <v>228</v>
      </c>
      <c r="BO987" t="s" s="0">
        <v>1493</v>
      </c>
      <c r="BP987" t="s" s="0">
        <v>152</v>
      </c>
      <c r="BQ987" t="s" s="0">
        <v>21240</v>
      </c>
      <c r="BR987" t="s" s="0">
        <v>81</v>
      </c>
      <c r="BS987" t="s" s="0">
        <v>21241</v>
      </c>
      <c r="BT987" t="s" s="1964">
        <f>HYPERLINK("https://www.webofscience.com/wos/woscc/full-record/WOS:001802493600001","View Record in Web of Science")</f>
        <v>114</v>
      </c>
      <c r="BU987" t="s" s="0">
        <v>115</v>
      </c>
      <c r="BV987" t="s" s="0">
        <v>81</v>
      </c>
      <c r="BW987" t="s" s="0">
        <v>81</v>
      </c>
      <c r="BX987" t="s" s="0">
        <v>116</v>
      </c>
    </row>
    <row r="988">
      <c r="A988" t="s" s="0">
        <v>77</v>
      </c>
      <c r="B988" t="s" s="0">
        <v>77</v>
      </c>
      <c r="C988" t="s" s="0">
        <v>156</v>
      </c>
      <c r="D988" t="s" s="0">
        <v>77</v>
      </c>
      <c r="E988" t="s" s="0">
        <v>21242</v>
      </c>
      <c r="F988" t="s" s="0">
        <v>21243</v>
      </c>
      <c r="G988" t="s" s="0">
        <v>21244</v>
      </c>
      <c r="H988" t="s" s="0">
        <v>81</v>
      </c>
      <c r="I988" t="s" s="0">
        <v>589</v>
      </c>
      <c r="J988" t="s" s="0">
        <v>21245</v>
      </c>
      <c r="K988" t="s" s="0">
        <v>21246</v>
      </c>
      <c r="L988" t="s" s="0">
        <v>21247</v>
      </c>
      <c r="M988" t="s" s="0">
        <v>7157</v>
      </c>
      <c r="N988" t="s" s="0">
        <v>21248</v>
      </c>
      <c r="O988" t="s" s="0">
        <v>21249</v>
      </c>
      <c r="P988" t="s" s="0">
        <v>21250</v>
      </c>
      <c r="Q988" t="s" s="0">
        <v>87</v>
      </c>
      <c r="R988" t="s" s="0">
        <v>81</v>
      </c>
      <c r="S988" t="s" s="0">
        <v>81</v>
      </c>
      <c r="T988" t="s" s="0">
        <v>81</v>
      </c>
      <c r="U988" t="s" s="0">
        <v>81</v>
      </c>
      <c r="V988" t="s" s="0">
        <v>21251</v>
      </c>
      <c r="W988" t="s" s="0">
        <v>9532</v>
      </c>
      <c r="X988" t="s" s="0">
        <v>81</v>
      </c>
      <c r="Y988" t="s" s="0">
        <v>81</v>
      </c>
      <c r="Z988" t="s" s="0">
        <v>90</v>
      </c>
      <c r="AA988" t="s" s="0">
        <v>91</v>
      </c>
      <c r="AB988" t="s" s="0">
        <v>81</v>
      </c>
      <c r="AC988" t="s" s="0">
        <v>81</v>
      </c>
      <c r="AD988" t="s" s="0">
        <v>81</v>
      </c>
      <c r="AE988" t="s" s="0">
        <v>81</v>
      </c>
      <c r="AF988" t="s" s="0">
        <v>81</v>
      </c>
      <c r="AG988" t="s" s="0">
        <v>21252</v>
      </c>
      <c r="AH988" t="s" s="0">
        <v>21253</v>
      </c>
      <c r="AI988" t="s" s="0">
        <v>21254</v>
      </c>
      <c r="AJ988" t="s" s="0">
        <v>21255</v>
      </c>
      <c r="AK988" t="s" s="0">
        <v>81</v>
      </c>
      <c r="AL988" t="s" s="0">
        <v>2302</v>
      </c>
      <c r="AM988" t="s" s="0">
        <v>671</v>
      </c>
      <c r="AN988" t="s" s="0">
        <v>1635</v>
      </c>
      <c r="AO988" t="s" s="0">
        <v>150</v>
      </c>
      <c r="AP988" t="s" s="0">
        <v>544</v>
      </c>
      <c r="AQ988" t="s" s="0">
        <v>428</v>
      </c>
      <c r="AR988" t="s" s="0">
        <v>429</v>
      </c>
      <c r="AS988" t="s" s="0">
        <v>430</v>
      </c>
      <c r="AT988" t="s" s="0">
        <v>9537</v>
      </c>
      <c r="AU988" t="s" s="0">
        <v>9538</v>
      </c>
      <c r="AV988" t="s" s="0">
        <v>81</v>
      </c>
      <c r="AW988" t="s" s="0">
        <v>9539</v>
      </c>
      <c r="AX988" t="s" s="0">
        <v>9540</v>
      </c>
      <c r="AY988" t="s" s="0">
        <v>1743</v>
      </c>
      <c r="AZ988" t="s" s="0">
        <v>290</v>
      </c>
      <c r="BA988" t="s" s="0">
        <v>6401</v>
      </c>
      <c r="BB988" t="s" s="0">
        <v>81</v>
      </c>
      <c r="BC988" t="s" s="0">
        <v>81</v>
      </c>
      <c r="BD988" t="s" s="0">
        <v>81</v>
      </c>
      <c r="BE988" t="s" s="0">
        <v>81</v>
      </c>
      <c r="BF988" t="s" s="0">
        <v>81</v>
      </c>
      <c r="BG988" t="s" s="0">
        <v>81</v>
      </c>
      <c r="BH988" t="s" s="0">
        <v>81</v>
      </c>
      <c r="BI988" t="s" s="0">
        <v>21256</v>
      </c>
      <c r="BJ988" t="s" s="0">
        <v>21257</v>
      </c>
      <c r="BK988" t="s" s="1965">
        <f>HYPERLINK("http://dx.doi.org/10.1016/j.techfore.2025.124304","http://dx.doi.org/10.1016/j.techfore.2025.124304")</f>
        <v>21258</v>
      </c>
      <c r="BL988" t="s" s="0">
        <v>81</v>
      </c>
      <c r="BM988" t="s" s="0">
        <v>1869</v>
      </c>
      <c r="BN988" t="s" s="0">
        <v>222</v>
      </c>
      <c r="BO988" t="s" s="0">
        <v>9545</v>
      </c>
      <c r="BP988" t="s" s="0">
        <v>9546</v>
      </c>
      <c r="BQ988" t="s" s="0">
        <v>21259</v>
      </c>
      <c r="BR988" t="s" s="0">
        <v>81</v>
      </c>
      <c r="BS988" t="s" s="0">
        <v>21260</v>
      </c>
      <c r="BT988" t="s" s="1966">
        <f>HYPERLINK("https://www.webofscience.com/wos/woscc/full-record/WOS:001582075500004","View Record in Web of Science")</f>
        <v>114</v>
      </c>
      <c r="BU988" t="s" s="0">
        <v>1055</v>
      </c>
      <c r="BV988" t="s" s="0">
        <v>81</v>
      </c>
      <c r="BW988" t="s" s="0">
        <v>81</v>
      </c>
      <c r="BX988" t="s" s="0">
        <v>116</v>
      </c>
    </row>
    <row r="989">
      <c r="A989" t="s" s="0">
        <v>77</v>
      </c>
      <c r="B989" t="s" s="0">
        <v>77</v>
      </c>
      <c r="C989" t="s" s="0">
        <v>77</v>
      </c>
      <c r="D989" t="s" s="0">
        <v>77</v>
      </c>
      <c r="E989" t="s" s="0">
        <v>21261</v>
      </c>
      <c r="F989" t="s" s="0">
        <v>21262</v>
      </c>
      <c r="G989" t="s" s="0">
        <v>21263</v>
      </c>
      <c r="H989" t="s" s="0">
        <v>81</v>
      </c>
      <c r="I989" t="s" s="0">
        <v>82</v>
      </c>
      <c r="J989" t="s" s="0">
        <v>21264</v>
      </c>
      <c r="K989" t="s" s="0">
        <v>21265</v>
      </c>
      <c r="L989" t="s" s="0">
        <v>21266</v>
      </c>
      <c r="M989" t="s" s="0">
        <v>21267</v>
      </c>
      <c r="N989" t="s" s="0">
        <v>21268</v>
      </c>
      <c r="O989" t="s" s="0">
        <v>21269</v>
      </c>
      <c r="P989" t="s" s="0">
        <v>21270</v>
      </c>
      <c r="Q989" t="s" s="0">
        <v>87</v>
      </c>
      <c r="R989" t="s" s="0">
        <v>81</v>
      </c>
      <c r="S989" t="s" s="0">
        <v>81</v>
      </c>
      <c r="T989" t="s" s="0">
        <v>81</v>
      </c>
      <c r="U989" t="s" s="0">
        <v>81</v>
      </c>
      <c r="V989" t="s" s="0">
        <v>21271</v>
      </c>
      <c r="W989" t="s" s="0">
        <v>21272</v>
      </c>
      <c r="X989" t="s" s="0">
        <v>81</v>
      </c>
      <c r="Y989" t="s" s="0">
        <v>81</v>
      </c>
      <c r="Z989" t="s" s="0">
        <v>90</v>
      </c>
      <c r="AA989" t="s" s="0">
        <v>91</v>
      </c>
      <c r="AB989" t="s" s="0">
        <v>81</v>
      </c>
      <c r="AC989" t="s" s="0">
        <v>81</v>
      </c>
      <c r="AD989" t="s" s="0">
        <v>81</v>
      </c>
      <c r="AE989" t="s" s="0">
        <v>81</v>
      </c>
      <c r="AF989" t="s" s="0">
        <v>81</v>
      </c>
      <c r="AG989" t="s" s="0">
        <v>21273</v>
      </c>
      <c r="AH989" t="s" s="0">
        <v>81</v>
      </c>
      <c r="AI989" t="s" s="0">
        <v>21274</v>
      </c>
      <c r="AJ989" t="s" s="0">
        <v>21275</v>
      </c>
      <c r="AK989" t="s" s="0">
        <v>81</v>
      </c>
      <c r="AL989" t="s" s="0">
        <v>890</v>
      </c>
      <c r="AM989" t="s" s="0">
        <v>196</v>
      </c>
      <c r="AN989" t="s" s="0">
        <v>196</v>
      </c>
      <c r="AO989" t="s" s="0">
        <v>191</v>
      </c>
      <c r="AP989" t="s" s="0">
        <v>434</v>
      </c>
      <c r="AQ989" t="s" s="0">
        <v>1608</v>
      </c>
      <c r="AR989" t="s" s="0">
        <v>1609</v>
      </c>
      <c r="AS989" t="s" s="0">
        <v>1610</v>
      </c>
      <c r="AT989" t="s" s="0">
        <v>21276</v>
      </c>
      <c r="AU989" t="s" s="0">
        <v>21277</v>
      </c>
      <c r="AV989" t="s" s="0">
        <v>81</v>
      </c>
      <c r="AW989" t="s" s="0">
        <v>21272</v>
      </c>
      <c r="AX989" t="s" s="0">
        <v>21278</v>
      </c>
      <c r="AY989" t="s" s="0">
        <v>1869</v>
      </c>
      <c r="AZ989" t="s" s="0">
        <v>290</v>
      </c>
      <c r="BA989" t="s" s="0">
        <v>21279</v>
      </c>
      <c r="BB989" t="s" s="0">
        <v>81</v>
      </c>
      <c r="BC989" t="s" s="0">
        <v>81</v>
      </c>
      <c r="BD989" t="s" s="0">
        <v>81</v>
      </c>
      <c r="BE989" t="s" s="0">
        <v>81</v>
      </c>
      <c r="BF989" t="s" s="0">
        <v>81</v>
      </c>
      <c r="BG989" t="s" s="0">
        <v>81</v>
      </c>
      <c r="BH989" t="s" s="0">
        <v>81</v>
      </c>
      <c r="BI989" t="s" s="0">
        <v>21280</v>
      </c>
      <c r="BJ989" t="s" s="0">
        <v>21281</v>
      </c>
      <c r="BK989" t="s" s="1967">
        <f>HYPERLINK("http://dx.doi.org/10.1016/j.maturitas.2025.108616","http://dx.doi.org/10.1016/j.maturitas.2025.108616")</f>
        <v>21282</v>
      </c>
      <c r="BL989" t="s" s="0">
        <v>81</v>
      </c>
      <c r="BM989" t="s" s="0">
        <v>615</v>
      </c>
      <c r="BN989" t="s" s="0">
        <v>381</v>
      </c>
      <c r="BO989" t="s" s="0">
        <v>21283</v>
      </c>
      <c r="BP989" t="s" s="0">
        <v>21283</v>
      </c>
      <c r="BQ989" t="s" s="0">
        <v>21284</v>
      </c>
      <c r="BR989" t="s" s="0">
        <v>21285</v>
      </c>
      <c r="BS989" t="s" s="0">
        <v>21286</v>
      </c>
      <c r="BT989" t="s" s="1968">
        <f>HYPERLINK("https://www.webofscience.com/wos/woscc/full-record/WOS:001502754400001","View Record in Web of Science")</f>
        <v>114</v>
      </c>
      <c r="BU989" t="s" s="0">
        <v>155</v>
      </c>
      <c r="BV989" t="s" s="0">
        <v>81</v>
      </c>
      <c r="BW989" t="s" s="0">
        <v>81</v>
      </c>
      <c r="BX989" t="s" s="0">
        <v>116</v>
      </c>
    </row>
    <row r="990">
      <c r="A990" t="s" s="0">
        <v>77</v>
      </c>
      <c r="B990" t="s" s="0">
        <v>77</v>
      </c>
      <c r="C990" t="s" s="0">
        <v>77</v>
      </c>
      <c r="D990" t="s" s="0">
        <v>77</v>
      </c>
      <c r="E990" t="s" s="0">
        <v>21287</v>
      </c>
      <c r="F990" t="s" s="0">
        <v>21288</v>
      </c>
      <c r="G990" t="s" s="0">
        <v>21289</v>
      </c>
      <c r="H990" t="s" s="0">
        <v>81</v>
      </c>
      <c r="I990" t="s" s="0">
        <v>589</v>
      </c>
      <c r="J990" t="s" s="0">
        <v>21290</v>
      </c>
      <c r="K990" t="s" s="0">
        <v>21291</v>
      </c>
      <c r="L990" t="s" s="0">
        <v>81</v>
      </c>
      <c r="M990" t="s" s="0">
        <v>81</v>
      </c>
      <c r="N990" t="s" s="0">
        <v>21292</v>
      </c>
      <c r="O990" t="s" s="0">
        <v>21293</v>
      </c>
      <c r="P990" t="s" s="0">
        <v>21294</v>
      </c>
      <c r="Q990" t="s" s="0">
        <v>87</v>
      </c>
      <c r="R990" t="s" s="0">
        <v>81</v>
      </c>
      <c r="S990" t="s" s="0">
        <v>81</v>
      </c>
      <c r="T990" t="s" s="0">
        <v>81</v>
      </c>
      <c r="U990" t="s" s="0">
        <v>81</v>
      </c>
      <c r="V990" t="s" s="0">
        <v>21295</v>
      </c>
      <c r="W990" t="s" s="0">
        <v>21296</v>
      </c>
      <c r="X990" t="s" s="0">
        <v>81</v>
      </c>
      <c r="Y990" t="s" s="0">
        <v>81</v>
      </c>
      <c r="Z990" t="s" s="0">
        <v>90</v>
      </c>
      <c r="AA990" t="s" s="0">
        <v>91</v>
      </c>
      <c r="AB990" t="s" s="0">
        <v>81</v>
      </c>
      <c r="AC990" t="s" s="0">
        <v>81</v>
      </c>
      <c r="AD990" t="s" s="0">
        <v>81</v>
      </c>
      <c r="AE990" t="s" s="0">
        <v>81</v>
      </c>
      <c r="AF990" t="s" s="0">
        <v>81</v>
      </c>
      <c r="AG990" t="s" s="0">
        <v>81</v>
      </c>
      <c r="AH990" t="s" s="0">
        <v>21297</v>
      </c>
      <c r="AI990" t="s" s="0">
        <v>81</v>
      </c>
      <c r="AJ990" t="s" s="0">
        <v>81</v>
      </c>
      <c r="AK990" t="s" s="0">
        <v>81</v>
      </c>
      <c r="AL990" t="s" s="0">
        <v>8021</v>
      </c>
      <c r="AM990" t="s" s="0">
        <v>77</v>
      </c>
      <c r="AN990" t="s" s="0">
        <v>77</v>
      </c>
      <c r="AO990" t="s" s="0">
        <v>97</v>
      </c>
      <c r="AP990" t="s" s="0">
        <v>97</v>
      </c>
      <c r="AQ990" t="s" s="0">
        <v>3016</v>
      </c>
      <c r="AR990" t="s" s="0">
        <v>546</v>
      </c>
      <c r="AS990" t="s" s="0">
        <v>11501</v>
      </c>
      <c r="AT990" t="s" s="0">
        <v>81</v>
      </c>
      <c r="AU990" t="s" s="0">
        <v>21298</v>
      </c>
      <c r="AV990" t="s" s="0">
        <v>81</v>
      </c>
      <c r="AW990" t="s" s="0">
        <v>21299</v>
      </c>
      <c r="AX990" t="s" s="0">
        <v>21300</v>
      </c>
      <c r="AY990" t="s" s="0">
        <v>21301</v>
      </c>
      <c r="AZ990" t="s" s="0">
        <v>103</v>
      </c>
      <c r="BA990" t="s" s="0">
        <v>316</v>
      </c>
      <c r="BB990" t="s" s="0">
        <v>97</v>
      </c>
      <c r="BC990" t="s" s="0">
        <v>81</v>
      </c>
      <c r="BD990" t="s" s="0">
        <v>81</v>
      </c>
      <c r="BE990" t="s" s="0">
        <v>81</v>
      </c>
      <c r="BF990" t="s" s="0">
        <v>81</v>
      </c>
      <c r="BG990" t="s" s="0">
        <v>81</v>
      </c>
      <c r="BH990" t="s" s="0">
        <v>81</v>
      </c>
      <c r="BI990" t="s" s="0">
        <v>8214</v>
      </c>
      <c r="BJ990" t="s" s="0">
        <v>21302</v>
      </c>
      <c r="BK990" t="s" s="1969">
        <f>HYPERLINK("http://dx.doi.org/10.1038/s42949-026-00394-1","http://dx.doi.org/10.1038/s42949-026-00394-1")</f>
        <v>21303</v>
      </c>
      <c r="BL990" t="s" s="0">
        <v>81</v>
      </c>
      <c r="BM990" t="s" s="0">
        <v>948</v>
      </c>
      <c r="BN990" t="s" s="0">
        <v>222</v>
      </c>
      <c r="BO990" t="s" s="0">
        <v>21304</v>
      </c>
      <c r="BP990" t="s" s="0">
        <v>21305</v>
      </c>
      <c r="BQ990" t="s" s="0">
        <v>21306</v>
      </c>
      <c r="BR990" t="s" s="0">
        <v>81</v>
      </c>
      <c r="BS990" t="s" s="0">
        <v>21307</v>
      </c>
      <c r="BT990" t="s" s="1970">
        <f>HYPERLINK("https://www.webofscience.com/wos/woscc/full-record/WOS:001809260300001","View Record in Web of Science")</f>
        <v>114</v>
      </c>
      <c r="BU990" t="s" s="0">
        <v>115</v>
      </c>
      <c r="BV990" t="s" s="0">
        <v>81</v>
      </c>
      <c r="BW990" t="s" s="0">
        <v>81</v>
      </c>
      <c r="BX990" t="s" s="0">
        <v>116</v>
      </c>
    </row>
    <row r="991">
      <c r="A991" t="s" s="0">
        <v>77</v>
      </c>
      <c r="B991" t="s" s="0">
        <v>77</v>
      </c>
      <c r="C991" t="s" s="0">
        <v>77</v>
      </c>
      <c r="D991" t="s" s="0">
        <v>77</v>
      </c>
      <c r="E991" t="s" s="0">
        <v>21308</v>
      </c>
      <c r="F991" t="s" s="0">
        <v>21309</v>
      </c>
      <c r="G991" t="s" s="0">
        <v>21310</v>
      </c>
      <c r="H991" t="s" s="0">
        <v>81</v>
      </c>
      <c r="I991" t="s" s="0">
        <v>82</v>
      </c>
      <c r="J991" t="s" s="0">
        <v>21311</v>
      </c>
      <c r="K991" t="s" s="0">
        <v>21312</v>
      </c>
      <c r="L991" t="s" s="0">
        <v>81</v>
      </c>
      <c r="M991" t="s" s="0">
        <v>81</v>
      </c>
      <c r="N991" t="s" s="0">
        <v>81</v>
      </c>
      <c r="O991" t="s" s="0">
        <v>21313</v>
      </c>
      <c r="P991" t="s" s="0">
        <v>21314</v>
      </c>
      <c r="Q991" t="s" s="0">
        <v>87</v>
      </c>
      <c r="R991" t="s" s="0">
        <v>81</v>
      </c>
      <c r="S991" t="s" s="0">
        <v>81</v>
      </c>
      <c r="T991" t="s" s="0">
        <v>81</v>
      </c>
      <c r="U991" t="s" s="0">
        <v>81</v>
      </c>
      <c r="V991" t="s" s="0">
        <v>21315</v>
      </c>
      <c r="W991" t="s" s="0">
        <v>4514</v>
      </c>
      <c r="X991" t="s" s="0">
        <v>81</v>
      </c>
      <c r="Y991" t="s" s="0">
        <v>81</v>
      </c>
      <c r="Z991" t="s" s="0">
        <v>90</v>
      </c>
      <c r="AA991" t="s" s="0">
        <v>91</v>
      </c>
      <c r="AB991" t="s" s="0">
        <v>81</v>
      </c>
      <c r="AC991" t="s" s="0">
        <v>81</v>
      </c>
      <c r="AD991" t="s" s="0">
        <v>81</v>
      </c>
      <c r="AE991" t="s" s="0">
        <v>81</v>
      </c>
      <c r="AF991" t="s" s="0">
        <v>81</v>
      </c>
      <c r="AG991" t="s" s="0">
        <v>81</v>
      </c>
      <c r="AH991" t="s" s="0">
        <v>7779</v>
      </c>
      <c r="AI991" t="s" s="0">
        <v>21316</v>
      </c>
      <c r="AJ991" t="s" s="0">
        <v>81</v>
      </c>
      <c r="AK991" t="s" s="0">
        <v>81</v>
      </c>
      <c r="AL991" t="s" s="0">
        <v>2819</v>
      </c>
      <c r="AM991" t="s" s="0">
        <v>97</v>
      </c>
      <c r="AN991" t="s" s="0">
        <v>156</v>
      </c>
      <c r="AO991" t="s" s="0">
        <v>97</v>
      </c>
      <c r="AP991" t="s" s="0">
        <v>97</v>
      </c>
      <c r="AQ991" t="s" s="0">
        <v>3734</v>
      </c>
      <c r="AR991" t="s" s="0">
        <v>604</v>
      </c>
      <c r="AS991" t="s" s="0">
        <v>3735</v>
      </c>
      <c r="AT991" t="s" s="0">
        <v>4519</v>
      </c>
      <c r="AU991" t="s" s="0">
        <v>4520</v>
      </c>
      <c r="AV991" t="s" s="0">
        <v>81</v>
      </c>
      <c r="AW991" t="s" s="0">
        <v>4521</v>
      </c>
      <c r="AX991" t="s" s="0">
        <v>4522</v>
      </c>
      <c r="AY991" t="s" s="0">
        <v>3366</v>
      </c>
      <c r="AZ991" t="s" s="0">
        <v>103</v>
      </c>
      <c r="BA991" t="s" s="0">
        <v>21317</v>
      </c>
      <c r="BB991" t="s" s="0">
        <v>97</v>
      </c>
      <c r="BC991" t="s" s="0">
        <v>81</v>
      </c>
      <c r="BD991" t="s" s="0">
        <v>81</v>
      </c>
      <c r="BE991" t="s" s="0">
        <v>81</v>
      </c>
      <c r="BF991" t="s" s="0">
        <v>81</v>
      </c>
      <c r="BG991" t="s" s="0">
        <v>21318</v>
      </c>
      <c r="BH991" t="s" s="0">
        <v>2578</v>
      </c>
      <c r="BI991" t="s" s="0">
        <v>81</v>
      </c>
      <c r="BJ991" t="s" s="0">
        <v>21319</v>
      </c>
      <c r="BK991" t="s" s="1971">
        <f>HYPERLINK("http://dx.doi.org/10.1097/XCS.0000000000001834","http://dx.doi.org/10.1097/XCS.0000000000001834")</f>
        <v>21320</v>
      </c>
      <c r="BL991" t="s" s="0">
        <v>81</v>
      </c>
      <c r="BM991" t="s" s="0">
        <v>81</v>
      </c>
      <c r="BN991" t="s" s="0">
        <v>134</v>
      </c>
      <c r="BO991" t="s" s="0">
        <v>4529</v>
      </c>
      <c r="BP991" t="s" s="0">
        <v>4529</v>
      </c>
      <c r="BQ991" t="s" s="0">
        <v>21321</v>
      </c>
      <c r="BR991" t="s" s="0">
        <v>21322</v>
      </c>
      <c r="BS991" t="s" s="0">
        <v>21323</v>
      </c>
      <c r="BT991" t="s" s="1972">
        <f>HYPERLINK("https://www.webofscience.com/wos/woscc/full-record/WOS:001792125800017","View Record in Web of Science")</f>
        <v>114</v>
      </c>
      <c r="BU991" t="s" s="0">
        <v>81</v>
      </c>
      <c r="BV991" t="s" s="0">
        <v>81</v>
      </c>
      <c r="BW991" t="s" s="0">
        <v>81</v>
      </c>
      <c r="BX991" t="s" s="0">
        <v>116</v>
      </c>
    </row>
    <row r="992">
      <c r="A992" t="s" s="0">
        <v>77</v>
      </c>
      <c r="B992" t="s" s="0">
        <v>77</v>
      </c>
      <c r="C992" t="s" s="0">
        <v>77</v>
      </c>
      <c r="D992" t="s" s="0">
        <v>77</v>
      </c>
      <c r="E992" t="s" s="0">
        <v>21324</v>
      </c>
      <c r="F992" t="s" s="0">
        <v>21325</v>
      </c>
      <c r="G992" t="s" s="0">
        <v>21326</v>
      </c>
      <c r="H992" t="s" s="0">
        <v>81</v>
      </c>
      <c r="I992" t="s" s="0">
        <v>238</v>
      </c>
      <c r="J992" t="s" s="0">
        <v>21327</v>
      </c>
      <c r="K992" t="s" s="0">
        <v>21328</v>
      </c>
      <c r="L992" t="s" s="0">
        <v>21329</v>
      </c>
      <c r="M992" t="s" s="0">
        <v>21329</v>
      </c>
      <c r="N992" t="s" s="0">
        <v>21330</v>
      </c>
      <c r="O992" t="s" s="0">
        <v>21331</v>
      </c>
      <c r="P992" t="s" s="0">
        <v>21332</v>
      </c>
      <c r="Q992" t="s" s="0">
        <v>87</v>
      </c>
      <c r="R992" t="s" s="0">
        <v>81</v>
      </c>
      <c r="S992" t="s" s="0">
        <v>81</v>
      </c>
      <c r="T992" t="s" s="0">
        <v>81</v>
      </c>
      <c r="U992" t="s" s="0">
        <v>81</v>
      </c>
      <c r="V992" t="s" s="0">
        <v>21333</v>
      </c>
      <c r="W992" t="s" s="0">
        <v>21334</v>
      </c>
      <c r="X992" t="s" s="0">
        <v>81</v>
      </c>
      <c r="Y992" t="s" s="0">
        <v>81</v>
      </c>
      <c r="Z992" t="s" s="0">
        <v>90</v>
      </c>
      <c r="AA992" t="s" s="0">
        <v>91</v>
      </c>
      <c r="AB992" t="s" s="0">
        <v>81</v>
      </c>
      <c r="AC992" t="s" s="0">
        <v>81</v>
      </c>
      <c r="AD992" t="s" s="0">
        <v>81</v>
      </c>
      <c r="AE992" t="s" s="0">
        <v>81</v>
      </c>
      <c r="AF992" t="s" s="0">
        <v>81</v>
      </c>
      <c r="AG992" t="s" s="0">
        <v>21335</v>
      </c>
      <c r="AH992" t="s" s="0">
        <v>21336</v>
      </c>
      <c r="AI992" t="s" s="0">
        <v>21337</v>
      </c>
      <c r="AJ992" t="s" s="0">
        <v>21338</v>
      </c>
      <c r="AK992" t="s" s="0">
        <v>81</v>
      </c>
      <c r="AL992" t="s" s="0">
        <v>3786</v>
      </c>
      <c r="AM992" t="s" s="0">
        <v>77</v>
      </c>
      <c r="AN992" t="s" s="0">
        <v>77</v>
      </c>
      <c r="AO992" t="s" s="0">
        <v>156</v>
      </c>
      <c r="AP992" t="s" s="0">
        <v>156</v>
      </c>
      <c r="AQ992" t="s" s="0">
        <v>11308</v>
      </c>
      <c r="AR992" t="s" s="0">
        <v>11309</v>
      </c>
      <c r="AS992" t="s" s="0">
        <v>11310</v>
      </c>
      <c r="AT992" t="s" s="0">
        <v>21339</v>
      </c>
      <c r="AU992" t="s" s="0">
        <v>81</v>
      </c>
      <c r="AV992" t="s" s="0">
        <v>81</v>
      </c>
      <c r="AW992" t="s" s="0">
        <v>21340</v>
      </c>
      <c r="AX992" t="s" s="0">
        <v>21341</v>
      </c>
      <c r="AY992" t="s" s="0">
        <v>290</v>
      </c>
      <c r="AZ992" t="s" s="0">
        <v>290</v>
      </c>
      <c r="BA992" t="s" s="0">
        <v>222</v>
      </c>
      <c r="BB992" t="s" s="0">
        <v>81</v>
      </c>
      <c r="BC992" t="s" s="0">
        <v>81</v>
      </c>
      <c r="BD992" t="s" s="0">
        <v>81</v>
      </c>
      <c r="BE992" t="s" s="0">
        <v>81</v>
      </c>
      <c r="BF992" t="s" s="0">
        <v>81</v>
      </c>
      <c r="BG992" t="s" s="0">
        <v>21342</v>
      </c>
      <c r="BH992" t="s" s="0">
        <v>21343</v>
      </c>
      <c r="BI992" t="s" s="0">
        <v>81</v>
      </c>
      <c r="BJ992" t="s" s="0">
        <v>21344</v>
      </c>
      <c r="BK992" t="s" s="1973">
        <f>HYPERLINK("http://dx.doi.org/10.2147/JHL.S550933","http://dx.doi.org/10.2147/JHL.S550933")</f>
        <v>21345</v>
      </c>
      <c r="BL992" t="s" s="0">
        <v>81</v>
      </c>
      <c r="BM992" t="s" s="0">
        <v>81</v>
      </c>
      <c r="BN992" t="s" s="0">
        <v>344</v>
      </c>
      <c r="BO992" t="s" s="0">
        <v>13785</v>
      </c>
      <c r="BP992" t="s" s="0">
        <v>4482</v>
      </c>
      <c r="BQ992" t="s" s="0">
        <v>21346</v>
      </c>
      <c r="BR992" t="s" s="0">
        <v>21347</v>
      </c>
      <c r="BS992" t="s" s="0">
        <v>21348</v>
      </c>
      <c r="BT992" t="s" s="1974">
        <f>HYPERLINK("https://www.webofscience.com/wos/woscc/full-record/WOS:001605497000001","View Record in Web of Science")</f>
        <v>114</v>
      </c>
      <c r="BU992" t="s" s="0">
        <v>17810</v>
      </c>
      <c r="BV992" t="s" s="0">
        <v>81</v>
      </c>
      <c r="BW992" t="s" s="0">
        <v>81</v>
      </c>
      <c r="BX992" t="s" s="0">
        <v>116</v>
      </c>
    </row>
    <row r="993">
      <c r="A993" t="s" s="0">
        <v>77</v>
      </c>
      <c r="B993" t="s" s="0">
        <v>77</v>
      </c>
      <c r="C993" t="s" s="0">
        <v>77</v>
      </c>
      <c r="D993" t="s" s="0">
        <v>77</v>
      </c>
      <c r="E993" t="s" s="0">
        <v>21349</v>
      </c>
      <c r="F993" t="s" s="0">
        <v>21350</v>
      </c>
      <c r="G993" t="s" s="0">
        <v>21351</v>
      </c>
      <c r="H993" t="s" s="0">
        <v>81</v>
      </c>
      <c r="I993" t="s" s="0">
        <v>528</v>
      </c>
      <c r="J993" t="s" s="0">
        <v>21352</v>
      </c>
      <c r="K993" t="s" s="0">
        <v>21353</v>
      </c>
      <c r="L993" t="s" s="0">
        <v>21354</v>
      </c>
      <c r="M993" t="s" s="0">
        <v>21355</v>
      </c>
      <c r="N993" t="s" s="0">
        <v>21356</v>
      </c>
      <c r="O993" t="s" s="0">
        <v>21357</v>
      </c>
      <c r="P993" t="s" s="0">
        <v>21358</v>
      </c>
      <c r="Q993" t="s" s="0">
        <v>87</v>
      </c>
      <c r="R993" t="s" s="0">
        <v>81</v>
      </c>
      <c r="S993" t="s" s="0">
        <v>81</v>
      </c>
      <c r="T993" t="s" s="0">
        <v>81</v>
      </c>
      <c r="U993" t="s" s="0">
        <v>81</v>
      </c>
      <c r="V993" t="s" s="0">
        <v>21359</v>
      </c>
      <c r="W993" t="s" s="0">
        <v>8380</v>
      </c>
      <c r="X993" t="s" s="0">
        <v>81</v>
      </c>
      <c r="Y993" t="s" s="0">
        <v>81</v>
      </c>
      <c r="Z993" t="s" s="0">
        <v>90</v>
      </c>
      <c r="AA993" t="s" s="0">
        <v>1581</v>
      </c>
      <c r="AB993" t="s" s="0">
        <v>81</v>
      </c>
      <c r="AC993" t="s" s="0">
        <v>81</v>
      </c>
      <c r="AD993" t="s" s="0">
        <v>81</v>
      </c>
      <c r="AE993" t="s" s="0">
        <v>81</v>
      </c>
      <c r="AF993" t="s" s="0">
        <v>81</v>
      </c>
      <c r="AG993" t="s" s="0">
        <v>21360</v>
      </c>
      <c r="AH993" t="s" s="0">
        <v>81</v>
      </c>
      <c r="AI993" t="s" s="0">
        <v>21361</v>
      </c>
      <c r="AJ993" t="s" s="0">
        <v>81</v>
      </c>
      <c r="AK993" t="s" s="0">
        <v>81</v>
      </c>
      <c r="AL993" t="s" s="0">
        <v>253</v>
      </c>
      <c r="AM993" t="s" s="0">
        <v>77</v>
      </c>
      <c r="AN993" t="s" s="0">
        <v>77</v>
      </c>
      <c r="AO993" t="s" s="0">
        <v>77</v>
      </c>
      <c r="AP993" t="s" s="0">
        <v>77</v>
      </c>
      <c r="AQ993" t="s" s="0">
        <v>1654</v>
      </c>
      <c r="AR993" t="s" s="0">
        <v>1345</v>
      </c>
      <c r="AS993" t="s" s="0">
        <v>1655</v>
      </c>
      <c r="AT993" t="s" s="0">
        <v>8385</v>
      </c>
      <c r="AU993" t="s" s="0">
        <v>8386</v>
      </c>
      <c r="AV993" t="s" s="0">
        <v>81</v>
      </c>
      <c r="AW993" t="s" s="0">
        <v>8387</v>
      </c>
      <c r="AX993" t="s" s="0">
        <v>8388</v>
      </c>
      <c r="AY993" t="s" s="0">
        <v>81</v>
      </c>
      <c r="AZ993" t="s" s="0">
        <v>103</v>
      </c>
      <c r="BA993" t="s" s="0">
        <v>81</v>
      </c>
      <c r="BB993" t="s" s="0">
        <v>81</v>
      </c>
      <c r="BC993" t="s" s="0">
        <v>81</v>
      </c>
      <c r="BD993" t="s" s="0">
        <v>81</v>
      </c>
      <c r="BE993" t="s" s="0">
        <v>81</v>
      </c>
      <c r="BF993" t="s" s="0">
        <v>81</v>
      </c>
      <c r="BG993" t="s" s="0">
        <v>81</v>
      </c>
      <c r="BH993" t="s" s="0">
        <v>81</v>
      </c>
      <c r="BI993" t="s" s="0">
        <v>81</v>
      </c>
      <c r="BJ993" t="s" s="0">
        <v>21362</v>
      </c>
      <c r="BK993" t="s" s="1975">
        <f>HYPERLINK("http://dx.doi.org/10.1093/jamia/ocag123","http://dx.doi.org/10.1093/jamia/ocag123")</f>
        <v>21363</v>
      </c>
      <c r="BL993" t="s" s="0">
        <v>81</v>
      </c>
      <c r="BM993" t="s" s="0">
        <v>6101</v>
      </c>
      <c r="BN993" t="s" s="0">
        <v>486</v>
      </c>
      <c r="BO993" t="s" s="0">
        <v>8391</v>
      </c>
      <c r="BP993" t="s" s="0">
        <v>8392</v>
      </c>
      <c r="BQ993" t="s" s="0">
        <v>21364</v>
      </c>
      <c r="BR993" t="s" s="0">
        <v>21365</v>
      </c>
      <c r="BS993" t="s" s="0">
        <v>21366</v>
      </c>
      <c r="BT993" t="s" s="1976">
        <f>HYPERLINK("https://www.webofscience.com/wos/woscc/full-record/WOS:001842094200001","View Record in Web of Science")</f>
        <v>114</v>
      </c>
      <c r="BU993" t="s" s="0">
        <v>81</v>
      </c>
      <c r="BV993" t="s" s="0">
        <v>81</v>
      </c>
      <c r="BW993" t="s" s="0">
        <v>81</v>
      </c>
      <c r="BX993" t="s" s="0">
        <v>116</v>
      </c>
    </row>
    <row r="994">
      <c r="A994" t="s" s="0">
        <v>97</v>
      </c>
      <c r="B994" t="s" s="0">
        <v>77</v>
      </c>
      <c r="C994" t="s" s="0">
        <v>316</v>
      </c>
      <c r="D994" t="s" s="0">
        <v>77</v>
      </c>
      <c r="E994" t="s" s="0">
        <v>21367</v>
      </c>
      <c r="F994" t="s" s="0">
        <v>21368</v>
      </c>
      <c r="G994" t="s" s="0">
        <v>21369</v>
      </c>
      <c r="H994" t="s" s="0">
        <v>81</v>
      </c>
      <c r="I994" t="s" s="0">
        <v>238</v>
      </c>
      <c r="J994" t="s" s="0">
        <v>21370</v>
      </c>
      <c r="K994" t="s" s="0">
        <v>21371</v>
      </c>
      <c r="L994" t="s" s="0">
        <v>81</v>
      </c>
      <c r="M994" t="s" s="0">
        <v>81</v>
      </c>
      <c r="N994" t="s" s="0">
        <v>81</v>
      </c>
      <c r="O994" t="s" s="0">
        <v>21372</v>
      </c>
      <c r="P994" t="s" s="0">
        <v>21373</v>
      </c>
      <c r="Q994" t="s" s="0">
        <v>87</v>
      </c>
      <c r="R994" t="s" s="0">
        <v>81</v>
      </c>
      <c r="S994" t="s" s="0">
        <v>81</v>
      </c>
      <c r="T994" t="s" s="0">
        <v>81</v>
      </c>
      <c r="U994" t="s" s="0">
        <v>81</v>
      </c>
      <c r="V994" t="s" s="0">
        <v>21374</v>
      </c>
      <c r="W994" t="s" s="0">
        <v>21119</v>
      </c>
      <c r="X994" t="s" s="0">
        <v>81</v>
      </c>
      <c r="Y994" t="s" s="0">
        <v>81</v>
      </c>
      <c r="Z994" t="s" s="0">
        <v>90</v>
      </c>
      <c r="AA994" t="s" s="0">
        <v>91</v>
      </c>
      <c r="AB994" t="s" s="0">
        <v>81</v>
      </c>
      <c r="AC994" t="s" s="0">
        <v>81</v>
      </c>
      <c r="AD994" t="s" s="0">
        <v>81</v>
      </c>
      <c r="AE994" t="s" s="0">
        <v>81</v>
      </c>
      <c r="AF994" t="s" s="0">
        <v>81</v>
      </c>
      <c r="AG994" t="s" s="0">
        <v>21375</v>
      </c>
      <c r="AH994" t="s" s="0">
        <v>81</v>
      </c>
      <c r="AI994" t="s" s="0">
        <v>21376</v>
      </c>
      <c r="AJ994" t="s" s="0">
        <v>21377</v>
      </c>
      <c r="AK994" t="s" s="0">
        <v>81</v>
      </c>
      <c r="AL994" t="s" s="0">
        <v>252</v>
      </c>
      <c r="AM994" t="s" s="0">
        <v>1607</v>
      </c>
      <c r="AN994" t="s" s="0">
        <v>4311</v>
      </c>
      <c r="AO994" t="s" s="0">
        <v>175</v>
      </c>
      <c r="AP994" t="s" s="0">
        <v>697</v>
      </c>
      <c r="AQ994" t="s" s="0">
        <v>3016</v>
      </c>
      <c r="AR994" t="s" s="0">
        <v>546</v>
      </c>
      <c r="AS994" t="s" s="0">
        <v>3017</v>
      </c>
      <c r="AT994" t="s" s="0">
        <v>81</v>
      </c>
      <c r="AU994" t="s" s="0">
        <v>21122</v>
      </c>
      <c r="AV994" t="s" s="0">
        <v>81</v>
      </c>
      <c r="AW994" t="s" s="0">
        <v>21123</v>
      </c>
      <c r="AX994" t="s" s="0">
        <v>21124</v>
      </c>
      <c r="AY994" t="s" s="0">
        <v>21378</v>
      </c>
      <c r="AZ994" t="s" s="0">
        <v>185</v>
      </c>
      <c r="BA994" t="s" s="0">
        <v>925</v>
      </c>
      <c r="BB994" t="s" s="0">
        <v>133</v>
      </c>
      <c r="BC994" t="s" s="0">
        <v>81</v>
      </c>
      <c r="BD994" t="s" s="0">
        <v>81</v>
      </c>
      <c r="BE994" t="s" s="0">
        <v>81</v>
      </c>
      <c r="BF994" t="s" s="0">
        <v>81</v>
      </c>
      <c r="BG994" t="s" s="0">
        <v>81</v>
      </c>
      <c r="BH994" t="s" s="0">
        <v>81</v>
      </c>
      <c r="BI994" t="s" s="0">
        <v>21379</v>
      </c>
      <c r="BJ994" t="s" s="0">
        <v>21380</v>
      </c>
      <c r="BK994" t="s" s="1977">
        <f>HYPERLINK("http://dx.doi.org/10.7759/cureus.59799","http://dx.doi.org/10.7759/cureus.59799")</f>
        <v>21381</v>
      </c>
      <c r="BL994" t="s" s="0">
        <v>81</v>
      </c>
      <c r="BM994" t="s" s="0">
        <v>81</v>
      </c>
      <c r="BN994" t="s" s="0">
        <v>261</v>
      </c>
      <c r="BO994" t="s" s="0">
        <v>81</v>
      </c>
      <c r="BP994" t="s" s="0">
        <v>81</v>
      </c>
      <c r="BQ994" t="s" s="0">
        <v>21382</v>
      </c>
      <c r="BR994" t="s" s="0">
        <v>21383</v>
      </c>
      <c r="BS994" t="s" s="0">
        <v>21384</v>
      </c>
      <c r="BT994" t="s" s="1978">
        <f>HYPERLINK("https://www.webofscience.com/wos/woscc/full-record/WOS:001235443700035","View Record in Web of Science")</f>
        <v>114</v>
      </c>
      <c r="BU994" t="s" s="0">
        <v>301</v>
      </c>
      <c r="BV994" t="s" s="0">
        <v>81</v>
      </c>
      <c r="BW994" t="s" s="0">
        <v>81</v>
      </c>
      <c r="BX994" t="s" s="0">
        <v>116</v>
      </c>
    </row>
    <row r="995">
      <c r="A995" t="s" s="0">
        <v>77</v>
      </c>
      <c r="B995" t="s" s="0">
        <v>77</v>
      </c>
      <c r="C995" t="s" s="0">
        <v>77</v>
      </c>
      <c r="D995" t="s" s="0">
        <v>77</v>
      </c>
      <c r="E995" t="s" s="0">
        <v>21385</v>
      </c>
      <c r="F995" t="s" s="0">
        <v>21386</v>
      </c>
      <c r="G995" t="s" s="0">
        <v>21387</v>
      </c>
      <c r="H995" t="s" s="0">
        <v>81</v>
      </c>
      <c r="I995" t="s" s="0">
        <v>82</v>
      </c>
      <c r="J995" t="s" s="0">
        <v>21388</v>
      </c>
      <c r="K995" t="s" s="0">
        <v>21389</v>
      </c>
      <c r="L995" t="s" s="0">
        <v>21390</v>
      </c>
      <c r="M995" t="s" s="0">
        <v>21391</v>
      </c>
      <c r="N995" t="s" s="0">
        <v>21392</v>
      </c>
      <c r="O995" t="s" s="0">
        <v>21393</v>
      </c>
      <c r="P995" t="s" s="0">
        <v>21394</v>
      </c>
      <c r="Q995" t="s" s="0">
        <v>87</v>
      </c>
      <c r="R995" t="s" s="0">
        <v>81</v>
      </c>
      <c r="S995" t="s" s="0">
        <v>81</v>
      </c>
      <c r="T995" t="s" s="0">
        <v>81</v>
      </c>
      <c r="U995" t="s" s="0">
        <v>81</v>
      </c>
      <c r="V995" t="s" s="0">
        <v>21395</v>
      </c>
      <c r="W995" t="s" s="0">
        <v>6057</v>
      </c>
      <c r="X995" t="s" s="0">
        <v>81</v>
      </c>
      <c r="Y995" t="s" s="0">
        <v>81</v>
      </c>
      <c r="Z995" t="s" s="0">
        <v>90</v>
      </c>
      <c r="AA995" t="s" s="0">
        <v>91</v>
      </c>
      <c r="AB995" t="s" s="0">
        <v>81</v>
      </c>
      <c r="AC995" t="s" s="0">
        <v>81</v>
      </c>
      <c r="AD995" t="s" s="0">
        <v>81</v>
      </c>
      <c r="AE995" t="s" s="0">
        <v>81</v>
      </c>
      <c r="AF995" t="s" s="0">
        <v>81</v>
      </c>
      <c r="AG995" t="s" s="0">
        <v>21396</v>
      </c>
      <c r="AH995" t="s" s="0">
        <v>21397</v>
      </c>
      <c r="AI995" t="s" s="0">
        <v>81</v>
      </c>
      <c r="AJ995" t="s" s="0">
        <v>21398</v>
      </c>
      <c r="AK995" t="s" s="0">
        <v>81</v>
      </c>
      <c r="AL995" t="s" s="0">
        <v>3518</v>
      </c>
      <c r="AM995" t="s" s="0">
        <v>77</v>
      </c>
      <c r="AN995" t="s" s="0">
        <v>77</v>
      </c>
      <c r="AO995" t="s" s="0">
        <v>156</v>
      </c>
      <c r="AP995" t="s" s="0">
        <v>156</v>
      </c>
      <c r="AQ995" t="s" s="0">
        <v>3061</v>
      </c>
      <c r="AR995" t="s" s="0">
        <v>3062</v>
      </c>
      <c r="AS995" t="s" s="0">
        <v>3063</v>
      </c>
      <c r="AT995" t="s" s="0">
        <v>6061</v>
      </c>
      <c r="AU995" t="s" s="0">
        <v>81</v>
      </c>
      <c r="AV995" t="s" s="0">
        <v>81</v>
      </c>
      <c r="AW995" t="s" s="0">
        <v>6062</v>
      </c>
      <c r="AX995" t="s" s="0">
        <v>6063</v>
      </c>
      <c r="AY995" t="s" s="0">
        <v>103</v>
      </c>
      <c r="AZ995" t="s" s="0">
        <v>103</v>
      </c>
      <c r="BA995" t="s" s="0">
        <v>134</v>
      </c>
      <c r="BB995" t="s" s="0">
        <v>81</v>
      </c>
      <c r="BC995" t="s" s="0">
        <v>81</v>
      </c>
      <c r="BD995" t="s" s="0">
        <v>81</v>
      </c>
      <c r="BE995" t="s" s="0">
        <v>81</v>
      </c>
      <c r="BF995" t="s" s="0">
        <v>81</v>
      </c>
      <c r="BG995" t="s" s="0">
        <v>81</v>
      </c>
      <c r="BH995" t="s" s="0">
        <v>81</v>
      </c>
      <c r="BI995" t="s" s="0">
        <v>21399</v>
      </c>
      <c r="BJ995" t="s" s="0">
        <v>21400</v>
      </c>
      <c r="BK995" t="s" s="1979">
        <f>HYPERLINK("http://dx.doi.org/10.2196/98949","http://dx.doi.org/10.2196/98949")</f>
        <v>21401</v>
      </c>
      <c r="BL995" t="s" s="0">
        <v>81</v>
      </c>
      <c r="BM995" t="s" s="0">
        <v>81</v>
      </c>
      <c r="BN995" t="s" s="0">
        <v>367</v>
      </c>
      <c r="BO995" t="s" s="0">
        <v>6067</v>
      </c>
      <c r="BP995" t="s" s="0">
        <v>6068</v>
      </c>
      <c r="BQ995" t="s" s="0">
        <v>21402</v>
      </c>
      <c r="BR995" t="s" s="0">
        <v>21403</v>
      </c>
      <c r="BS995" t="s" s="0">
        <v>21404</v>
      </c>
      <c r="BT995" t="s" s="1980">
        <f>HYPERLINK("https://www.webofscience.com/wos/woscc/full-record/WOS:001817242900003","View Record in Web of Science")</f>
        <v>114</v>
      </c>
      <c r="BU995" t="s" s="0">
        <v>301</v>
      </c>
      <c r="BV995" t="s" s="0">
        <v>81</v>
      </c>
      <c r="BW995" t="s" s="0">
        <v>81</v>
      </c>
      <c r="BX995" t="s" s="0">
        <v>116</v>
      </c>
    </row>
    <row r="996">
      <c r="A996" t="s" s="0">
        <v>77</v>
      </c>
      <c r="B996" t="s" s="0">
        <v>77</v>
      </c>
      <c r="C996" t="s" s="0">
        <v>97</v>
      </c>
      <c r="D996" t="s" s="0">
        <v>77</v>
      </c>
      <c r="E996" t="s" s="0">
        <v>21405</v>
      </c>
      <c r="F996" t="s" s="0">
        <v>21406</v>
      </c>
      <c r="G996" t="s" s="0">
        <v>21407</v>
      </c>
      <c r="H996" t="s" s="0">
        <v>81</v>
      </c>
      <c r="I996" t="s" s="0">
        <v>528</v>
      </c>
      <c r="J996" t="s" s="0">
        <v>21408</v>
      </c>
      <c r="K996" t="s" s="0">
        <v>19509</v>
      </c>
      <c r="L996" t="s" s="0">
        <v>19511</v>
      </c>
      <c r="M996" t="s" s="0">
        <v>19511</v>
      </c>
      <c r="N996" t="s" s="0">
        <v>21409</v>
      </c>
      <c r="O996" t="s" s="0">
        <v>21410</v>
      </c>
      <c r="P996" t="s" s="0">
        <v>19511</v>
      </c>
      <c r="Q996" t="s" s="0">
        <v>87</v>
      </c>
      <c r="R996" t="s" s="0">
        <v>81</v>
      </c>
      <c r="S996" t="s" s="0">
        <v>81</v>
      </c>
      <c r="T996" t="s" s="0">
        <v>81</v>
      </c>
      <c r="U996" t="s" s="0">
        <v>81</v>
      </c>
      <c r="V996" t="s" s="0">
        <v>21411</v>
      </c>
      <c r="W996" t="s" s="0">
        <v>9822</v>
      </c>
      <c r="X996" t="s" s="0">
        <v>81</v>
      </c>
      <c r="Y996" t="s" s="0">
        <v>81</v>
      </c>
      <c r="Z996" t="s" s="0">
        <v>90</v>
      </c>
      <c r="AA996" t="s" s="0">
        <v>91</v>
      </c>
      <c r="AB996" t="s" s="0">
        <v>81</v>
      </c>
      <c r="AC996" t="s" s="0">
        <v>81</v>
      </c>
      <c r="AD996" t="s" s="0">
        <v>81</v>
      </c>
      <c r="AE996" t="s" s="0">
        <v>81</v>
      </c>
      <c r="AF996" t="s" s="0">
        <v>81</v>
      </c>
      <c r="AG996" t="s" s="0">
        <v>21412</v>
      </c>
      <c r="AH996" t="s" s="0">
        <v>21413</v>
      </c>
      <c r="AI996" t="s" s="0">
        <v>21414</v>
      </c>
      <c r="AJ996" t="s" s="0">
        <v>81</v>
      </c>
      <c r="AK996" t="s" s="0">
        <v>81</v>
      </c>
      <c r="AL996" t="s" s="0">
        <v>434</v>
      </c>
      <c r="AM996" t="s" s="0">
        <v>97</v>
      </c>
      <c r="AN996" t="s" s="0">
        <v>97</v>
      </c>
      <c r="AO996" t="s" s="0">
        <v>196</v>
      </c>
      <c r="AP996" t="s" s="0">
        <v>196</v>
      </c>
      <c r="AQ996" t="s" s="0">
        <v>9827</v>
      </c>
      <c r="AR996" t="s" s="0">
        <v>546</v>
      </c>
      <c r="AS996" t="s" s="0">
        <v>9828</v>
      </c>
      <c r="AT996" t="s" s="0">
        <v>9829</v>
      </c>
      <c r="AU996" t="s" s="0">
        <v>81</v>
      </c>
      <c r="AV996" t="s" s="0">
        <v>81</v>
      </c>
      <c r="AW996" t="s" s="0">
        <v>9830</v>
      </c>
      <c r="AX996" t="s" s="0">
        <v>9831</v>
      </c>
      <c r="AY996" t="s" s="0">
        <v>2108</v>
      </c>
      <c r="AZ996" t="s" s="0">
        <v>103</v>
      </c>
      <c r="BA996" t="s" s="0">
        <v>134</v>
      </c>
      <c r="BB996" t="s" s="0">
        <v>81</v>
      </c>
      <c r="BC996" t="s" s="0">
        <v>81</v>
      </c>
      <c r="BD996" t="s" s="0">
        <v>81</v>
      </c>
      <c r="BE996" t="s" s="0">
        <v>81</v>
      </c>
      <c r="BF996" t="s" s="0">
        <v>81</v>
      </c>
      <c r="BG996" t="s" s="0">
        <v>81</v>
      </c>
      <c r="BH996" t="s" s="0">
        <v>81</v>
      </c>
      <c r="BI996" t="s" s="0">
        <v>21415</v>
      </c>
      <c r="BJ996" t="s" s="0">
        <v>21416</v>
      </c>
      <c r="BK996" t="s" s="1981">
        <f>HYPERLINK("http://dx.doi.org/10.1177/20552076261452364","http://dx.doi.org/10.1177/20552076261452364")</f>
        <v>21417</v>
      </c>
      <c r="BL996" t="s" s="0">
        <v>81</v>
      </c>
      <c r="BM996" t="s" s="0">
        <v>81</v>
      </c>
      <c r="BN996" t="s" s="0">
        <v>261</v>
      </c>
      <c r="BO996" t="s" s="0">
        <v>9835</v>
      </c>
      <c r="BP996" t="s" s="0">
        <v>9836</v>
      </c>
      <c r="BQ996" t="s" s="0">
        <v>21418</v>
      </c>
      <c r="BR996" t="s" s="0">
        <v>21419</v>
      </c>
      <c r="BS996" t="s" s="0">
        <v>21420</v>
      </c>
      <c r="BT996" t="s" s="1982">
        <f>HYPERLINK("https://www.webofscience.com/wos/woscc/full-record/WOS:001783078800001","View Record in Web of Science")</f>
        <v>114</v>
      </c>
      <c r="BU996" t="s" s="0">
        <v>301</v>
      </c>
      <c r="BV996" t="s" s="0">
        <v>81</v>
      </c>
      <c r="BW996" t="s" s="0">
        <v>81</v>
      </c>
      <c r="BX996" t="s" s="0">
        <v>116</v>
      </c>
    </row>
    <row r="997">
      <c r="A997" t="s" s="0">
        <v>77</v>
      </c>
      <c r="B997" t="s" s="0">
        <v>77</v>
      </c>
      <c r="C997" t="s" s="0">
        <v>77</v>
      </c>
      <c r="D997" t="s" s="0">
        <v>77</v>
      </c>
      <c r="E997" t="s" s="0">
        <v>21421</v>
      </c>
      <c r="F997" t="s" s="0">
        <v>21422</v>
      </c>
      <c r="G997" t="s" s="0">
        <v>21423</v>
      </c>
      <c r="H997" t="s" s="0">
        <v>81</v>
      </c>
      <c r="I997" t="s" s="0">
        <v>82</v>
      </c>
      <c r="J997" t="s" s="0">
        <v>21424</v>
      </c>
      <c r="K997" t="s" s="0">
        <v>21425</v>
      </c>
      <c r="L997" t="s" s="0">
        <v>81</v>
      </c>
      <c r="M997" t="s" s="0">
        <v>81</v>
      </c>
      <c r="N997" t="s" s="0">
        <v>81</v>
      </c>
      <c r="O997" t="s" s="0">
        <v>21426</v>
      </c>
      <c r="P997" t="s" s="0">
        <v>21427</v>
      </c>
      <c r="Q997" t="s" s="0">
        <v>87</v>
      </c>
      <c r="R997" t="s" s="0">
        <v>81</v>
      </c>
      <c r="S997" t="s" s="0">
        <v>81</v>
      </c>
      <c r="T997" t="s" s="0">
        <v>81</v>
      </c>
      <c r="U997" t="s" s="0">
        <v>81</v>
      </c>
      <c r="V997" t="s" s="0">
        <v>21428</v>
      </c>
      <c r="W997" t="s" s="0">
        <v>2369</v>
      </c>
      <c r="X997" t="s" s="0">
        <v>81</v>
      </c>
      <c r="Y997" t="s" s="0">
        <v>81</v>
      </c>
      <c r="Z997" t="s" s="0">
        <v>90</v>
      </c>
      <c r="AA997" t="s" s="0">
        <v>91</v>
      </c>
      <c r="AB997" t="s" s="0">
        <v>81</v>
      </c>
      <c r="AC997" t="s" s="0">
        <v>81</v>
      </c>
      <c r="AD997" t="s" s="0">
        <v>81</v>
      </c>
      <c r="AE997" t="s" s="0">
        <v>81</v>
      </c>
      <c r="AF997" t="s" s="0">
        <v>81</v>
      </c>
      <c r="AG997" t="s" s="0">
        <v>21429</v>
      </c>
      <c r="AH997" t="s" s="0">
        <v>81</v>
      </c>
      <c r="AI997" t="s" s="0">
        <v>21430</v>
      </c>
      <c r="AJ997" t="s" s="0">
        <v>81</v>
      </c>
      <c r="AK997" t="s" s="0">
        <v>81</v>
      </c>
      <c r="AL997" t="s" s="0">
        <v>295</v>
      </c>
      <c r="AM997" t="s" s="0">
        <v>234</v>
      </c>
      <c r="AN997" t="s" s="0">
        <v>261</v>
      </c>
      <c r="AO997" t="s" s="0">
        <v>77</v>
      </c>
      <c r="AP997" t="s" s="0">
        <v>77</v>
      </c>
      <c r="AQ997" t="s" s="0">
        <v>98</v>
      </c>
      <c r="AR997" t="s" s="0">
        <v>99</v>
      </c>
      <c r="AS997" t="s" s="0">
        <v>100</v>
      </c>
      <c r="AT997" t="s" s="0">
        <v>2371</v>
      </c>
      <c r="AU997" t="s" s="0">
        <v>81</v>
      </c>
      <c r="AV997" t="s" s="0">
        <v>81</v>
      </c>
      <c r="AW997" t="s" s="0">
        <v>2372</v>
      </c>
      <c r="AX997" t="s" s="0">
        <v>2373</v>
      </c>
      <c r="AY997" t="s" s="0">
        <v>2374</v>
      </c>
      <c r="AZ997" t="s" s="0">
        <v>103</v>
      </c>
      <c r="BA997" t="s" s="0">
        <v>486</v>
      </c>
      <c r="BB997" t="s" s="0">
        <v>133</v>
      </c>
      <c r="BC997" t="s" s="0">
        <v>81</v>
      </c>
      <c r="BD997" t="s" s="0">
        <v>81</v>
      </c>
      <c r="BE997" t="s" s="0">
        <v>81</v>
      </c>
      <c r="BF997" t="s" s="0">
        <v>81</v>
      </c>
      <c r="BG997" t="s" s="0">
        <v>21431</v>
      </c>
      <c r="BH997" t="s" s="0">
        <v>21432</v>
      </c>
      <c r="BI997" t="s" s="0">
        <v>81</v>
      </c>
      <c r="BJ997" t="s" s="0">
        <v>21433</v>
      </c>
      <c r="BK997" t="s" s="1983">
        <f>HYPERLINK("http://dx.doi.org/10.1109/JIOT.2025.3566403","http://dx.doi.org/10.1109/JIOT.2025.3566403")</f>
        <v>21434</v>
      </c>
      <c r="BL997" t="s" s="0">
        <v>81</v>
      </c>
      <c r="BM997" t="s" s="0">
        <v>81</v>
      </c>
      <c r="BN997" t="s" s="0">
        <v>381</v>
      </c>
      <c r="BO997" t="s" s="0">
        <v>110</v>
      </c>
      <c r="BP997" t="s" s="0">
        <v>111</v>
      </c>
      <c r="BQ997" t="s" s="0">
        <v>2379</v>
      </c>
      <c r="BR997" t="s" s="0">
        <v>81</v>
      </c>
      <c r="BS997" t="s" s="0">
        <v>21435</v>
      </c>
      <c r="BT997" t="s" s="1984">
        <f>HYPERLINK("https://www.webofscience.com/wos/woscc/full-record/WOS:001696600200049","View Record in Web of Science")</f>
        <v>114</v>
      </c>
      <c r="BU997" t="s" s="0">
        <v>81</v>
      </c>
      <c r="BV997" t="s" s="0">
        <v>81</v>
      </c>
      <c r="BW997" t="s" s="0">
        <v>81</v>
      </c>
      <c r="BX997" t="s" s="0">
        <v>116</v>
      </c>
    </row>
    <row r="998">
      <c r="A998" t="s" s="0">
        <v>77</v>
      </c>
      <c r="B998" t="s" s="0">
        <v>77</v>
      </c>
      <c r="C998" t="s" s="0">
        <v>77</v>
      </c>
      <c r="D998" t="s" s="0">
        <v>77</v>
      </c>
      <c r="E998" t="s" s="0">
        <v>21436</v>
      </c>
      <c r="F998" t="s" s="0">
        <v>21437</v>
      </c>
      <c r="G998" t="s" s="0">
        <v>21438</v>
      </c>
      <c r="H998" t="s" s="0">
        <v>81</v>
      </c>
      <c r="I998" t="s" s="0">
        <v>82</v>
      </c>
      <c r="J998" t="s" s="0">
        <v>21439</v>
      </c>
      <c r="K998" t="s" s="0">
        <v>21440</v>
      </c>
      <c r="L998" t="s" s="0">
        <v>81</v>
      </c>
      <c r="M998" t="s" s="0">
        <v>81</v>
      </c>
      <c r="N998" t="s" s="0">
        <v>81</v>
      </c>
      <c r="O998" t="s" s="0">
        <v>21441</v>
      </c>
      <c r="P998" t="s" s="0">
        <v>21442</v>
      </c>
      <c r="Q998" t="s" s="0">
        <v>87</v>
      </c>
      <c r="R998" t="s" s="0">
        <v>81</v>
      </c>
      <c r="S998" t="s" s="0">
        <v>81</v>
      </c>
      <c r="T998" t="s" s="0">
        <v>81</v>
      </c>
      <c r="U998" t="s" s="0">
        <v>81</v>
      </c>
      <c r="V998" t="s" s="0">
        <v>21443</v>
      </c>
      <c r="W998" t="s" s="0">
        <v>89</v>
      </c>
      <c r="X998" t="s" s="0">
        <v>81</v>
      </c>
      <c r="Y998" t="s" s="0">
        <v>81</v>
      </c>
      <c r="Z998" t="s" s="0">
        <v>90</v>
      </c>
      <c r="AA998" t="s" s="0">
        <v>91</v>
      </c>
      <c r="AB998" t="s" s="0">
        <v>81</v>
      </c>
      <c r="AC998" t="s" s="0">
        <v>81</v>
      </c>
      <c r="AD998" t="s" s="0">
        <v>81</v>
      </c>
      <c r="AE998" t="s" s="0">
        <v>81</v>
      </c>
      <c r="AF998" t="s" s="0">
        <v>81</v>
      </c>
      <c r="AG998" t="s" s="0">
        <v>21444</v>
      </c>
      <c r="AH998" t="s" s="0">
        <v>21445</v>
      </c>
      <c r="AI998" t="s" s="0">
        <v>21446</v>
      </c>
      <c r="AJ998" t="s" s="0">
        <v>81</v>
      </c>
      <c r="AK998" t="s" s="0">
        <v>81</v>
      </c>
      <c r="AL998" t="s" s="0">
        <v>696</v>
      </c>
      <c r="AM998" t="s" s="0">
        <v>77</v>
      </c>
      <c r="AN998" t="s" s="0">
        <v>77</v>
      </c>
      <c r="AO998" t="s" s="0">
        <v>77</v>
      </c>
      <c r="AP998" t="s" s="0">
        <v>77</v>
      </c>
      <c r="AQ998" t="s" s="0">
        <v>98</v>
      </c>
      <c r="AR998" t="s" s="0">
        <v>99</v>
      </c>
      <c r="AS998" t="s" s="0">
        <v>100</v>
      </c>
      <c r="AT998" t="s" s="0">
        <v>101</v>
      </c>
      <c r="AU998" t="s" s="0">
        <v>81</v>
      </c>
      <c r="AV998" t="s" s="0">
        <v>81</v>
      </c>
      <c r="AW998" t="s" s="0">
        <v>89</v>
      </c>
      <c r="AX998" t="s" s="0">
        <v>102</v>
      </c>
      <c r="AY998" t="s" s="0">
        <v>103</v>
      </c>
      <c r="AZ998" t="s" s="0">
        <v>103</v>
      </c>
      <c r="BA998" t="s" s="0">
        <v>104</v>
      </c>
      <c r="BB998" t="s" s="0">
        <v>81</v>
      </c>
      <c r="BC998" t="s" s="0">
        <v>81</v>
      </c>
      <c r="BD998" t="s" s="0">
        <v>81</v>
      </c>
      <c r="BE998" t="s" s="0">
        <v>81</v>
      </c>
      <c r="BF998" t="s" s="0">
        <v>81</v>
      </c>
      <c r="BG998" t="s" s="0">
        <v>21447</v>
      </c>
      <c r="BH998" t="s" s="0">
        <v>21448</v>
      </c>
      <c r="BI998" t="s" s="0">
        <v>81</v>
      </c>
      <c r="BJ998" t="s" s="0">
        <v>21449</v>
      </c>
      <c r="BK998" t="s" s="1985">
        <f>HYPERLINK("http://dx.doi.org/10.1109/ACCESS.2026.3674991","http://dx.doi.org/10.1109/ACCESS.2026.3674991")</f>
        <v>21450</v>
      </c>
      <c r="BL998" t="s" s="0">
        <v>81</v>
      </c>
      <c r="BM998" t="s" s="0">
        <v>81</v>
      </c>
      <c r="BN998" t="s" s="0">
        <v>486</v>
      </c>
      <c r="BO998" t="s" s="0">
        <v>110</v>
      </c>
      <c r="BP998" t="s" s="0">
        <v>111</v>
      </c>
      <c r="BQ998" t="s" s="0">
        <v>21451</v>
      </c>
      <c r="BR998" t="s" s="0">
        <v>81</v>
      </c>
      <c r="BS998" t="s" s="0">
        <v>21452</v>
      </c>
      <c r="BT998" t="s" s="1986">
        <f>HYPERLINK("https://www.webofscience.com/wos/woscc/full-record/WOS:001723045700045","View Record in Web of Science")</f>
        <v>114</v>
      </c>
      <c r="BU998" t="s" s="0">
        <v>115</v>
      </c>
      <c r="BV998" t="s" s="0">
        <v>81</v>
      </c>
      <c r="BW998" t="s" s="0">
        <v>81</v>
      </c>
      <c r="BX998" t="s" s="0">
        <v>116</v>
      </c>
    </row>
    <row r="999">
      <c r="A999" t="s" s="0">
        <v>77</v>
      </c>
      <c r="B999" t="s" s="0">
        <v>77</v>
      </c>
      <c r="C999" t="s" s="0">
        <v>77</v>
      </c>
      <c r="D999" t="s" s="0">
        <v>77</v>
      </c>
      <c r="E999" t="s" s="0">
        <v>21453</v>
      </c>
      <c r="F999" t="s" s="0">
        <v>21454</v>
      </c>
      <c r="G999" t="s" s="0">
        <v>21455</v>
      </c>
      <c r="H999" t="s" s="0">
        <v>81</v>
      </c>
      <c r="I999" t="s" s="0">
        <v>82</v>
      </c>
      <c r="J999" t="s" s="0">
        <v>21456</v>
      </c>
      <c r="K999" t="s" s="0">
        <v>21457</v>
      </c>
      <c r="L999" t="s" s="0">
        <v>21458</v>
      </c>
      <c r="M999" t="s" s="0">
        <v>21459</v>
      </c>
      <c r="N999" t="s" s="0">
        <v>21460</v>
      </c>
      <c r="O999" t="s" s="0">
        <v>21461</v>
      </c>
      <c r="P999" t="s" s="0">
        <v>21462</v>
      </c>
      <c r="Q999" t="s" s="0">
        <v>87</v>
      </c>
      <c r="R999" t="s" s="0">
        <v>81</v>
      </c>
      <c r="S999" t="s" s="0">
        <v>81</v>
      </c>
      <c r="T999" t="s" s="0">
        <v>81</v>
      </c>
      <c r="U999" t="s" s="0">
        <v>81</v>
      </c>
      <c r="V999" t="s" s="0">
        <v>21463</v>
      </c>
      <c r="W999" t="s" s="0">
        <v>21464</v>
      </c>
      <c r="X999" t="s" s="0">
        <v>81</v>
      </c>
      <c r="Y999" t="s" s="0">
        <v>81</v>
      </c>
      <c r="Z999" t="s" s="0">
        <v>90</v>
      </c>
      <c r="AA999" t="s" s="0">
        <v>91</v>
      </c>
      <c r="AB999" t="s" s="0">
        <v>81</v>
      </c>
      <c r="AC999" t="s" s="0">
        <v>81</v>
      </c>
      <c r="AD999" t="s" s="0">
        <v>81</v>
      </c>
      <c r="AE999" t="s" s="0">
        <v>81</v>
      </c>
      <c r="AF999" t="s" s="0">
        <v>81</v>
      </c>
      <c r="AG999" t="s" s="0">
        <v>21465</v>
      </c>
      <c r="AH999" t="s" s="0">
        <v>21466</v>
      </c>
      <c r="AI999" t="s" s="0">
        <v>21467</v>
      </c>
      <c r="AJ999" t="s" s="0">
        <v>21468</v>
      </c>
      <c r="AK999" t="s" s="0">
        <v>81</v>
      </c>
      <c r="AL999" t="s" s="0">
        <v>4930</v>
      </c>
      <c r="AM999" t="s" s="0">
        <v>316</v>
      </c>
      <c r="AN999" t="s" s="0">
        <v>381</v>
      </c>
      <c r="AO999" t="s" s="0">
        <v>97</v>
      </c>
      <c r="AP999" t="s" s="0">
        <v>381</v>
      </c>
      <c r="AQ999" t="s" s="0">
        <v>98</v>
      </c>
      <c r="AR999" t="s" s="0">
        <v>99</v>
      </c>
      <c r="AS999" t="s" s="0">
        <v>100</v>
      </c>
      <c r="AT999" t="s" s="0">
        <v>21469</v>
      </c>
      <c r="AU999" t="s" s="0">
        <v>21470</v>
      </c>
      <c r="AV999" t="s" s="0">
        <v>81</v>
      </c>
      <c r="AW999" t="s" s="0">
        <v>21471</v>
      </c>
      <c r="AX999" t="s" s="0">
        <v>21472</v>
      </c>
      <c r="AY999" t="s" s="0">
        <v>552</v>
      </c>
      <c r="AZ999" t="s" s="0">
        <v>290</v>
      </c>
      <c r="BA999" t="s" s="0">
        <v>1635</v>
      </c>
      <c r="BB999" t="s" s="0">
        <v>316</v>
      </c>
      <c r="BC999" t="s" s="0">
        <v>81</v>
      </c>
      <c r="BD999" t="s" s="0">
        <v>81</v>
      </c>
      <c r="BE999" t="s" s="0">
        <v>81</v>
      </c>
      <c r="BF999" t="s" s="0">
        <v>81</v>
      </c>
      <c r="BG999" t="s" s="0">
        <v>21473</v>
      </c>
      <c r="BH999" t="s" s="0">
        <v>21474</v>
      </c>
      <c r="BI999" t="s" s="0">
        <v>81</v>
      </c>
      <c r="BJ999" t="s" s="0">
        <v>21475</v>
      </c>
      <c r="BK999" t="s" s="1987">
        <f>HYPERLINK("http://dx.doi.org/10.1109/TNNLS.2025.3528321","http://dx.doi.org/10.1109/TNNLS.2025.3528321")</f>
        <v>21476</v>
      </c>
      <c r="BL999" t="s" s="0">
        <v>81</v>
      </c>
      <c r="BM999" t="s" s="0">
        <v>1029</v>
      </c>
      <c r="BN999" t="s" s="0">
        <v>367</v>
      </c>
      <c r="BO999" t="s" s="0">
        <v>21477</v>
      </c>
      <c r="BP999" t="s" s="0">
        <v>193</v>
      </c>
      <c r="BQ999" t="s" s="0">
        <v>21478</v>
      </c>
      <c r="BR999" t="s" s="0">
        <v>21479</v>
      </c>
      <c r="BS999" t="s" s="0">
        <v>21480</v>
      </c>
      <c r="BT999" t="s" s="1988">
        <f>HYPERLINK("https://www.webofscience.com/wos/woscc/full-record/WOS:001406000700001","View Record in Web of Science")</f>
        <v>114</v>
      </c>
      <c r="BU999" t="s" s="0">
        <v>81</v>
      </c>
      <c r="BV999" t="s" s="0">
        <v>81</v>
      </c>
      <c r="BW999" t="s" s="0">
        <v>81</v>
      </c>
      <c r="BX999" t="s" s="0">
        <v>116</v>
      </c>
    </row>
    <row r="1000">
      <c r="A1000" t="s" s="0">
        <v>77</v>
      </c>
      <c r="B1000" t="s" s="0">
        <v>77</v>
      </c>
      <c r="C1000" t="s" s="0">
        <v>77</v>
      </c>
      <c r="D1000" t="s" s="0">
        <v>77</v>
      </c>
      <c r="E1000" t="s" s="0">
        <v>21481</v>
      </c>
      <c r="F1000" t="s" s="0">
        <v>21482</v>
      </c>
      <c r="G1000" t="s" s="0">
        <v>21483</v>
      </c>
      <c r="H1000" t="s" s="0">
        <v>81</v>
      </c>
      <c r="I1000" t="s" s="0">
        <v>82</v>
      </c>
      <c r="J1000" t="s" s="0">
        <v>21484</v>
      </c>
      <c r="K1000" t="s" s="0">
        <v>21485</v>
      </c>
      <c r="L1000" t="s" s="0">
        <v>81</v>
      </c>
      <c r="M1000" t="s" s="0">
        <v>81</v>
      </c>
      <c r="N1000" t="s" s="0">
        <v>81</v>
      </c>
      <c r="O1000" t="s" s="0">
        <v>21486</v>
      </c>
      <c r="P1000" t="s" s="0">
        <v>21487</v>
      </c>
      <c r="Q1000" t="s" s="0">
        <v>87</v>
      </c>
      <c r="R1000" t="s" s="0">
        <v>81</v>
      </c>
      <c r="S1000" t="s" s="0">
        <v>81</v>
      </c>
      <c r="T1000" t="s" s="0">
        <v>81</v>
      </c>
      <c r="U1000" t="s" s="0">
        <v>81</v>
      </c>
      <c r="V1000" t="s" s="0">
        <v>21488</v>
      </c>
      <c r="W1000" t="s" s="0">
        <v>9118</v>
      </c>
      <c r="X1000" t="s" s="0">
        <v>81</v>
      </c>
      <c r="Y1000" t="s" s="0">
        <v>81</v>
      </c>
      <c r="Z1000" t="s" s="0">
        <v>90</v>
      </c>
      <c r="AA1000" t="s" s="0">
        <v>91</v>
      </c>
      <c r="AB1000" t="s" s="0">
        <v>81</v>
      </c>
      <c r="AC1000" t="s" s="0">
        <v>81</v>
      </c>
      <c r="AD1000" t="s" s="0">
        <v>81</v>
      </c>
      <c r="AE1000" t="s" s="0">
        <v>81</v>
      </c>
      <c r="AF1000" t="s" s="0">
        <v>81</v>
      </c>
      <c r="AG1000" t="s" s="0">
        <v>21489</v>
      </c>
      <c r="AH1000" t="s" s="0">
        <v>81</v>
      </c>
      <c r="AI1000" t="s" s="0">
        <v>81</v>
      </c>
      <c r="AJ1000" t="s" s="0">
        <v>81</v>
      </c>
      <c r="AK1000" t="s" s="0">
        <v>81</v>
      </c>
      <c r="AL1000" t="s" s="0">
        <v>1635</v>
      </c>
      <c r="AM1000" t="s" s="0">
        <v>77</v>
      </c>
      <c r="AN1000" t="s" s="0">
        <v>77</v>
      </c>
      <c r="AO1000" t="s" s="0">
        <v>77</v>
      </c>
      <c r="AP1000" t="s" s="0">
        <v>77</v>
      </c>
      <c r="AQ1000" t="s" s="0">
        <v>136</v>
      </c>
      <c r="AR1000" t="s" s="0">
        <v>137</v>
      </c>
      <c r="AS1000" t="s" s="0">
        <v>138</v>
      </c>
      <c r="AT1000" t="s" s="0">
        <v>9123</v>
      </c>
      <c r="AU1000" t="s" s="0">
        <v>9124</v>
      </c>
      <c r="AV1000" t="s" s="0">
        <v>81</v>
      </c>
      <c r="AW1000" t="s" s="0">
        <v>9125</v>
      </c>
      <c r="AX1000" t="s" s="0">
        <v>9126</v>
      </c>
      <c r="AY1000" t="s" s="0">
        <v>5030</v>
      </c>
      <c r="AZ1000" t="s" s="0">
        <v>103</v>
      </c>
      <c r="BA1000" t="s" s="0">
        <v>16774</v>
      </c>
      <c r="BB1000" t="s" s="0">
        <v>81</v>
      </c>
      <c r="BC1000" t="s" s="0">
        <v>81</v>
      </c>
      <c r="BD1000" t="s" s="0">
        <v>81</v>
      </c>
      <c r="BE1000" t="s" s="0">
        <v>81</v>
      </c>
      <c r="BF1000" t="s" s="0">
        <v>81</v>
      </c>
      <c r="BG1000" t="s" s="0">
        <v>81</v>
      </c>
      <c r="BH1000" t="s" s="0">
        <v>81</v>
      </c>
      <c r="BI1000" t="s" s="0">
        <v>21490</v>
      </c>
      <c r="BJ1000" t="s" s="0">
        <v>21491</v>
      </c>
      <c r="BK1000" t="s" s="1989">
        <f>HYPERLINK("http://dx.doi.org/10.1016/j.imavis.2026.106140","http://dx.doi.org/10.1016/j.imavis.2026.106140")</f>
        <v>21492</v>
      </c>
      <c r="BL1000" t="s" s="0">
        <v>81</v>
      </c>
      <c r="BM1000" t="s" s="0">
        <v>81</v>
      </c>
      <c r="BN1000" t="s" s="0">
        <v>104</v>
      </c>
      <c r="BO1000" t="s" s="0">
        <v>9131</v>
      </c>
      <c r="BP1000" t="s" s="0">
        <v>9132</v>
      </c>
      <c r="BQ1000" t="s" s="0">
        <v>21493</v>
      </c>
      <c r="BR1000" t="s" s="0">
        <v>81</v>
      </c>
      <c r="BS1000" t="s" s="0">
        <v>21494</v>
      </c>
      <c r="BT1000" t="s" s="1990">
        <f>HYPERLINK("https://www.webofscience.com/wos/woscc/full-record/WOS:001841850900001","View Record in Web of Science")</f>
        <v>114</v>
      </c>
      <c r="BU1000" t="s" s="0">
        <v>81</v>
      </c>
      <c r="BV1000" t="s" s="0">
        <v>81</v>
      </c>
      <c r="BW1000" t="s" s="0">
        <v>81</v>
      </c>
      <c r="BX1000" t="s" s="0">
        <v>116</v>
      </c>
    </row>
    <row r="1001">
      <c r="A1001" t="s" s="0">
        <v>77</v>
      </c>
      <c r="B1001" t="s" s="0">
        <v>77</v>
      </c>
      <c r="C1001" t="s" s="0">
        <v>77</v>
      </c>
      <c r="D1001" t="s" s="0">
        <v>77</v>
      </c>
      <c r="E1001" t="s" s="0">
        <v>21495</v>
      </c>
      <c r="F1001" t="s" s="0">
        <v>21496</v>
      </c>
      <c r="G1001" t="s" s="0">
        <v>21497</v>
      </c>
      <c r="H1001" t="s" s="0">
        <v>81</v>
      </c>
      <c r="I1001" t="s" s="0">
        <v>82</v>
      </c>
      <c r="J1001" t="s" s="0">
        <v>21498</v>
      </c>
      <c r="K1001" t="s" s="0">
        <v>21499</v>
      </c>
      <c r="L1001" t="s" s="0">
        <v>21500</v>
      </c>
      <c r="M1001" t="s" s="0">
        <v>21500</v>
      </c>
      <c r="N1001" t="s" s="0">
        <v>21501</v>
      </c>
      <c r="O1001" t="s" s="0">
        <v>21502</v>
      </c>
      <c r="P1001" t="s" s="0">
        <v>21503</v>
      </c>
      <c r="Q1001" t="s" s="0">
        <v>87</v>
      </c>
      <c r="R1001" t="s" s="0">
        <v>81</v>
      </c>
      <c r="S1001" t="s" s="0">
        <v>81</v>
      </c>
      <c r="T1001" t="s" s="0">
        <v>81</v>
      </c>
      <c r="U1001" t="s" s="0">
        <v>81</v>
      </c>
      <c r="V1001" t="s" s="0">
        <v>21504</v>
      </c>
      <c r="W1001" t="s" s="0">
        <v>862</v>
      </c>
      <c r="X1001" t="s" s="0">
        <v>81</v>
      </c>
      <c r="Y1001" t="s" s="0">
        <v>81</v>
      </c>
      <c r="Z1001" t="s" s="0">
        <v>90</v>
      </c>
      <c r="AA1001" t="s" s="0">
        <v>91</v>
      </c>
      <c r="AB1001" t="s" s="0">
        <v>81</v>
      </c>
      <c r="AC1001" t="s" s="0">
        <v>81</v>
      </c>
      <c r="AD1001" t="s" s="0">
        <v>81</v>
      </c>
      <c r="AE1001" t="s" s="0">
        <v>81</v>
      </c>
      <c r="AF1001" t="s" s="0">
        <v>81</v>
      </c>
      <c r="AG1001" t="s" s="0">
        <v>21505</v>
      </c>
      <c r="AH1001" t="s" s="0">
        <v>1293</v>
      </c>
      <c r="AI1001" t="s" s="0">
        <v>21506</v>
      </c>
      <c r="AJ1001" t="s" s="0">
        <v>81</v>
      </c>
      <c r="AK1001" t="s" s="0">
        <v>81</v>
      </c>
      <c r="AL1001" t="s" s="0">
        <v>1442</v>
      </c>
      <c r="AM1001" t="s" s="0">
        <v>77</v>
      </c>
      <c r="AN1001" t="s" s="0">
        <v>77</v>
      </c>
      <c r="AO1001" t="s" s="0">
        <v>97</v>
      </c>
      <c r="AP1001" t="s" s="0">
        <v>97</v>
      </c>
      <c r="AQ1001" t="s" s="0">
        <v>865</v>
      </c>
      <c r="AR1001" t="s" s="0">
        <v>546</v>
      </c>
      <c r="AS1001" t="s" s="0">
        <v>866</v>
      </c>
      <c r="AT1001" t="s" s="0">
        <v>81</v>
      </c>
      <c r="AU1001" t="s" s="0">
        <v>867</v>
      </c>
      <c r="AV1001" t="s" s="0">
        <v>81</v>
      </c>
      <c r="AW1001" t="s" s="0">
        <v>868</v>
      </c>
      <c r="AX1001" t="s" s="0">
        <v>869</v>
      </c>
      <c r="AY1001" t="s" s="0">
        <v>21507</v>
      </c>
      <c r="AZ1001" t="s" s="0">
        <v>103</v>
      </c>
      <c r="BA1001" t="s" s="0">
        <v>134</v>
      </c>
      <c r="BB1001" t="s" s="0">
        <v>81</v>
      </c>
      <c r="BC1001" t="s" s="0">
        <v>81</v>
      </c>
      <c r="BD1001" t="s" s="0">
        <v>81</v>
      </c>
      <c r="BE1001" t="s" s="0">
        <v>81</v>
      </c>
      <c r="BF1001" t="s" s="0">
        <v>81</v>
      </c>
      <c r="BG1001" t="s" s="0">
        <v>81</v>
      </c>
      <c r="BH1001" t="s" s="0">
        <v>81</v>
      </c>
      <c r="BI1001" t="s" s="0">
        <v>21508</v>
      </c>
      <c r="BJ1001" t="s" s="0">
        <v>21509</v>
      </c>
      <c r="BK1001" t="s" s="1991">
        <f>HYPERLINK("http://dx.doi.org/10.7717/peerj-cs.3832","http://dx.doi.org/10.7717/peerj-cs.3832")</f>
        <v>21510</v>
      </c>
      <c r="BL1001" t="s" s="0">
        <v>81</v>
      </c>
      <c r="BM1001" t="s" s="0">
        <v>948</v>
      </c>
      <c r="BN1001" t="s" s="0">
        <v>210</v>
      </c>
      <c r="BO1001" t="s" s="0">
        <v>875</v>
      </c>
      <c r="BP1001" t="s" s="0">
        <v>152</v>
      </c>
      <c r="BQ1001" t="s" s="0">
        <v>21511</v>
      </c>
      <c r="BR1001" t="s" s="0">
        <v>81</v>
      </c>
      <c r="BS1001" t="s" s="0">
        <v>21512</v>
      </c>
      <c r="BT1001" t="s" s="1992">
        <f>HYPERLINK("https://www.webofscience.com/wos/woscc/full-record/WOS:001778799200001","View Record in Web of Science")</f>
        <v>114</v>
      </c>
      <c r="BU1001" t="s" s="0">
        <v>301</v>
      </c>
      <c r="BV1001" t="s" s="0">
        <v>81</v>
      </c>
      <c r="BW1001" t="s" s="0">
        <v>81</v>
      </c>
      <c r="BX1001" t="s" s="0">
        <v>116</v>
      </c>
    </row>
    <row r="1002"/>
  </sheetData>
  <hyperlinks>
    <hyperlink ref="BK2" r:id="rId1"/>
    <hyperlink ref="BT2" r:id="rId2"/>
    <hyperlink ref="BK3" r:id="rId3"/>
    <hyperlink ref="BT3" r:id="rId4"/>
    <hyperlink ref="BK4" r:id="rId5"/>
    <hyperlink ref="BT4" r:id="rId6"/>
    <hyperlink ref="BK5" r:id="rId7"/>
    <hyperlink ref="BT5" r:id="rId8"/>
    <hyperlink ref="BK6" r:id="rId9"/>
    <hyperlink ref="BT6" r:id="rId10"/>
    <hyperlink ref="BK7" r:id="rId11"/>
    <hyperlink ref="BT7" r:id="rId12"/>
    <hyperlink ref="BK8" r:id="rId13"/>
    <hyperlink ref="BT8" r:id="rId14"/>
    <hyperlink ref="BK9" r:id="rId15"/>
    <hyperlink ref="BT9" r:id="rId16"/>
    <hyperlink ref="BK10" r:id="rId17"/>
    <hyperlink ref="BT10" r:id="rId18"/>
    <hyperlink ref="BK11" r:id="rId19"/>
    <hyperlink ref="BT11" r:id="rId20"/>
    <hyperlink ref="BK12" r:id="rId21"/>
    <hyperlink ref="BT12" r:id="rId22"/>
    <hyperlink ref="BK13" r:id="rId23"/>
    <hyperlink ref="BT13" r:id="rId24"/>
    <hyperlink ref="BK14" r:id="rId25"/>
    <hyperlink ref="BT14" r:id="rId26"/>
    <hyperlink ref="BK15" r:id="rId27"/>
    <hyperlink ref="BT15" r:id="rId28"/>
    <hyperlink ref="BK16" r:id="rId29"/>
    <hyperlink ref="BT16" r:id="rId30"/>
    <hyperlink ref="BK17" r:id="rId31"/>
    <hyperlink ref="BT17" r:id="rId32"/>
    <hyperlink ref="BK18" r:id="rId33"/>
    <hyperlink ref="BT18" r:id="rId34"/>
    <hyperlink ref="BK19" r:id="rId35"/>
    <hyperlink ref="BT19" r:id="rId36"/>
    <hyperlink ref="BK20" r:id="rId37"/>
    <hyperlink ref="BT20" r:id="rId38"/>
    <hyperlink ref="BK21" r:id="rId39"/>
    <hyperlink ref="BT21" r:id="rId40"/>
    <hyperlink ref="BK22" r:id="rId41"/>
    <hyperlink ref="BT22" r:id="rId42"/>
    <hyperlink ref="BK23" r:id="rId43"/>
    <hyperlink ref="BT23" r:id="rId44"/>
    <hyperlink ref="BK24" r:id="rId45"/>
    <hyperlink ref="BT24" r:id="rId46"/>
    <hyperlink ref="BK25" r:id="rId47"/>
    <hyperlink ref="BT25" r:id="rId48"/>
    <hyperlink ref="BK26" r:id="rId49"/>
    <hyperlink ref="BT26" r:id="rId50"/>
    <hyperlink ref="BK27" r:id="rId51"/>
    <hyperlink ref="BT27" r:id="rId52"/>
    <hyperlink ref="BK28" r:id="rId53"/>
    <hyperlink ref="BT28" r:id="rId54"/>
    <hyperlink ref="BK29" r:id="rId55"/>
    <hyperlink ref="BT29" r:id="rId56"/>
    <hyperlink ref="BK30" r:id="rId57"/>
    <hyperlink ref="BT30" r:id="rId58"/>
    <hyperlink ref="BK31" r:id="rId59"/>
    <hyperlink ref="BT31" r:id="rId60"/>
    <hyperlink ref="BK32" r:id="rId61"/>
    <hyperlink ref="BT32" r:id="rId62"/>
    <hyperlink ref="BK33" r:id="rId63"/>
    <hyperlink ref="BT33" r:id="rId64"/>
    <hyperlink ref="BK34" r:id="rId65"/>
    <hyperlink ref="BT34" r:id="rId66"/>
    <hyperlink ref="BK35" r:id="rId67"/>
    <hyperlink ref="BT35" r:id="rId68"/>
    <hyperlink ref="BK36" r:id="rId69"/>
    <hyperlink ref="BT36" r:id="rId70"/>
    <hyperlink ref="BK37" r:id="rId71"/>
    <hyperlink ref="BT37" r:id="rId72"/>
    <hyperlink ref="BK38" r:id="rId73"/>
    <hyperlink ref="BT38" r:id="rId74"/>
    <hyperlink ref="BK39" r:id="rId75"/>
    <hyperlink ref="BT39" r:id="rId76"/>
    <hyperlink ref="BK40" r:id="rId77"/>
    <hyperlink ref="BT40" r:id="rId78"/>
    <hyperlink ref="BK41" r:id="rId79"/>
    <hyperlink ref="BT41" r:id="rId80"/>
    <hyperlink ref="BK42" r:id="rId81"/>
    <hyperlink ref="BT42" r:id="rId82"/>
    <hyperlink ref="BK43" r:id="rId83"/>
    <hyperlink ref="BT43" r:id="rId84"/>
    <hyperlink ref="BK44" r:id="rId85"/>
    <hyperlink ref="BT44" r:id="rId86"/>
    <hyperlink ref="BK45" r:id="rId87"/>
    <hyperlink ref="BT45" r:id="rId88"/>
    <hyperlink ref="BK46" r:id="rId89"/>
    <hyperlink ref="BT46" r:id="rId90"/>
    <hyperlink ref="BK47" r:id="rId91"/>
    <hyperlink ref="BT47" r:id="rId92"/>
    <hyperlink ref="BK48" r:id="rId93"/>
    <hyperlink ref="BT48" r:id="rId94"/>
    <hyperlink ref="BK49" r:id="rId95"/>
    <hyperlink ref="BT49" r:id="rId96"/>
    <hyperlink ref="BK50" r:id="rId97"/>
    <hyperlink ref="BT50" r:id="rId98"/>
    <hyperlink ref="BK51" r:id="rId99"/>
    <hyperlink ref="BT51" r:id="rId100"/>
    <hyperlink ref="BK52" r:id="rId101"/>
    <hyperlink ref="BT52" r:id="rId102"/>
    <hyperlink ref="BK53" r:id="rId103"/>
    <hyperlink ref="BT53" r:id="rId104"/>
    <hyperlink ref="BK54" r:id="rId105"/>
    <hyperlink ref="BT54" r:id="rId106"/>
    <hyperlink ref="BK55" r:id="rId107"/>
    <hyperlink ref="BT55" r:id="rId108"/>
    <hyperlink ref="BK56" r:id="rId109"/>
    <hyperlink ref="BT56" r:id="rId110"/>
    <hyperlink ref="BK57" r:id="rId111"/>
    <hyperlink ref="BT57" r:id="rId112"/>
    <hyperlink ref="BK58" r:id="rId113"/>
    <hyperlink ref="BT58" r:id="rId114"/>
    <hyperlink ref="BK59" r:id="rId115"/>
    <hyperlink ref="BT59" r:id="rId116"/>
    <hyperlink ref="BK60" r:id="rId117"/>
    <hyperlink ref="BT60" r:id="rId118"/>
    <hyperlink ref="BK61" r:id="rId119"/>
    <hyperlink ref="BT61" r:id="rId120"/>
    <hyperlink ref="BK62" r:id="rId121"/>
    <hyperlink ref="BT62" r:id="rId122"/>
    <hyperlink ref="BK63" r:id="rId123"/>
    <hyperlink ref="BT63" r:id="rId124"/>
    <hyperlink ref="BK64" r:id="rId125"/>
    <hyperlink ref="BT64" r:id="rId126"/>
    <hyperlink ref="BK65" r:id="rId127"/>
    <hyperlink ref="BT65" r:id="rId128"/>
    <hyperlink ref="BK66" r:id="rId129"/>
    <hyperlink ref="BT66" r:id="rId130"/>
    <hyperlink ref="BK67" r:id="rId131"/>
    <hyperlink ref="BT67" r:id="rId132"/>
    <hyperlink ref="BK68" r:id="rId133"/>
    <hyperlink ref="BT68" r:id="rId134"/>
    <hyperlink ref="BK69" r:id="rId135"/>
    <hyperlink ref="BT69" r:id="rId136"/>
    <hyperlink ref="BK70" r:id="rId137"/>
    <hyperlink ref="BT70" r:id="rId138"/>
    <hyperlink ref="BK71" r:id="rId139"/>
    <hyperlink ref="BT71" r:id="rId140"/>
    <hyperlink ref="BK72" r:id="rId141"/>
    <hyperlink ref="BT72" r:id="rId142"/>
    <hyperlink ref="BK73" r:id="rId143"/>
    <hyperlink ref="BT73" r:id="rId144"/>
    <hyperlink ref="BK74" r:id="rId145"/>
    <hyperlink ref="BT74" r:id="rId146"/>
    <hyperlink ref="BK75" r:id="rId147"/>
    <hyperlink ref="BT75" r:id="rId148"/>
    <hyperlink ref="BK76" r:id="rId149"/>
    <hyperlink ref="BT76" r:id="rId150"/>
    <hyperlink ref="BK77" r:id="rId151"/>
    <hyperlink ref="BT77" r:id="rId152"/>
    <hyperlink ref="BK78" r:id="rId153"/>
    <hyperlink ref="BT78" r:id="rId154"/>
    <hyperlink ref="BK79" r:id="rId155"/>
    <hyperlink ref="BT79" r:id="rId156"/>
    <hyperlink ref="BK80" r:id="rId157"/>
    <hyperlink ref="BT80" r:id="rId158"/>
    <hyperlink ref="BK81" r:id="rId159"/>
    <hyperlink ref="BT81" r:id="rId160"/>
    <hyperlink ref="BK82" r:id="rId161"/>
    <hyperlink ref="BT82" r:id="rId162"/>
    <hyperlink ref="BK83" r:id="rId163"/>
    <hyperlink ref="BT83" r:id="rId164"/>
    <hyperlink ref="BT84" r:id="rId165"/>
    <hyperlink ref="BK85" r:id="rId166"/>
    <hyperlink ref="BT85" r:id="rId167"/>
    <hyperlink ref="BK86" r:id="rId168"/>
    <hyperlink ref="BT86" r:id="rId169"/>
    <hyperlink ref="BK87" r:id="rId170"/>
    <hyperlink ref="BT87" r:id="rId171"/>
    <hyperlink ref="BK88" r:id="rId172"/>
    <hyperlink ref="BT88" r:id="rId173"/>
    <hyperlink ref="BK89" r:id="rId174"/>
    <hyperlink ref="BT89" r:id="rId175"/>
    <hyperlink ref="BK90" r:id="rId176"/>
    <hyperlink ref="BT90" r:id="rId177"/>
    <hyperlink ref="BK91" r:id="rId178"/>
    <hyperlink ref="BT91" r:id="rId179"/>
    <hyperlink ref="BK92" r:id="rId180"/>
    <hyperlink ref="BT92" r:id="rId181"/>
    <hyperlink ref="BK93" r:id="rId182"/>
    <hyperlink ref="BT93" r:id="rId183"/>
    <hyperlink ref="BK94" r:id="rId184"/>
    <hyperlink ref="BT94" r:id="rId185"/>
    <hyperlink ref="BK95" r:id="rId186"/>
    <hyperlink ref="BT95" r:id="rId187"/>
    <hyperlink ref="BK96" r:id="rId188"/>
    <hyperlink ref="BT96" r:id="rId189"/>
    <hyperlink ref="BK97" r:id="rId190"/>
    <hyperlink ref="BT97" r:id="rId191"/>
    <hyperlink ref="BK98" r:id="rId192"/>
    <hyperlink ref="BT98" r:id="rId193"/>
    <hyperlink ref="BK99" r:id="rId194"/>
    <hyperlink ref="BT99" r:id="rId195"/>
    <hyperlink ref="BK100" r:id="rId196"/>
    <hyperlink ref="BT100" r:id="rId197"/>
    <hyperlink ref="BK101" r:id="rId198"/>
    <hyperlink ref="BT101" r:id="rId199"/>
    <hyperlink ref="BK102" r:id="rId200"/>
    <hyperlink ref="BT102" r:id="rId201"/>
    <hyperlink ref="BK103" r:id="rId202"/>
    <hyperlink ref="BT103" r:id="rId203"/>
    <hyperlink ref="BK104" r:id="rId204"/>
    <hyperlink ref="BT104" r:id="rId205"/>
    <hyperlink ref="BK105" r:id="rId206"/>
    <hyperlink ref="BT105" r:id="rId207"/>
    <hyperlink ref="BK106" r:id="rId208"/>
    <hyperlink ref="BT106" r:id="rId209"/>
    <hyperlink ref="BK107" r:id="rId210"/>
    <hyperlink ref="BT107" r:id="rId211"/>
    <hyperlink ref="BK108" r:id="rId212"/>
    <hyperlink ref="BT108" r:id="rId213"/>
    <hyperlink ref="BK109" r:id="rId214"/>
    <hyperlink ref="BT109" r:id="rId215"/>
    <hyperlink ref="BK110" r:id="rId216"/>
    <hyperlink ref="BT110" r:id="rId217"/>
    <hyperlink ref="BK111" r:id="rId218"/>
    <hyperlink ref="BT111" r:id="rId219"/>
    <hyperlink ref="BK112" r:id="rId220"/>
    <hyperlink ref="BT112" r:id="rId221"/>
    <hyperlink ref="BK113" r:id="rId222"/>
    <hyperlink ref="BT113" r:id="rId223"/>
    <hyperlink ref="BK114" r:id="rId224"/>
    <hyperlink ref="BT114" r:id="rId225"/>
    <hyperlink ref="BK115" r:id="rId226"/>
    <hyperlink ref="BT115" r:id="rId227"/>
    <hyperlink ref="BK116" r:id="rId228"/>
    <hyperlink ref="BT116" r:id="rId229"/>
    <hyperlink ref="BK117" r:id="rId230"/>
    <hyperlink ref="BT117" r:id="rId231"/>
    <hyperlink ref="BK118" r:id="rId232"/>
    <hyperlink ref="BT118" r:id="rId233"/>
    <hyperlink ref="BK119" r:id="rId234"/>
    <hyperlink ref="BT119" r:id="rId235"/>
    <hyperlink ref="BK120" r:id="rId236"/>
    <hyperlink ref="BT120" r:id="rId237"/>
    <hyperlink ref="BK121" r:id="rId238"/>
    <hyperlink ref="BT121" r:id="rId239"/>
    <hyperlink ref="BK122" r:id="rId240"/>
    <hyperlink ref="BT122" r:id="rId241"/>
    <hyperlink ref="BK123" r:id="rId242"/>
    <hyperlink ref="BT123" r:id="rId243"/>
    <hyperlink ref="BK124" r:id="rId244"/>
    <hyperlink ref="BT124" r:id="rId245"/>
    <hyperlink ref="BK125" r:id="rId246"/>
    <hyperlink ref="BT125" r:id="rId247"/>
    <hyperlink ref="BK126" r:id="rId248"/>
    <hyperlink ref="BT126" r:id="rId249"/>
    <hyperlink ref="BK127" r:id="rId250"/>
    <hyperlink ref="BT127" r:id="rId251"/>
    <hyperlink ref="BK128" r:id="rId252"/>
    <hyperlink ref="BT128" r:id="rId253"/>
    <hyperlink ref="BK129" r:id="rId254"/>
    <hyperlink ref="BT129" r:id="rId255"/>
    <hyperlink ref="BK130" r:id="rId256"/>
    <hyperlink ref="BT130" r:id="rId257"/>
    <hyperlink ref="BK131" r:id="rId258"/>
    <hyperlink ref="BT131" r:id="rId259"/>
    <hyperlink ref="BK132" r:id="rId260"/>
    <hyperlink ref="BT132" r:id="rId261"/>
    <hyperlink ref="BK133" r:id="rId262"/>
    <hyperlink ref="BT133" r:id="rId263"/>
    <hyperlink ref="BK134" r:id="rId264"/>
    <hyperlink ref="BT134" r:id="rId265"/>
    <hyperlink ref="BK135" r:id="rId266"/>
    <hyperlink ref="BT135" r:id="rId267"/>
    <hyperlink ref="BK136" r:id="rId268"/>
    <hyperlink ref="BT136" r:id="rId269"/>
    <hyperlink ref="BK137" r:id="rId270"/>
    <hyperlink ref="BT137" r:id="rId271"/>
    <hyperlink ref="BK138" r:id="rId272"/>
    <hyperlink ref="BT138" r:id="rId273"/>
    <hyperlink ref="BK139" r:id="rId274"/>
    <hyperlink ref="BT139" r:id="rId275"/>
    <hyperlink ref="BK140" r:id="rId276"/>
    <hyperlink ref="BT140" r:id="rId277"/>
    <hyperlink ref="BK141" r:id="rId278"/>
    <hyperlink ref="BT141" r:id="rId279"/>
    <hyperlink ref="BK142" r:id="rId280"/>
    <hyperlink ref="BT142" r:id="rId281"/>
    <hyperlink ref="BK143" r:id="rId282"/>
    <hyperlink ref="BT143" r:id="rId283"/>
    <hyperlink ref="BK144" r:id="rId284"/>
    <hyperlink ref="BT144" r:id="rId285"/>
    <hyperlink ref="BK145" r:id="rId286"/>
    <hyperlink ref="BT145" r:id="rId287"/>
    <hyperlink ref="BK146" r:id="rId288"/>
    <hyperlink ref="BT146" r:id="rId289"/>
    <hyperlink ref="BK147" r:id="rId290"/>
    <hyperlink ref="BT147" r:id="rId291"/>
    <hyperlink ref="BK148" r:id="rId292"/>
    <hyperlink ref="BT148" r:id="rId293"/>
    <hyperlink ref="BK149" r:id="rId294"/>
    <hyperlink ref="BT149" r:id="rId295"/>
    <hyperlink ref="BK150" r:id="rId296"/>
    <hyperlink ref="BT150" r:id="rId297"/>
    <hyperlink ref="BK151" r:id="rId298"/>
    <hyperlink ref="BT151" r:id="rId299"/>
    <hyperlink ref="BK152" r:id="rId300"/>
    <hyperlink ref="BT152" r:id="rId301"/>
    <hyperlink ref="BK153" r:id="rId302"/>
    <hyperlink ref="BT153" r:id="rId303"/>
    <hyperlink ref="BK154" r:id="rId304"/>
    <hyperlink ref="BT154" r:id="rId305"/>
    <hyperlink ref="BK155" r:id="rId306"/>
    <hyperlink ref="BT155" r:id="rId307"/>
    <hyperlink ref="BK156" r:id="rId308"/>
    <hyperlink ref="BT156" r:id="rId309"/>
    <hyperlink ref="BK157" r:id="rId310"/>
    <hyperlink ref="BT157" r:id="rId311"/>
    <hyperlink ref="BK158" r:id="rId312"/>
    <hyperlink ref="BT158" r:id="rId313"/>
    <hyperlink ref="BK159" r:id="rId314"/>
    <hyperlink ref="BT159" r:id="rId315"/>
    <hyperlink ref="BK160" r:id="rId316"/>
    <hyperlink ref="BT160" r:id="rId317"/>
    <hyperlink ref="BK161" r:id="rId318"/>
    <hyperlink ref="BT161" r:id="rId319"/>
    <hyperlink ref="BK162" r:id="rId320"/>
    <hyperlink ref="BT162" r:id="rId321"/>
    <hyperlink ref="BK163" r:id="rId322"/>
    <hyperlink ref="BT163" r:id="rId323"/>
    <hyperlink ref="BK164" r:id="rId324"/>
    <hyperlink ref="BT164" r:id="rId325"/>
    <hyperlink ref="BK165" r:id="rId326"/>
    <hyperlink ref="BT165" r:id="rId327"/>
    <hyperlink ref="BK166" r:id="rId328"/>
    <hyperlink ref="BT166" r:id="rId329"/>
    <hyperlink ref="BK167" r:id="rId330"/>
    <hyperlink ref="BT167" r:id="rId331"/>
    <hyperlink ref="BK168" r:id="rId332"/>
    <hyperlink ref="BT168" r:id="rId333"/>
    <hyperlink ref="BK169" r:id="rId334"/>
    <hyperlink ref="BT169" r:id="rId335"/>
    <hyperlink ref="BK170" r:id="rId336"/>
    <hyperlink ref="BT170" r:id="rId337"/>
    <hyperlink ref="BK171" r:id="rId338"/>
    <hyperlink ref="BT171" r:id="rId339"/>
    <hyperlink ref="BK172" r:id="rId340"/>
    <hyperlink ref="BT172" r:id="rId341"/>
    <hyperlink ref="BK173" r:id="rId342"/>
    <hyperlink ref="BT173" r:id="rId343"/>
    <hyperlink ref="BK174" r:id="rId344"/>
    <hyperlink ref="BT174" r:id="rId345"/>
    <hyperlink ref="BK175" r:id="rId346"/>
    <hyperlink ref="BT175" r:id="rId347"/>
    <hyperlink ref="BK176" r:id="rId348"/>
    <hyperlink ref="BT176" r:id="rId349"/>
    <hyperlink ref="BK177" r:id="rId350"/>
    <hyperlink ref="BT177" r:id="rId351"/>
    <hyperlink ref="BK178" r:id="rId352"/>
    <hyperlink ref="BT178" r:id="rId353"/>
    <hyperlink ref="BK179" r:id="rId354"/>
    <hyperlink ref="BT179" r:id="rId355"/>
    <hyperlink ref="BK180" r:id="rId356"/>
    <hyperlink ref="BT180" r:id="rId357"/>
    <hyperlink ref="BK181" r:id="rId358"/>
    <hyperlink ref="BT181" r:id="rId359"/>
    <hyperlink ref="BK182" r:id="rId360"/>
    <hyperlink ref="BT182" r:id="rId361"/>
    <hyperlink ref="BK183" r:id="rId362"/>
    <hyperlink ref="BT183" r:id="rId363"/>
    <hyperlink ref="BK184" r:id="rId364"/>
    <hyperlink ref="BT184" r:id="rId365"/>
    <hyperlink ref="BK185" r:id="rId366"/>
    <hyperlink ref="BT185" r:id="rId367"/>
    <hyperlink ref="BK186" r:id="rId368"/>
    <hyperlink ref="BT186" r:id="rId369"/>
    <hyperlink ref="BK187" r:id="rId370"/>
    <hyperlink ref="BT187" r:id="rId371"/>
    <hyperlink ref="BK188" r:id="rId372"/>
    <hyperlink ref="BT188" r:id="rId373"/>
    <hyperlink ref="BK189" r:id="rId374"/>
    <hyperlink ref="BT189" r:id="rId375"/>
    <hyperlink ref="BK190" r:id="rId376"/>
    <hyperlink ref="BT190" r:id="rId377"/>
    <hyperlink ref="BK191" r:id="rId378"/>
    <hyperlink ref="BT191" r:id="rId379"/>
    <hyperlink ref="BK192" r:id="rId380"/>
    <hyperlink ref="BT192" r:id="rId381"/>
    <hyperlink ref="BK193" r:id="rId382"/>
    <hyperlink ref="BT193" r:id="rId383"/>
    <hyperlink ref="BK194" r:id="rId384"/>
    <hyperlink ref="BT194" r:id="rId385"/>
    <hyperlink ref="BK195" r:id="rId386"/>
    <hyperlink ref="BT195" r:id="rId387"/>
    <hyperlink ref="BK196" r:id="rId388"/>
    <hyperlink ref="BT196" r:id="rId389"/>
    <hyperlink ref="BK197" r:id="rId390"/>
    <hyperlink ref="BT197" r:id="rId391"/>
    <hyperlink ref="BK198" r:id="rId392"/>
    <hyperlink ref="BT198" r:id="rId393"/>
    <hyperlink ref="BK199" r:id="rId394"/>
    <hyperlink ref="BT199" r:id="rId395"/>
    <hyperlink ref="BK200" r:id="rId396"/>
    <hyperlink ref="BT200" r:id="rId397"/>
    <hyperlink ref="BK201" r:id="rId398"/>
    <hyperlink ref="BT201" r:id="rId399"/>
    <hyperlink ref="BK202" r:id="rId400"/>
    <hyperlink ref="BT202" r:id="rId401"/>
    <hyperlink ref="BK203" r:id="rId402"/>
    <hyperlink ref="BT203" r:id="rId403"/>
    <hyperlink ref="BK204" r:id="rId404"/>
    <hyperlink ref="BT204" r:id="rId405"/>
    <hyperlink ref="BK205" r:id="rId406"/>
    <hyperlink ref="BT205" r:id="rId407"/>
    <hyperlink ref="BK206" r:id="rId408"/>
    <hyperlink ref="BT206" r:id="rId409"/>
    <hyperlink ref="BK207" r:id="rId410"/>
    <hyperlink ref="BT207" r:id="rId411"/>
    <hyperlink ref="BK208" r:id="rId412"/>
    <hyperlink ref="BT208" r:id="rId413"/>
    <hyperlink ref="BK209" r:id="rId414"/>
    <hyperlink ref="BT209" r:id="rId415"/>
    <hyperlink ref="BK210" r:id="rId416"/>
    <hyperlink ref="BT210" r:id="rId417"/>
    <hyperlink ref="BK211" r:id="rId418"/>
    <hyperlink ref="BT211" r:id="rId419"/>
    <hyperlink ref="BK212" r:id="rId420"/>
    <hyperlink ref="BT212" r:id="rId421"/>
    <hyperlink ref="BK213" r:id="rId422"/>
    <hyperlink ref="BT213" r:id="rId423"/>
    <hyperlink ref="BK214" r:id="rId424"/>
    <hyperlink ref="BT214" r:id="rId425"/>
    <hyperlink ref="BK215" r:id="rId426"/>
    <hyperlink ref="BT215" r:id="rId427"/>
    <hyperlink ref="BK216" r:id="rId428"/>
    <hyperlink ref="BT216" r:id="rId429"/>
    <hyperlink ref="BK217" r:id="rId430"/>
    <hyperlink ref="BT217" r:id="rId431"/>
    <hyperlink ref="BK218" r:id="rId432"/>
    <hyperlink ref="BT218" r:id="rId433"/>
    <hyperlink ref="BK219" r:id="rId434"/>
    <hyperlink ref="BT219" r:id="rId435"/>
    <hyperlink ref="BK220" r:id="rId436"/>
    <hyperlink ref="BT220" r:id="rId437"/>
    <hyperlink ref="BK221" r:id="rId438"/>
    <hyperlink ref="BT221" r:id="rId439"/>
    <hyperlink ref="BT222" r:id="rId440"/>
    <hyperlink ref="BK223" r:id="rId441"/>
    <hyperlink ref="BT223" r:id="rId442"/>
    <hyperlink ref="BK224" r:id="rId443"/>
    <hyperlink ref="BT224" r:id="rId444"/>
    <hyperlink ref="BK225" r:id="rId445"/>
    <hyperlink ref="BT225" r:id="rId446"/>
    <hyperlink ref="BK226" r:id="rId447"/>
    <hyperlink ref="BT226" r:id="rId448"/>
    <hyperlink ref="BK227" r:id="rId449"/>
    <hyperlink ref="BT227" r:id="rId450"/>
    <hyperlink ref="BK228" r:id="rId451"/>
    <hyperlink ref="BT228" r:id="rId452"/>
    <hyperlink ref="BK229" r:id="rId453"/>
    <hyperlink ref="BT229" r:id="rId454"/>
    <hyperlink ref="BK230" r:id="rId455"/>
    <hyperlink ref="BT230" r:id="rId456"/>
    <hyperlink ref="BK231" r:id="rId457"/>
    <hyperlink ref="BT231" r:id="rId458"/>
    <hyperlink ref="BK232" r:id="rId459"/>
    <hyperlink ref="BT232" r:id="rId460"/>
    <hyperlink ref="BK233" r:id="rId461"/>
    <hyperlink ref="BT233" r:id="rId462"/>
    <hyperlink ref="BK234" r:id="rId463"/>
    <hyperlink ref="BT234" r:id="rId464"/>
    <hyperlink ref="BK235" r:id="rId465"/>
    <hyperlink ref="BT235" r:id="rId466"/>
    <hyperlink ref="BK236" r:id="rId467"/>
    <hyperlink ref="BT236" r:id="rId468"/>
    <hyperlink ref="BK237" r:id="rId469"/>
    <hyperlink ref="BT237" r:id="rId470"/>
    <hyperlink ref="BK238" r:id="rId471"/>
    <hyperlink ref="BT238" r:id="rId472"/>
    <hyperlink ref="BK239" r:id="rId473"/>
    <hyperlink ref="BT239" r:id="rId474"/>
    <hyperlink ref="BK240" r:id="rId475"/>
    <hyperlink ref="BT240" r:id="rId476"/>
    <hyperlink ref="BK241" r:id="rId477"/>
    <hyperlink ref="BT241" r:id="rId478"/>
    <hyperlink ref="BK242" r:id="rId479"/>
    <hyperlink ref="BT242" r:id="rId480"/>
    <hyperlink ref="BK243" r:id="rId481"/>
    <hyperlink ref="BT243" r:id="rId482"/>
    <hyperlink ref="BK244" r:id="rId483"/>
    <hyperlink ref="BT244" r:id="rId484"/>
    <hyperlink ref="BK245" r:id="rId485"/>
    <hyperlink ref="BT245" r:id="rId486"/>
    <hyperlink ref="BK246" r:id="rId487"/>
    <hyperlink ref="BT246" r:id="rId488"/>
    <hyperlink ref="BK247" r:id="rId489"/>
    <hyperlink ref="BT247" r:id="rId490"/>
    <hyperlink ref="BK248" r:id="rId491"/>
    <hyperlink ref="BT248" r:id="rId492"/>
    <hyperlink ref="BK249" r:id="rId493"/>
    <hyperlink ref="BT249" r:id="rId494"/>
    <hyperlink ref="BK250" r:id="rId495"/>
    <hyperlink ref="BT250" r:id="rId496"/>
    <hyperlink ref="BK251" r:id="rId497"/>
    <hyperlink ref="BT251" r:id="rId498"/>
    <hyperlink ref="BK252" r:id="rId499"/>
    <hyperlink ref="BT252" r:id="rId500"/>
    <hyperlink ref="BK253" r:id="rId501"/>
    <hyperlink ref="BT253" r:id="rId502"/>
    <hyperlink ref="BK254" r:id="rId503"/>
    <hyperlink ref="BT254" r:id="rId504"/>
    <hyperlink ref="BK255" r:id="rId505"/>
    <hyperlink ref="BT255" r:id="rId506"/>
    <hyperlink ref="BK256" r:id="rId507"/>
    <hyperlink ref="BT256" r:id="rId508"/>
    <hyperlink ref="BK257" r:id="rId509"/>
    <hyperlink ref="BT257" r:id="rId510"/>
    <hyperlink ref="BT258" r:id="rId511"/>
    <hyperlink ref="BK259" r:id="rId512"/>
    <hyperlink ref="BT259" r:id="rId513"/>
    <hyperlink ref="BK260" r:id="rId514"/>
    <hyperlink ref="BT260" r:id="rId515"/>
    <hyperlink ref="BK261" r:id="rId516"/>
    <hyperlink ref="BT261" r:id="rId517"/>
    <hyperlink ref="BK262" r:id="rId518"/>
    <hyperlink ref="BT262" r:id="rId519"/>
    <hyperlink ref="BK263" r:id="rId520"/>
    <hyperlink ref="BT263" r:id="rId521"/>
    <hyperlink ref="BK264" r:id="rId522"/>
    <hyperlink ref="BT264" r:id="rId523"/>
    <hyperlink ref="BK265" r:id="rId524"/>
    <hyperlink ref="BT265" r:id="rId525"/>
    <hyperlink ref="BK266" r:id="rId526"/>
    <hyperlink ref="BT266" r:id="rId527"/>
    <hyperlink ref="BK267" r:id="rId528"/>
    <hyperlink ref="BT267" r:id="rId529"/>
    <hyperlink ref="BK268" r:id="rId530"/>
    <hyperlink ref="BT268" r:id="rId531"/>
    <hyperlink ref="BK269" r:id="rId532"/>
    <hyperlink ref="BT269" r:id="rId533"/>
    <hyperlink ref="BK270" r:id="rId534"/>
    <hyperlink ref="BT270" r:id="rId535"/>
    <hyperlink ref="BK271" r:id="rId536"/>
    <hyperlink ref="BT271" r:id="rId537"/>
    <hyperlink ref="BK272" r:id="rId538"/>
    <hyperlink ref="BT272" r:id="rId539"/>
    <hyperlink ref="BK273" r:id="rId540"/>
    <hyperlink ref="BT273" r:id="rId541"/>
    <hyperlink ref="BK274" r:id="rId542"/>
    <hyperlink ref="BT274" r:id="rId543"/>
    <hyperlink ref="BK275" r:id="rId544"/>
    <hyperlink ref="BT275" r:id="rId545"/>
    <hyperlink ref="BK276" r:id="rId546"/>
    <hyperlink ref="BT276" r:id="rId547"/>
    <hyperlink ref="BK277" r:id="rId548"/>
    <hyperlink ref="BT277" r:id="rId549"/>
    <hyperlink ref="BK278" r:id="rId550"/>
    <hyperlink ref="BT278" r:id="rId551"/>
    <hyperlink ref="BK279" r:id="rId552"/>
    <hyperlink ref="BT279" r:id="rId553"/>
    <hyperlink ref="BK280" r:id="rId554"/>
    <hyperlink ref="BT280" r:id="rId555"/>
    <hyperlink ref="BK281" r:id="rId556"/>
    <hyperlink ref="BT281" r:id="rId557"/>
    <hyperlink ref="BK282" r:id="rId558"/>
    <hyperlink ref="BT282" r:id="rId559"/>
    <hyperlink ref="BK283" r:id="rId560"/>
    <hyperlink ref="BT283" r:id="rId561"/>
    <hyperlink ref="BK284" r:id="rId562"/>
    <hyperlink ref="BT284" r:id="rId563"/>
    <hyperlink ref="BK285" r:id="rId564"/>
    <hyperlink ref="BT285" r:id="rId565"/>
    <hyperlink ref="BK286" r:id="rId566"/>
    <hyperlink ref="BT286" r:id="rId567"/>
    <hyperlink ref="BK287" r:id="rId568"/>
    <hyperlink ref="BT287" r:id="rId569"/>
    <hyperlink ref="BK288" r:id="rId570"/>
    <hyperlink ref="BT288" r:id="rId571"/>
    <hyperlink ref="BK289" r:id="rId572"/>
    <hyperlink ref="BT289" r:id="rId573"/>
    <hyperlink ref="BK290" r:id="rId574"/>
    <hyperlink ref="BT290" r:id="rId575"/>
    <hyperlink ref="BK291" r:id="rId576"/>
    <hyperlink ref="BT291" r:id="rId577"/>
    <hyperlink ref="BK292" r:id="rId578"/>
    <hyperlink ref="BT292" r:id="rId579"/>
    <hyperlink ref="BK293" r:id="rId580"/>
    <hyperlink ref="BT293" r:id="rId581"/>
    <hyperlink ref="BK294" r:id="rId582"/>
    <hyperlink ref="BT294" r:id="rId583"/>
    <hyperlink ref="BK295" r:id="rId584"/>
    <hyperlink ref="BT295" r:id="rId585"/>
    <hyperlink ref="BK296" r:id="rId586"/>
    <hyperlink ref="BT296" r:id="rId587"/>
    <hyperlink ref="BK297" r:id="rId588"/>
    <hyperlink ref="BT297" r:id="rId589"/>
    <hyperlink ref="BK298" r:id="rId590"/>
    <hyperlink ref="BT298" r:id="rId591"/>
    <hyperlink ref="BK299" r:id="rId592"/>
    <hyperlink ref="BT299" r:id="rId593"/>
    <hyperlink ref="BK300" r:id="rId594"/>
    <hyperlink ref="BT300" r:id="rId595"/>
    <hyperlink ref="BK301" r:id="rId596"/>
    <hyperlink ref="BT301" r:id="rId597"/>
    <hyperlink ref="BK302" r:id="rId598"/>
    <hyperlink ref="BT302" r:id="rId599"/>
    <hyperlink ref="BK303" r:id="rId600"/>
    <hyperlink ref="BT303" r:id="rId601"/>
    <hyperlink ref="BK304" r:id="rId602"/>
    <hyperlink ref="BT304" r:id="rId603"/>
    <hyperlink ref="BK305" r:id="rId604"/>
    <hyperlink ref="BT305" r:id="rId605"/>
    <hyperlink ref="BK306" r:id="rId606"/>
    <hyperlink ref="BT306" r:id="rId607"/>
    <hyperlink ref="BK307" r:id="rId608"/>
    <hyperlink ref="BT307" r:id="rId609"/>
    <hyperlink ref="BK308" r:id="rId610"/>
    <hyperlink ref="BT308" r:id="rId611"/>
    <hyperlink ref="BK309" r:id="rId612"/>
    <hyperlink ref="BT309" r:id="rId613"/>
    <hyperlink ref="BK310" r:id="rId614"/>
    <hyperlink ref="BT310" r:id="rId615"/>
    <hyperlink ref="BK311" r:id="rId616"/>
    <hyperlink ref="BT311" r:id="rId617"/>
    <hyperlink ref="BK312" r:id="rId618"/>
    <hyperlink ref="BT312" r:id="rId619"/>
    <hyperlink ref="BK313" r:id="rId620"/>
    <hyperlink ref="BT313" r:id="rId621"/>
    <hyperlink ref="BK314" r:id="rId622"/>
    <hyperlink ref="BT314" r:id="rId623"/>
    <hyperlink ref="BK315" r:id="rId624"/>
    <hyperlink ref="BT315" r:id="rId625"/>
    <hyperlink ref="BK316" r:id="rId626"/>
    <hyperlink ref="BT316" r:id="rId627"/>
    <hyperlink ref="BK317" r:id="rId628"/>
    <hyperlink ref="BT317" r:id="rId629"/>
    <hyperlink ref="BK318" r:id="rId630"/>
    <hyperlink ref="BT318" r:id="rId631"/>
    <hyperlink ref="BK319" r:id="rId632"/>
    <hyperlink ref="BT319" r:id="rId633"/>
    <hyperlink ref="BK320" r:id="rId634"/>
    <hyperlink ref="BT320" r:id="rId635"/>
    <hyperlink ref="BK321" r:id="rId636"/>
    <hyperlink ref="BT321" r:id="rId637"/>
    <hyperlink ref="BK322" r:id="rId638"/>
    <hyperlink ref="BT322" r:id="rId639"/>
    <hyperlink ref="BK323" r:id="rId640"/>
    <hyperlink ref="BT323" r:id="rId641"/>
    <hyperlink ref="BK324" r:id="rId642"/>
    <hyperlink ref="BT324" r:id="rId643"/>
    <hyperlink ref="BK325" r:id="rId644"/>
    <hyperlink ref="BT325" r:id="rId645"/>
    <hyperlink ref="BK326" r:id="rId646"/>
    <hyperlink ref="BT326" r:id="rId647"/>
    <hyperlink ref="BK327" r:id="rId648"/>
    <hyperlink ref="BT327" r:id="rId649"/>
    <hyperlink ref="BK328" r:id="rId650"/>
    <hyperlink ref="BT328" r:id="rId651"/>
    <hyperlink ref="BK329" r:id="rId652"/>
    <hyperlink ref="BT329" r:id="rId653"/>
    <hyperlink ref="BK330" r:id="rId654"/>
    <hyperlink ref="BT330" r:id="rId655"/>
    <hyperlink ref="BK331" r:id="rId656"/>
    <hyperlink ref="BT331" r:id="rId657"/>
    <hyperlink ref="BK332" r:id="rId658"/>
    <hyperlink ref="BT332" r:id="rId659"/>
    <hyperlink ref="BK333" r:id="rId660"/>
    <hyperlink ref="BT333" r:id="rId661"/>
    <hyperlink ref="BK334" r:id="rId662"/>
    <hyperlink ref="BT334" r:id="rId663"/>
    <hyperlink ref="BK335" r:id="rId664"/>
    <hyperlink ref="BT335" r:id="rId665"/>
    <hyperlink ref="BK336" r:id="rId666"/>
    <hyperlink ref="BT336" r:id="rId667"/>
    <hyperlink ref="BK337" r:id="rId668"/>
    <hyperlink ref="BT337" r:id="rId669"/>
    <hyperlink ref="BK338" r:id="rId670"/>
    <hyperlink ref="BT338" r:id="rId671"/>
    <hyperlink ref="BK339" r:id="rId672"/>
    <hyperlink ref="BT339" r:id="rId673"/>
    <hyperlink ref="BK340" r:id="rId674"/>
    <hyperlink ref="BT340" r:id="rId675"/>
    <hyperlink ref="BK341" r:id="rId676"/>
    <hyperlink ref="BT341" r:id="rId677"/>
    <hyperlink ref="BK342" r:id="rId678"/>
    <hyperlink ref="BT342" r:id="rId679"/>
    <hyperlink ref="BK343" r:id="rId680"/>
    <hyperlink ref="BT343" r:id="rId681"/>
    <hyperlink ref="BK344" r:id="rId682"/>
    <hyperlink ref="BT344" r:id="rId683"/>
    <hyperlink ref="BK345" r:id="rId684"/>
    <hyperlink ref="BT345" r:id="rId685"/>
    <hyperlink ref="BK346" r:id="rId686"/>
    <hyperlink ref="BT346" r:id="rId687"/>
    <hyperlink ref="BK347" r:id="rId688"/>
    <hyperlink ref="BT347" r:id="rId689"/>
    <hyperlink ref="BK348" r:id="rId690"/>
    <hyperlink ref="BT348" r:id="rId691"/>
    <hyperlink ref="BK349" r:id="rId692"/>
    <hyperlink ref="BT349" r:id="rId693"/>
    <hyperlink ref="BK350" r:id="rId694"/>
    <hyperlink ref="BT350" r:id="rId695"/>
    <hyperlink ref="BK351" r:id="rId696"/>
    <hyperlink ref="BT351" r:id="rId697"/>
    <hyperlink ref="BK352" r:id="rId698"/>
    <hyperlink ref="BT352" r:id="rId699"/>
    <hyperlink ref="BK353" r:id="rId700"/>
    <hyperlink ref="BT353" r:id="rId701"/>
    <hyperlink ref="BK354" r:id="rId702"/>
    <hyperlink ref="BT354" r:id="rId703"/>
    <hyperlink ref="BK355" r:id="rId704"/>
    <hyperlink ref="BT355" r:id="rId705"/>
    <hyperlink ref="BK356" r:id="rId706"/>
    <hyperlink ref="BT356" r:id="rId707"/>
    <hyperlink ref="BK357" r:id="rId708"/>
    <hyperlink ref="BT357" r:id="rId709"/>
    <hyperlink ref="BK358" r:id="rId710"/>
    <hyperlink ref="BT358" r:id="rId711"/>
    <hyperlink ref="BK359" r:id="rId712"/>
    <hyperlink ref="BT359" r:id="rId713"/>
    <hyperlink ref="BK360" r:id="rId714"/>
    <hyperlink ref="BT360" r:id="rId715"/>
    <hyperlink ref="BK361" r:id="rId716"/>
    <hyperlink ref="BT361" r:id="rId717"/>
    <hyperlink ref="BK362" r:id="rId718"/>
    <hyperlink ref="BT362" r:id="rId719"/>
    <hyperlink ref="BK363" r:id="rId720"/>
    <hyperlink ref="BT363" r:id="rId721"/>
    <hyperlink ref="BK364" r:id="rId722"/>
    <hyperlink ref="BT364" r:id="rId723"/>
    <hyperlink ref="BK365" r:id="rId724"/>
    <hyperlink ref="BT365" r:id="rId725"/>
    <hyperlink ref="BK366" r:id="rId726"/>
    <hyperlink ref="BT366" r:id="rId727"/>
    <hyperlink ref="BK367" r:id="rId728"/>
    <hyperlink ref="BT367" r:id="rId729"/>
    <hyperlink ref="BK368" r:id="rId730"/>
    <hyperlink ref="BT368" r:id="rId731"/>
    <hyperlink ref="BK369" r:id="rId732"/>
    <hyperlink ref="BT369" r:id="rId733"/>
    <hyperlink ref="BK370" r:id="rId734"/>
    <hyperlink ref="BT370" r:id="rId735"/>
    <hyperlink ref="BK371" r:id="rId736"/>
    <hyperlink ref="BT371" r:id="rId737"/>
    <hyperlink ref="BK372" r:id="rId738"/>
    <hyperlink ref="BT372" r:id="rId739"/>
    <hyperlink ref="BK373" r:id="rId740"/>
    <hyperlink ref="BT373" r:id="rId741"/>
    <hyperlink ref="BK374" r:id="rId742"/>
    <hyperlink ref="BT374" r:id="rId743"/>
    <hyperlink ref="BK375" r:id="rId744"/>
    <hyperlink ref="BT375" r:id="rId745"/>
    <hyperlink ref="BK376" r:id="rId746"/>
    <hyperlink ref="BT376" r:id="rId747"/>
    <hyperlink ref="BK377" r:id="rId748"/>
    <hyperlink ref="BT377" r:id="rId749"/>
    <hyperlink ref="BK378" r:id="rId750"/>
    <hyperlink ref="BT378" r:id="rId751"/>
    <hyperlink ref="BK379" r:id="rId752"/>
    <hyperlink ref="BT379" r:id="rId753"/>
    <hyperlink ref="BK380" r:id="rId754"/>
    <hyperlink ref="BT380" r:id="rId755"/>
    <hyperlink ref="BK381" r:id="rId756"/>
    <hyperlink ref="BT381" r:id="rId757"/>
    <hyperlink ref="BK382" r:id="rId758"/>
    <hyperlink ref="BT382" r:id="rId759"/>
    <hyperlink ref="BK383" r:id="rId760"/>
    <hyperlink ref="BT383" r:id="rId761"/>
    <hyperlink ref="BK384" r:id="rId762"/>
    <hyperlink ref="BT384" r:id="rId763"/>
    <hyperlink ref="BT385" r:id="rId764"/>
    <hyperlink ref="BK386" r:id="rId765"/>
    <hyperlink ref="BT386" r:id="rId766"/>
    <hyperlink ref="BK387" r:id="rId767"/>
    <hyperlink ref="BT387" r:id="rId768"/>
    <hyperlink ref="BK388" r:id="rId769"/>
    <hyperlink ref="BT388" r:id="rId770"/>
    <hyperlink ref="BK389" r:id="rId771"/>
    <hyperlink ref="BT389" r:id="rId772"/>
    <hyperlink ref="BK390" r:id="rId773"/>
    <hyperlink ref="BT390" r:id="rId774"/>
    <hyperlink ref="BK391" r:id="rId775"/>
    <hyperlink ref="BT391" r:id="rId776"/>
    <hyperlink ref="BK392" r:id="rId777"/>
    <hyperlink ref="BT392" r:id="rId778"/>
    <hyperlink ref="BK393" r:id="rId779"/>
    <hyperlink ref="BT393" r:id="rId780"/>
    <hyperlink ref="BK394" r:id="rId781"/>
    <hyperlink ref="BT394" r:id="rId782"/>
    <hyperlink ref="BK395" r:id="rId783"/>
    <hyperlink ref="BT395" r:id="rId784"/>
    <hyperlink ref="BK396" r:id="rId785"/>
    <hyperlink ref="BT396" r:id="rId786"/>
    <hyperlink ref="BK397" r:id="rId787"/>
    <hyperlink ref="BT397" r:id="rId788"/>
    <hyperlink ref="BK398" r:id="rId789"/>
    <hyperlink ref="BT398" r:id="rId790"/>
    <hyperlink ref="BK399" r:id="rId791"/>
    <hyperlink ref="BT399" r:id="rId792"/>
    <hyperlink ref="BK400" r:id="rId793"/>
    <hyperlink ref="BT400" r:id="rId794"/>
    <hyperlink ref="BK401" r:id="rId795"/>
    <hyperlink ref="BT401" r:id="rId796"/>
    <hyperlink ref="BK402" r:id="rId797"/>
    <hyperlink ref="BT402" r:id="rId798"/>
    <hyperlink ref="BK403" r:id="rId799"/>
    <hyperlink ref="BT403" r:id="rId800"/>
    <hyperlink ref="BK404" r:id="rId801"/>
    <hyperlink ref="BT404" r:id="rId802"/>
    <hyperlink ref="BK405" r:id="rId803"/>
    <hyperlink ref="BT405" r:id="rId804"/>
    <hyperlink ref="BK406" r:id="rId805"/>
    <hyperlink ref="BT406" r:id="rId806"/>
    <hyperlink ref="BK407" r:id="rId807"/>
    <hyperlink ref="BT407" r:id="rId808"/>
    <hyperlink ref="BK408" r:id="rId809"/>
    <hyperlink ref="BT408" r:id="rId810"/>
    <hyperlink ref="BK409" r:id="rId811"/>
    <hyperlink ref="BT409" r:id="rId812"/>
    <hyperlink ref="BK410" r:id="rId813"/>
    <hyperlink ref="BT410" r:id="rId814"/>
    <hyperlink ref="BK411" r:id="rId815"/>
    <hyperlink ref="BT411" r:id="rId816"/>
    <hyperlink ref="BK412" r:id="rId817"/>
    <hyperlink ref="BT412" r:id="rId818"/>
    <hyperlink ref="BK413" r:id="rId819"/>
    <hyperlink ref="BT413" r:id="rId820"/>
    <hyperlink ref="BK414" r:id="rId821"/>
    <hyperlink ref="BT414" r:id="rId822"/>
    <hyperlink ref="BK415" r:id="rId823"/>
    <hyperlink ref="BT415" r:id="rId824"/>
    <hyperlink ref="BK416" r:id="rId825"/>
    <hyperlink ref="BT416" r:id="rId826"/>
    <hyperlink ref="BK417" r:id="rId827"/>
    <hyperlink ref="BT417" r:id="rId828"/>
    <hyperlink ref="BK418" r:id="rId829"/>
    <hyperlink ref="BT418" r:id="rId830"/>
    <hyperlink ref="BK419" r:id="rId831"/>
    <hyperlink ref="BT419" r:id="rId832"/>
    <hyperlink ref="BK420" r:id="rId833"/>
    <hyperlink ref="BT420" r:id="rId834"/>
    <hyperlink ref="BK421" r:id="rId835"/>
    <hyperlink ref="BT421" r:id="rId836"/>
    <hyperlink ref="BK422" r:id="rId837"/>
    <hyperlink ref="BT422" r:id="rId838"/>
    <hyperlink ref="BK423" r:id="rId839"/>
    <hyperlink ref="BT423" r:id="rId840"/>
    <hyperlink ref="BK424" r:id="rId841"/>
    <hyperlink ref="BT424" r:id="rId842"/>
    <hyperlink ref="BK425" r:id="rId843"/>
    <hyperlink ref="BT425" r:id="rId844"/>
    <hyperlink ref="BK426" r:id="rId845"/>
    <hyperlink ref="BT426" r:id="rId846"/>
    <hyperlink ref="BK427" r:id="rId847"/>
    <hyperlink ref="BT427" r:id="rId848"/>
    <hyperlink ref="BK428" r:id="rId849"/>
    <hyperlink ref="BT428" r:id="rId850"/>
    <hyperlink ref="BK429" r:id="rId851"/>
    <hyperlink ref="BT429" r:id="rId852"/>
    <hyperlink ref="BK430" r:id="rId853"/>
    <hyperlink ref="BT430" r:id="rId854"/>
    <hyperlink ref="BK431" r:id="rId855"/>
    <hyperlink ref="BT431" r:id="rId856"/>
    <hyperlink ref="BK432" r:id="rId857"/>
    <hyperlink ref="BT432" r:id="rId858"/>
    <hyperlink ref="BK433" r:id="rId859"/>
    <hyperlink ref="BT433" r:id="rId860"/>
    <hyperlink ref="BK434" r:id="rId861"/>
    <hyperlink ref="BT434" r:id="rId862"/>
    <hyperlink ref="BK435" r:id="rId863"/>
    <hyperlink ref="BT435" r:id="rId864"/>
    <hyperlink ref="BK436" r:id="rId865"/>
    <hyperlink ref="BT436" r:id="rId866"/>
    <hyperlink ref="BK437" r:id="rId867"/>
    <hyperlink ref="BT437" r:id="rId868"/>
    <hyperlink ref="BK438" r:id="rId869"/>
    <hyperlink ref="BT438" r:id="rId870"/>
    <hyperlink ref="BK439" r:id="rId871"/>
    <hyperlink ref="BT439" r:id="rId872"/>
    <hyperlink ref="BK440" r:id="rId873"/>
    <hyperlink ref="BT440" r:id="rId874"/>
    <hyperlink ref="BK441" r:id="rId875"/>
    <hyperlink ref="BT441" r:id="rId876"/>
    <hyperlink ref="BK442" r:id="rId877"/>
    <hyperlink ref="BT442" r:id="rId878"/>
    <hyperlink ref="BK443" r:id="rId879"/>
    <hyperlink ref="BT443" r:id="rId880"/>
    <hyperlink ref="BK444" r:id="rId881"/>
    <hyperlink ref="BT444" r:id="rId882"/>
    <hyperlink ref="BK445" r:id="rId883"/>
    <hyperlink ref="BT445" r:id="rId884"/>
    <hyperlink ref="BK446" r:id="rId885"/>
    <hyperlink ref="BT446" r:id="rId886"/>
    <hyperlink ref="BK447" r:id="rId887"/>
    <hyperlink ref="BT447" r:id="rId888"/>
    <hyperlink ref="BK448" r:id="rId889"/>
    <hyperlink ref="BT448" r:id="rId890"/>
    <hyperlink ref="BK449" r:id="rId891"/>
    <hyperlink ref="BT449" r:id="rId892"/>
    <hyperlink ref="BK450" r:id="rId893"/>
    <hyperlink ref="BT450" r:id="rId894"/>
    <hyperlink ref="BK451" r:id="rId895"/>
    <hyperlink ref="BT451" r:id="rId896"/>
    <hyperlink ref="BT452" r:id="rId897"/>
    <hyperlink ref="BK453" r:id="rId898"/>
    <hyperlink ref="BT453" r:id="rId899"/>
    <hyperlink ref="BK454" r:id="rId900"/>
    <hyperlink ref="BT454" r:id="rId901"/>
    <hyperlink ref="BK455" r:id="rId902"/>
    <hyperlink ref="BT455" r:id="rId903"/>
    <hyperlink ref="BK456" r:id="rId904"/>
    <hyperlink ref="BT456" r:id="rId905"/>
    <hyperlink ref="BK457" r:id="rId906"/>
    <hyperlink ref="BT457" r:id="rId907"/>
    <hyperlink ref="BK458" r:id="rId908"/>
    <hyperlink ref="BT458" r:id="rId909"/>
    <hyperlink ref="BK459" r:id="rId910"/>
    <hyperlink ref="BT459" r:id="rId911"/>
    <hyperlink ref="BK460" r:id="rId912"/>
    <hyperlink ref="BT460" r:id="rId913"/>
    <hyperlink ref="BK461" r:id="rId914"/>
    <hyperlink ref="BT461" r:id="rId915"/>
    <hyperlink ref="BK462" r:id="rId916"/>
    <hyperlink ref="BT462" r:id="rId917"/>
    <hyperlink ref="BK463" r:id="rId918"/>
    <hyperlink ref="BT463" r:id="rId919"/>
    <hyperlink ref="BK464" r:id="rId920"/>
    <hyperlink ref="BT464" r:id="rId921"/>
    <hyperlink ref="BK465" r:id="rId922"/>
    <hyperlink ref="BT465" r:id="rId923"/>
    <hyperlink ref="BK466" r:id="rId924"/>
    <hyperlink ref="BT466" r:id="rId925"/>
    <hyperlink ref="BK467" r:id="rId926"/>
    <hyperlink ref="BT467" r:id="rId927"/>
    <hyperlink ref="BK468" r:id="rId928"/>
    <hyperlink ref="BT468" r:id="rId929"/>
    <hyperlink ref="BK469" r:id="rId930"/>
    <hyperlink ref="BT469" r:id="rId931"/>
    <hyperlink ref="BK470" r:id="rId932"/>
    <hyperlink ref="BT470" r:id="rId933"/>
    <hyperlink ref="BK471" r:id="rId934"/>
    <hyperlink ref="BT471" r:id="rId935"/>
    <hyperlink ref="BK472" r:id="rId936"/>
    <hyperlink ref="BT472" r:id="rId937"/>
    <hyperlink ref="BK473" r:id="rId938"/>
    <hyperlink ref="BT473" r:id="rId939"/>
    <hyperlink ref="BK474" r:id="rId940"/>
    <hyperlink ref="BT474" r:id="rId941"/>
    <hyperlink ref="BK475" r:id="rId942"/>
    <hyperlink ref="BT475" r:id="rId943"/>
    <hyperlink ref="BK476" r:id="rId944"/>
    <hyperlink ref="BT476" r:id="rId945"/>
    <hyperlink ref="BK477" r:id="rId946"/>
    <hyperlink ref="BT477" r:id="rId947"/>
    <hyperlink ref="BK478" r:id="rId948"/>
    <hyperlink ref="BT478" r:id="rId949"/>
    <hyperlink ref="BK479" r:id="rId950"/>
    <hyperlink ref="BT479" r:id="rId951"/>
    <hyperlink ref="BK480" r:id="rId952"/>
    <hyperlink ref="BT480" r:id="rId953"/>
    <hyperlink ref="BK481" r:id="rId954"/>
    <hyperlink ref="BT481" r:id="rId955"/>
    <hyperlink ref="BK482" r:id="rId956"/>
    <hyperlink ref="BT482" r:id="rId957"/>
    <hyperlink ref="BK483" r:id="rId958"/>
    <hyperlink ref="BT483" r:id="rId959"/>
    <hyperlink ref="BK484" r:id="rId960"/>
    <hyperlink ref="BT484" r:id="rId961"/>
    <hyperlink ref="BK485" r:id="rId962"/>
    <hyperlink ref="BT485" r:id="rId963"/>
    <hyperlink ref="BK486" r:id="rId964"/>
    <hyperlink ref="BT486" r:id="rId965"/>
    <hyperlink ref="BK487" r:id="rId966"/>
    <hyperlink ref="BT487" r:id="rId967"/>
    <hyperlink ref="BK488" r:id="rId968"/>
    <hyperlink ref="BT488" r:id="rId969"/>
    <hyperlink ref="BK489" r:id="rId970"/>
    <hyperlink ref="BT489" r:id="rId971"/>
    <hyperlink ref="BK490" r:id="rId972"/>
    <hyperlink ref="BT490" r:id="rId973"/>
    <hyperlink ref="BK491" r:id="rId974"/>
    <hyperlink ref="BT491" r:id="rId975"/>
    <hyperlink ref="BK492" r:id="rId976"/>
    <hyperlink ref="BT492" r:id="rId977"/>
    <hyperlink ref="BK493" r:id="rId978"/>
    <hyperlink ref="BT493" r:id="rId979"/>
    <hyperlink ref="BK494" r:id="rId980"/>
    <hyperlink ref="BT494" r:id="rId981"/>
    <hyperlink ref="BK495" r:id="rId982"/>
    <hyperlink ref="BT495" r:id="rId983"/>
    <hyperlink ref="BK496" r:id="rId984"/>
    <hyperlink ref="BT496" r:id="rId985"/>
    <hyperlink ref="BK497" r:id="rId986"/>
    <hyperlink ref="BT497" r:id="rId987"/>
    <hyperlink ref="BK498" r:id="rId988"/>
    <hyperlink ref="BT498" r:id="rId989"/>
    <hyperlink ref="BK499" r:id="rId990"/>
    <hyperlink ref="BT499" r:id="rId991"/>
    <hyperlink ref="BK500" r:id="rId992"/>
    <hyperlink ref="BT500" r:id="rId993"/>
    <hyperlink ref="BK501" r:id="rId994"/>
    <hyperlink ref="BT501" r:id="rId995"/>
    <hyperlink ref="BK502" r:id="rId996"/>
    <hyperlink ref="BT502" r:id="rId997"/>
    <hyperlink ref="BK503" r:id="rId998"/>
    <hyperlink ref="BT503" r:id="rId999"/>
    <hyperlink ref="BK504" r:id="rId1000"/>
    <hyperlink ref="BT504" r:id="rId1001"/>
    <hyperlink ref="BK505" r:id="rId1002"/>
    <hyperlink ref="BT505" r:id="rId1003"/>
    <hyperlink ref="BK506" r:id="rId1004"/>
    <hyperlink ref="BT506" r:id="rId1005"/>
    <hyperlink ref="BK507" r:id="rId1006"/>
    <hyperlink ref="BT507" r:id="rId1007"/>
    <hyperlink ref="BK508" r:id="rId1008"/>
    <hyperlink ref="BT508" r:id="rId1009"/>
    <hyperlink ref="BK509" r:id="rId1010"/>
    <hyperlink ref="BT509" r:id="rId1011"/>
    <hyperlink ref="BK510" r:id="rId1012"/>
    <hyperlink ref="BT510" r:id="rId1013"/>
    <hyperlink ref="BK511" r:id="rId1014"/>
    <hyperlink ref="BT511" r:id="rId1015"/>
    <hyperlink ref="BK512" r:id="rId1016"/>
    <hyperlink ref="BT512" r:id="rId1017"/>
    <hyperlink ref="BK513" r:id="rId1018"/>
    <hyperlink ref="BT513" r:id="rId1019"/>
    <hyperlink ref="BK514" r:id="rId1020"/>
    <hyperlink ref="BT514" r:id="rId1021"/>
    <hyperlink ref="BK515" r:id="rId1022"/>
    <hyperlink ref="BT515" r:id="rId1023"/>
    <hyperlink ref="BK516" r:id="rId1024"/>
    <hyperlink ref="BT516" r:id="rId1025"/>
    <hyperlink ref="BK517" r:id="rId1026"/>
    <hyperlink ref="BT517" r:id="rId1027"/>
    <hyperlink ref="BK518" r:id="rId1028"/>
    <hyperlink ref="BT518" r:id="rId1029"/>
    <hyperlink ref="BK519" r:id="rId1030"/>
    <hyperlink ref="BT519" r:id="rId1031"/>
    <hyperlink ref="BK520" r:id="rId1032"/>
    <hyperlink ref="BT520" r:id="rId1033"/>
    <hyperlink ref="BK521" r:id="rId1034"/>
    <hyperlink ref="BT521" r:id="rId1035"/>
    <hyperlink ref="BK522" r:id="rId1036"/>
    <hyperlink ref="BT522" r:id="rId1037"/>
    <hyperlink ref="BK523" r:id="rId1038"/>
    <hyperlink ref="BT523" r:id="rId1039"/>
    <hyperlink ref="BK524" r:id="rId1040"/>
    <hyperlink ref="BT524" r:id="rId1041"/>
    <hyperlink ref="BK525" r:id="rId1042"/>
    <hyperlink ref="BT525" r:id="rId1043"/>
    <hyperlink ref="BK526" r:id="rId1044"/>
    <hyperlink ref="BT526" r:id="rId1045"/>
    <hyperlink ref="BK527" r:id="rId1046"/>
    <hyperlink ref="BT527" r:id="rId1047"/>
    <hyperlink ref="BK528" r:id="rId1048"/>
    <hyperlink ref="BT528" r:id="rId1049"/>
    <hyperlink ref="BT529" r:id="rId1050"/>
    <hyperlink ref="BK530" r:id="rId1051"/>
    <hyperlink ref="BT530" r:id="rId1052"/>
    <hyperlink ref="BK531" r:id="rId1053"/>
    <hyperlink ref="BT531" r:id="rId1054"/>
    <hyperlink ref="BK532" r:id="rId1055"/>
    <hyperlink ref="BT532" r:id="rId1056"/>
    <hyperlink ref="BK533" r:id="rId1057"/>
    <hyperlink ref="BT533" r:id="rId1058"/>
    <hyperlink ref="BK534" r:id="rId1059"/>
    <hyperlink ref="BT534" r:id="rId1060"/>
    <hyperlink ref="BK535" r:id="rId1061"/>
    <hyperlink ref="BT535" r:id="rId1062"/>
    <hyperlink ref="BK536" r:id="rId1063"/>
    <hyperlink ref="BT536" r:id="rId1064"/>
    <hyperlink ref="BK537" r:id="rId1065"/>
    <hyperlink ref="BT537" r:id="rId1066"/>
    <hyperlink ref="BK538" r:id="rId1067"/>
    <hyperlink ref="BT538" r:id="rId1068"/>
    <hyperlink ref="BK539" r:id="rId1069"/>
    <hyperlink ref="BT539" r:id="rId1070"/>
    <hyperlink ref="BK540" r:id="rId1071"/>
    <hyperlink ref="BT540" r:id="rId1072"/>
    <hyperlink ref="BK541" r:id="rId1073"/>
    <hyperlink ref="BT541" r:id="rId1074"/>
    <hyperlink ref="BK542" r:id="rId1075"/>
    <hyperlink ref="BT542" r:id="rId1076"/>
    <hyperlink ref="BK543" r:id="rId1077"/>
    <hyperlink ref="BT543" r:id="rId1078"/>
    <hyperlink ref="BK544" r:id="rId1079"/>
    <hyperlink ref="BT544" r:id="rId1080"/>
    <hyperlink ref="BK545" r:id="rId1081"/>
    <hyperlink ref="BT545" r:id="rId1082"/>
    <hyperlink ref="BK546" r:id="rId1083"/>
    <hyperlink ref="BT546" r:id="rId1084"/>
    <hyperlink ref="BK547" r:id="rId1085"/>
    <hyperlink ref="BT547" r:id="rId1086"/>
    <hyperlink ref="BK548" r:id="rId1087"/>
    <hyperlink ref="BT548" r:id="rId1088"/>
    <hyperlink ref="BK549" r:id="rId1089"/>
    <hyperlink ref="BT549" r:id="rId1090"/>
    <hyperlink ref="BK550" r:id="rId1091"/>
    <hyperlink ref="BT550" r:id="rId1092"/>
    <hyperlink ref="BK551" r:id="rId1093"/>
    <hyperlink ref="BT551" r:id="rId1094"/>
    <hyperlink ref="BK552" r:id="rId1095"/>
    <hyperlink ref="BT552" r:id="rId1096"/>
    <hyperlink ref="BK553" r:id="rId1097"/>
    <hyperlink ref="BT553" r:id="rId1098"/>
    <hyperlink ref="BK554" r:id="rId1099"/>
    <hyperlink ref="BT554" r:id="rId1100"/>
    <hyperlink ref="BK555" r:id="rId1101"/>
    <hyperlink ref="BT555" r:id="rId1102"/>
    <hyperlink ref="BK556" r:id="rId1103"/>
    <hyperlink ref="BT556" r:id="rId1104"/>
    <hyperlink ref="BK557" r:id="rId1105"/>
    <hyperlink ref="BT557" r:id="rId1106"/>
    <hyperlink ref="BK558" r:id="rId1107"/>
    <hyperlink ref="BT558" r:id="rId1108"/>
    <hyperlink ref="BK559" r:id="rId1109"/>
    <hyperlink ref="BT559" r:id="rId1110"/>
    <hyperlink ref="BK560" r:id="rId1111"/>
    <hyperlink ref="BT560" r:id="rId1112"/>
    <hyperlink ref="BK561" r:id="rId1113"/>
    <hyperlink ref="BT561" r:id="rId1114"/>
    <hyperlink ref="BK562" r:id="rId1115"/>
    <hyperlink ref="BT562" r:id="rId1116"/>
    <hyperlink ref="BK563" r:id="rId1117"/>
    <hyperlink ref="BT563" r:id="rId1118"/>
    <hyperlink ref="BK564" r:id="rId1119"/>
    <hyperlink ref="BT564" r:id="rId1120"/>
    <hyperlink ref="BK565" r:id="rId1121"/>
    <hyperlink ref="BT565" r:id="rId1122"/>
    <hyperlink ref="BK566" r:id="rId1123"/>
    <hyperlink ref="BT566" r:id="rId1124"/>
    <hyperlink ref="BK567" r:id="rId1125"/>
    <hyperlink ref="BT567" r:id="rId1126"/>
    <hyperlink ref="BK568" r:id="rId1127"/>
    <hyperlink ref="BT568" r:id="rId1128"/>
    <hyperlink ref="BK569" r:id="rId1129"/>
    <hyperlink ref="BT569" r:id="rId1130"/>
    <hyperlink ref="BK570" r:id="rId1131"/>
    <hyperlink ref="BT570" r:id="rId1132"/>
    <hyperlink ref="BK571" r:id="rId1133"/>
    <hyperlink ref="BT571" r:id="rId1134"/>
    <hyperlink ref="BK572" r:id="rId1135"/>
    <hyperlink ref="BT572" r:id="rId1136"/>
    <hyperlink ref="BK573" r:id="rId1137"/>
    <hyperlink ref="BT573" r:id="rId1138"/>
    <hyperlink ref="BK574" r:id="rId1139"/>
    <hyperlink ref="BT574" r:id="rId1140"/>
    <hyperlink ref="BK575" r:id="rId1141"/>
    <hyperlink ref="BT575" r:id="rId1142"/>
    <hyperlink ref="BK576" r:id="rId1143"/>
    <hyperlink ref="BT576" r:id="rId1144"/>
    <hyperlink ref="BK577" r:id="rId1145"/>
    <hyperlink ref="BT577" r:id="rId1146"/>
    <hyperlink ref="BK578" r:id="rId1147"/>
    <hyperlink ref="BT578" r:id="rId1148"/>
    <hyperlink ref="BK579" r:id="rId1149"/>
    <hyperlink ref="BT579" r:id="rId1150"/>
    <hyperlink ref="BK580" r:id="rId1151"/>
    <hyperlink ref="BT580" r:id="rId1152"/>
    <hyperlink ref="BK581" r:id="rId1153"/>
    <hyperlink ref="BT581" r:id="rId1154"/>
    <hyperlink ref="BK582" r:id="rId1155"/>
    <hyperlink ref="BT582" r:id="rId1156"/>
    <hyperlink ref="BK583" r:id="rId1157"/>
    <hyperlink ref="BT583" r:id="rId1158"/>
    <hyperlink ref="BK584" r:id="rId1159"/>
    <hyperlink ref="BT584" r:id="rId1160"/>
    <hyperlink ref="BK585" r:id="rId1161"/>
    <hyperlink ref="BT585" r:id="rId1162"/>
    <hyperlink ref="BK586" r:id="rId1163"/>
    <hyperlink ref="BT586" r:id="rId1164"/>
    <hyperlink ref="BK587" r:id="rId1165"/>
    <hyperlink ref="BT587" r:id="rId1166"/>
    <hyperlink ref="BK588" r:id="rId1167"/>
    <hyperlink ref="BT588" r:id="rId1168"/>
    <hyperlink ref="BK589" r:id="rId1169"/>
    <hyperlink ref="BT589" r:id="rId1170"/>
    <hyperlink ref="BK590" r:id="rId1171"/>
    <hyperlink ref="BT590" r:id="rId1172"/>
    <hyperlink ref="BK591" r:id="rId1173"/>
    <hyperlink ref="BT591" r:id="rId1174"/>
    <hyperlink ref="BK592" r:id="rId1175"/>
    <hyperlink ref="BT592" r:id="rId1176"/>
    <hyperlink ref="BK593" r:id="rId1177"/>
    <hyperlink ref="BT593" r:id="rId1178"/>
    <hyperlink ref="BK594" r:id="rId1179"/>
    <hyperlink ref="BT594" r:id="rId1180"/>
    <hyperlink ref="BK595" r:id="rId1181"/>
    <hyperlink ref="BT595" r:id="rId1182"/>
    <hyperlink ref="BK596" r:id="rId1183"/>
    <hyperlink ref="BT596" r:id="rId1184"/>
    <hyperlink ref="BK597" r:id="rId1185"/>
    <hyperlink ref="BT597" r:id="rId1186"/>
    <hyperlink ref="BK598" r:id="rId1187"/>
    <hyperlink ref="BT598" r:id="rId1188"/>
    <hyperlink ref="BK599" r:id="rId1189"/>
    <hyperlink ref="BT599" r:id="rId1190"/>
    <hyperlink ref="BK600" r:id="rId1191"/>
    <hyperlink ref="BT600" r:id="rId1192"/>
    <hyperlink ref="BK601" r:id="rId1193"/>
    <hyperlink ref="BT601" r:id="rId1194"/>
    <hyperlink ref="BK602" r:id="rId1195"/>
    <hyperlink ref="BT602" r:id="rId1196"/>
    <hyperlink ref="BK603" r:id="rId1197"/>
    <hyperlink ref="BT603" r:id="rId1198"/>
    <hyperlink ref="BK604" r:id="rId1199"/>
    <hyperlink ref="BT604" r:id="rId1200"/>
    <hyperlink ref="BK605" r:id="rId1201"/>
    <hyperlink ref="BT605" r:id="rId1202"/>
    <hyperlink ref="BK606" r:id="rId1203"/>
    <hyperlink ref="BT606" r:id="rId1204"/>
    <hyperlink ref="BK607" r:id="rId1205"/>
    <hyperlink ref="BT607" r:id="rId1206"/>
    <hyperlink ref="BK608" r:id="rId1207"/>
    <hyperlink ref="BT608" r:id="rId1208"/>
    <hyperlink ref="BK609" r:id="rId1209"/>
    <hyperlink ref="BT609" r:id="rId1210"/>
    <hyperlink ref="BK610" r:id="rId1211"/>
    <hyperlink ref="BT610" r:id="rId1212"/>
    <hyperlink ref="BK611" r:id="rId1213"/>
    <hyperlink ref="BT611" r:id="rId1214"/>
    <hyperlink ref="BK612" r:id="rId1215"/>
    <hyperlink ref="BT612" r:id="rId1216"/>
    <hyperlink ref="BK613" r:id="rId1217"/>
    <hyperlink ref="BT613" r:id="rId1218"/>
    <hyperlink ref="BK614" r:id="rId1219"/>
    <hyperlink ref="BT614" r:id="rId1220"/>
    <hyperlink ref="BK615" r:id="rId1221"/>
    <hyperlink ref="BT615" r:id="rId1222"/>
    <hyperlink ref="BK616" r:id="rId1223"/>
    <hyperlink ref="BT616" r:id="rId1224"/>
    <hyperlink ref="BK617" r:id="rId1225"/>
    <hyperlink ref="BT617" r:id="rId1226"/>
    <hyperlink ref="BK618" r:id="rId1227"/>
    <hyperlink ref="BT618" r:id="rId1228"/>
    <hyperlink ref="BK619" r:id="rId1229"/>
    <hyperlink ref="BT619" r:id="rId1230"/>
    <hyperlink ref="BK620" r:id="rId1231"/>
    <hyperlink ref="BT620" r:id="rId1232"/>
    <hyperlink ref="BK621" r:id="rId1233"/>
    <hyperlink ref="BT621" r:id="rId1234"/>
    <hyperlink ref="BK622" r:id="rId1235"/>
    <hyperlink ref="BT622" r:id="rId1236"/>
    <hyperlink ref="BK623" r:id="rId1237"/>
    <hyperlink ref="BT623" r:id="rId1238"/>
    <hyperlink ref="BK624" r:id="rId1239"/>
    <hyperlink ref="BT624" r:id="rId1240"/>
    <hyperlink ref="BK625" r:id="rId1241"/>
    <hyperlink ref="BT625" r:id="rId1242"/>
    <hyperlink ref="BK626" r:id="rId1243"/>
    <hyperlink ref="BT626" r:id="rId1244"/>
    <hyperlink ref="BK627" r:id="rId1245"/>
    <hyperlink ref="BT627" r:id="rId1246"/>
    <hyperlink ref="BK628" r:id="rId1247"/>
    <hyperlink ref="BT628" r:id="rId1248"/>
    <hyperlink ref="BK629" r:id="rId1249"/>
    <hyperlink ref="BT629" r:id="rId1250"/>
    <hyperlink ref="BK630" r:id="rId1251"/>
    <hyperlink ref="BT630" r:id="rId1252"/>
    <hyperlink ref="BK631" r:id="rId1253"/>
    <hyperlink ref="BT631" r:id="rId1254"/>
    <hyperlink ref="BK632" r:id="rId1255"/>
    <hyperlink ref="BT632" r:id="rId1256"/>
    <hyperlink ref="BK633" r:id="rId1257"/>
    <hyperlink ref="BT633" r:id="rId1258"/>
    <hyperlink ref="BK634" r:id="rId1259"/>
    <hyperlink ref="BT634" r:id="rId1260"/>
    <hyperlink ref="BK635" r:id="rId1261"/>
    <hyperlink ref="BT635" r:id="rId1262"/>
    <hyperlink ref="BK636" r:id="rId1263"/>
    <hyperlink ref="BT636" r:id="rId1264"/>
    <hyperlink ref="BK637" r:id="rId1265"/>
    <hyperlink ref="BT637" r:id="rId1266"/>
    <hyperlink ref="BK638" r:id="rId1267"/>
    <hyperlink ref="BT638" r:id="rId1268"/>
    <hyperlink ref="BK639" r:id="rId1269"/>
    <hyperlink ref="BT639" r:id="rId1270"/>
    <hyperlink ref="BK640" r:id="rId1271"/>
    <hyperlink ref="BT640" r:id="rId1272"/>
    <hyperlink ref="BK641" r:id="rId1273"/>
    <hyperlink ref="BT641" r:id="rId1274"/>
    <hyperlink ref="BK642" r:id="rId1275"/>
    <hyperlink ref="BT642" r:id="rId1276"/>
    <hyperlink ref="BK643" r:id="rId1277"/>
    <hyperlink ref="BT643" r:id="rId1278"/>
    <hyperlink ref="BK644" r:id="rId1279"/>
    <hyperlink ref="BT644" r:id="rId1280"/>
    <hyperlink ref="BK645" r:id="rId1281"/>
    <hyperlink ref="BT645" r:id="rId1282"/>
    <hyperlink ref="BK646" r:id="rId1283"/>
    <hyperlink ref="BT646" r:id="rId1284"/>
    <hyperlink ref="BK647" r:id="rId1285"/>
    <hyperlink ref="BT647" r:id="rId1286"/>
    <hyperlink ref="BK648" r:id="rId1287"/>
    <hyperlink ref="BT648" r:id="rId1288"/>
    <hyperlink ref="BK649" r:id="rId1289"/>
    <hyperlink ref="BT649" r:id="rId1290"/>
    <hyperlink ref="BK650" r:id="rId1291"/>
    <hyperlink ref="BT650" r:id="rId1292"/>
    <hyperlink ref="BK651" r:id="rId1293"/>
    <hyperlink ref="BT651" r:id="rId1294"/>
    <hyperlink ref="BK652" r:id="rId1295"/>
    <hyperlink ref="BT652" r:id="rId1296"/>
    <hyperlink ref="BK653" r:id="rId1297"/>
    <hyperlink ref="BT653" r:id="rId1298"/>
    <hyperlink ref="BK654" r:id="rId1299"/>
    <hyperlink ref="BT654" r:id="rId1300"/>
    <hyperlink ref="BK655" r:id="rId1301"/>
    <hyperlink ref="BT655" r:id="rId1302"/>
    <hyperlink ref="BK656" r:id="rId1303"/>
    <hyperlink ref="BT656" r:id="rId1304"/>
    <hyperlink ref="BK657" r:id="rId1305"/>
    <hyperlink ref="BT657" r:id="rId1306"/>
    <hyperlink ref="BK658" r:id="rId1307"/>
    <hyperlink ref="BT658" r:id="rId1308"/>
    <hyperlink ref="BK659" r:id="rId1309"/>
    <hyperlink ref="BT659" r:id="rId1310"/>
    <hyperlink ref="BK660" r:id="rId1311"/>
    <hyperlink ref="BT660" r:id="rId1312"/>
    <hyperlink ref="BK661" r:id="rId1313"/>
    <hyperlink ref="BT661" r:id="rId1314"/>
    <hyperlink ref="BK662" r:id="rId1315"/>
    <hyperlink ref="BT662" r:id="rId1316"/>
    <hyperlink ref="BK663" r:id="rId1317"/>
    <hyperlink ref="BT663" r:id="rId1318"/>
    <hyperlink ref="BK664" r:id="rId1319"/>
    <hyperlink ref="BT664" r:id="rId1320"/>
    <hyperlink ref="BK665" r:id="rId1321"/>
    <hyperlink ref="BT665" r:id="rId1322"/>
    <hyperlink ref="BT666" r:id="rId1323"/>
    <hyperlink ref="BK667" r:id="rId1324"/>
    <hyperlink ref="BT667" r:id="rId1325"/>
    <hyperlink ref="BK668" r:id="rId1326"/>
    <hyperlink ref="BT668" r:id="rId1327"/>
    <hyperlink ref="BK669" r:id="rId1328"/>
    <hyperlink ref="BT669" r:id="rId1329"/>
    <hyperlink ref="BK670" r:id="rId1330"/>
    <hyperlink ref="BT670" r:id="rId1331"/>
    <hyperlink ref="BK671" r:id="rId1332"/>
    <hyperlink ref="BT671" r:id="rId1333"/>
    <hyperlink ref="BK672" r:id="rId1334"/>
    <hyperlink ref="BT672" r:id="rId1335"/>
    <hyperlink ref="BK673" r:id="rId1336"/>
    <hyperlink ref="BT673" r:id="rId1337"/>
    <hyperlink ref="BK674" r:id="rId1338"/>
    <hyperlink ref="BT674" r:id="rId1339"/>
    <hyperlink ref="BK675" r:id="rId1340"/>
    <hyperlink ref="BT675" r:id="rId1341"/>
    <hyperlink ref="BK676" r:id="rId1342"/>
    <hyperlink ref="BT676" r:id="rId1343"/>
    <hyperlink ref="BK677" r:id="rId1344"/>
    <hyperlink ref="BT677" r:id="rId1345"/>
    <hyperlink ref="BK678" r:id="rId1346"/>
    <hyperlink ref="BT678" r:id="rId1347"/>
    <hyperlink ref="BK679" r:id="rId1348"/>
    <hyperlink ref="BT679" r:id="rId1349"/>
    <hyperlink ref="BK680" r:id="rId1350"/>
    <hyperlink ref="BT680" r:id="rId1351"/>
    <hyperlink ref="BK681" r:id="rId1352"/>
    <hyperlink ref="BT681" r:id="rId1353"/>
    <hyperlink ref="BK682" r:id="rId1354"/>
    <hyperlink ref="BT682" r:id="rId1355"/>
    <hyperlink ref="BK683" r:id="rId1356"/>
    <hyperlink ref="BT683" r:id="rId1357"/>
    <hyperlink ref="BK684" r:id="rId1358"/>
    <hyperlink ref="BT684" r:id="rId1359"/>
    <hyperlink ref="BK685" r:id="rId1360"/>
    <hyperlink ref="BT685" r:id="rId1361"/>
    <hyperlink ref="BK686" r:id="rId1362"/>
    <hyperlink ref="BT686" r:id="rId1363"/>
    <hyperlink ref="BK687" r:id="rId1364"/>
    <hyperlink ref="BT687" r:id="rId1365"/>
    <hyperlink ref="BK688" r:id="rId1366"/>
    <hyperlink ref="BT688" r:id="rId1367"/>
    <hyperlink ref="BK689" r:id="rId1368"/>
    <hyperlink ref="BT689" r:id="rId1369"/>
    <hyperlink ref="BK690" r:id="rId1370"/>
    <hyperlink ref="BT690" r:id="rId1371"/>
    <hyperlink ref="BK691" r:id="rId1372"/>
    <hyperlink ref="BT691" r:id="rId1373"/>
    <hyperlink ref="BK692" r:id="rId1374"/>
    <hyperlink ref="BT692" r:id="rId1375"/>
    <hyperlink ref="BK693" r:id="rId1376"/>
    <hyperlink ref="BT693" r:id="rId1377"/>
    <hyperlink ref="BK694" r:id="rId1378"/>
    <hyperlink ref="BT694" r:id="rId1379"/>
    <hyperlink ref="BK695" r:id="rId1380"/>
    <hyperlink ref="BT695" r:id="rId1381"/>
    <hyperlink ref="BK696" r:id="rId1382"/>
    <hyperlink ref="BT696" r:id="rId1383"/>
    <hyperlink ref="BK697" r:id="rId1384"/>
    <hyperlink ref="BT697" r:id="rId1385"/>
    <hyperlink ref="BK698" r:id="rId1386"/>
    <hyperlink ref="BT698" r:id="rId1387"/>
    <hyperlink ref="BK699" r:id="rId1388"/>
    <hyperlink ref="BT699" r:id="rId1389"/>
    <hyperlink ref="BK700" r:id="rId1390"/>
    <hyperlink ref="BT700" r:id="rId1391"/>
    <hyperlink ref="BK701" r:id="rId1392"/>
    <hyperlink ref="BT701" r:id="rId1393"/>
    <hyperlink ref="BK702" r:id="rId1394"/>
    <hyperlink ref="BT702" r:id="rId1395"/>
    <hyperlink ref="BK703" r:id="rId1396"/>
    <hyperlink ref="BT703" r:id="rId1397"/>
    <hyperlink ref="BK704" r:id="rId1398"/>
    <hyperlink ref="BT704" r:id="rId1399"/>
    <hyperlink ref="BK705" r:id="rId1400"/>
    <hyperlink ref="BT705" r:id="rId1401"/>
    <hyperlink ref="BK706" r:id="rId1402"/>
    <hyperlink ref="BT706" r:id="rId1403"/>
    <hyperlink ref="BK707" r:id="rId1404"/>
    <hyperlink ref="BT707" r:id="rId1405"/>
    <hyperlink ref="BK708" r:id="rId1406"/>
    <hyperlink ref="BT708" r:id="rId1407"/>
    <hyperlink ref="BK709" r:id="rId1408"/>
    <hyperlink ref="BT709" r:id="rId1409"/>
    <hyperlink ref="BK710" r:id="rId1410"/>
    <hyperlink ref="BT710" r:id="rId1411"/>
    <hyperlink ref="BK711" r:id="rId1412"/>
    <hyperlink ref="BT711" r:id="rId1413"/>
    <hyperlink ref="BK712" r:id="rId1414"/>
    <hyperlink ref="BT712" r:id="rId1415"/>
    <hyperlink ref="BK713" r:id="rId1416"/>
    <hyperlink ref="BT713" r:id="rId1417"/>
    <hyperlink ref="BK714" r:id="rId1418"/>
    <hyperlink ref="BT714" r:id="rId1419"/>
    <hyperlink ref="BK715" r:id="rId1420"/>
    <hyperlink ref="BT715" r:id="rId1421"/>
    <hyperlink ref="BK716" r:id="rId1422"/>
    <hyperlink ref="BT716" r:id="rId1423"/>
    <hyperlink ref="BK717" r:id="rId1424"/>
    <hyperlink ref="BT717" r:id="rId1425"/>
    <hyperlink ref="BK718" r:id="rId1426"/>
    <hyperlink ref="BT718" r:id="rId1427"/>
    <hyperlink ref="BK719" r:id="rId1428"/>
    <hyperlink ref="BT719" r:id="rId1429"/>
    <hyperlink ref="BK720" r:id="rId1430"/>
    <hyperlink ref="BT720" r:id="rId1431"/>
    <hyperlink ref="BK721" r:id="rId1432"/>
    <hyperlink ref="BT721" r:id="rId1433"/>
    <hyperlink ref="BK722" r:id="rId1434"/>
    <hyperlink ref="BT722" r:id="rId1435"/>
    <hyperlink ref="BK723" r:id="rId1436"/>
    <hyperlink ref="BT723" r:id="rId1437"/>
    <hyperlink ref="BK724" r:id="rId1438"/>
    <hyperlink ref="BT724" r:id="rId1439"/>
    <hyperlink ref="BK725" r:id="rId1440"/>
    <hyperlink ref="BT725" r:id="rId1441"/>
    <hyperlink ref="BK726" r:id="rId1442"/>
    <hyperlink ref="BT726" r:id="rId1443"/>
    <hyperlink ref="BK727" r:id="rId1444"/>
    <hyperlink ref="BT727" r:id="rId1445"/>
    <hyperlink ref="BK728" r:id="rId1446"/>
    <hyperlink ref="BT728" r:id="rId1447"/>
    <hyperlink ref="BK729" r:id="rId1448"/>
    <hyperlink ref="BT729" r:id="rId1449"/>
    <hyperlink ref="BK730" r:id="rId1450"/>
    <hyperlink ref="BT730" r:id="rId1451"/>
    <hyperlink ref="BK731" r:id="rId1452"/>
    <hyperlink ref="BT731" r:id="rId1453"/>
    <hyperlink ref="BK732" r:id="rId1454"/>
    <hyperlink ref="BT732" r:id="rId1455"/>
    <hyperlink ref="BK733" r:id="rId1456"/>
    <hyperlink ref="BT733" r:id="rId1457"/>
    <hyperlink ref="BK734" r:id="rId1458"/>
    <hyperlink ref="BT734" r:id="rId1459"/>
    <hyperlink ref="BK735" r:id="rId1460"/>
    <hyperlink ref="BT735" r:id="rId1461"/>
    <hyperlink ref="BK736" r:id="rId1462"/>
    <hyperlink ref="BT736" r:id="rId1463"/>
    <hyperlink ref="BK737" r:id="rId1464"/>
    <hyperlink ref="BT737" r:id="rId1465"/>
    <hyperlink ref="BK738" r:id="rId1466"/>
    <hyperlink ref="BT738" r:id="rId1467"/>
    <hyperlink ref="BK739" r:id="rId1468"/>
    <hyperlink ref="BT739" r:id="rId1469"/>
    <hyperlink ref="BK740" r:id="rId1470"/>
    <hyperlink ref="BT740" r:id="rId1471"/>
    <hyperlink ref="BK741" r:id="rId1472"/>
    <hyperlink ref="BT741" r:id="rId1473"/>
    <hyperlink ref="BK742" r:id="rId1474"/>
    <hyperlink ref="BT742" r:id="rId1475"/>
    <hyperlink ref="BK743" r:id="rId1476"/>
    <hyperlink ref="BT743" r:id="rId1477"/>
    <hyperlink ref="BK744" r:id="rId1478"/>
    <hyperlink ref="BT744" r:id="rId1479"/>
    <hyperlink ref="BK745" r:id="rId1480"/>
    <hyperlink ref="BT745" r:id="rId1481"/>
    <hyperlink ref="BK746" r:id="rId1482"/>
    <hyperlink ref="BT746" r:id="rId1483"/>
    <hyperlink ref="BK747" r:id="rId1484"/>
    <hyperlink ref="BT747" r:id="rId1485"/>
    <hyperlink ref="BK748" r:id="rId1486"/>
    <hyperlink ref="BT748" r:id="rId1487"/>
    <hyperlink ref="BK749" r:id="rId1488"/>
    <hyperlink ref="BT749" r:id="rId1489"/>
    <hyperlink ref="BK750" r:id="rId1490"/>
    <hyperlink ref="BT750" r:id="rId1491"/>
    <hyperlink ref="BK751" r:id="rId1492"/>
    <hyperlink ref="BT751" r:id="rId1493"/>
    <hyperlink ref="BK752" r:id="rId1494"/>
    <hyperlink ref="BT752" r:id="rId1495"/>
    <hyperlink ref="BK753" r:id="rId1496"/>
    <hyperlink ref="BT753" r:id="rId1497"/>
    <hyperlink ref="BK754" r:id="rId1498"/>
    <hyperlink ref="BT754" r:id="rId1499"/>
    <hyperlink ref="BK755" r:id="rId1500"/>
    <hyperlink ref="BT755" r:id="rId1501"/>
    <hyperlink ref="BK756" r:id="rId1502"/>
    <hyperlink ref="BT756" r:id="rId1503"/>
    <hyperlink ref="BK757" r:id="rId1504"/>
    <hyperlink ref="BT757" r:id="rId1505"/>
    <hyperlink ref="BK758" r:id="rId1506"/>
    <hyperlink ref="BT758" r:id="rId1507"/>
    <hyperlink ref="BK759" r:id="rId1508"/>
    <hyperlink ref="BT759" r:id="rId1509"/>
    <hyperlink ref="BK760" r:id="rId1510"/>
    <hyperlink ref="BT760" r:id="rId1511"/>
    <hyperlink ref="BK761" r:id="rId1512"/>
    <hyperlink ref="BT761" r:id="rId1513"/>
    <hyperlink ref="BK762" r:id="rId1514"/>
    <hyperlink ref="BT762" r:id="rId1515"/>
    <hyperlink ref="BK763" r:id="rId1516"/>
    <hyperlink ref="BT763" r:id="rId1517"/>
    <hyperlink ref="BK764" r:id="rId1518"/>
    <hyperlink ref="BT764" r:id="rId1519"/>
    <hyperlink ref="BK765" r:id="rId1520"/>
    <hyperlink ref="BT765" r:id="rId1521"/>
    <hyperlink ref="BK766" r:id="rId1522"/>
    <hyperlink ref="BT766" r:id="rId1523"/>
    <hyperlink ref="BK767" r:id="rId1524"/>
    <hyperlink ref="BT767" r:id="rId1525"/>
    <hyperlink ref="BK768" r:id="rId1526"/>
    <hyperlink ref="BT768" r:id="rId1527"/>
    <hyperlink ref="BK769" r:id="rId1528"/>
    <hyperlink ref="BT769" r:id="rId1529"/>
    <hyperlink ref="BK770" r:id="rId1530"/>
    <hyperlink ref="BT770" r:id="rId1531"/>
    <hyperlink ref="BK771" r:id="rId1532"/>
    <hyperlink ref="BT771" r:id="rId1533"/>
    <hyperlink ref="BK772" r:id="rId1534"/>
    <hyperlink ref="BT772" r:id="rId1535"/>
    <hyperlink ref="BK773" r:id="rId1536"/>
    <hyperlink ref="BT773" r:id="rId1537"/>
    <hyperlink ref="BK774" r:id="rId1538"/>
    <hyperlink ref="BT774" r:id="rId1539"/>
    <hyperlink ref="BK775" r:id="rId1540"/>
    <hyperlink ref="BT775" r:id="rId1541"/>
    <hyperlink ref="BK776" r:id="rId1542"/>
    <hyperlink ref="BT776" r:id="rId1543"/>
    <hyperlink ref="BK777" r:id="rId1544"/>
    <hyperlink ref="BT777" r:id="rId1545"/>
    <hyperlink ref="BK778" r:id="rId1546"/>
    <hyperlink ref="BT778" r:id="rId1547"/>
    <hyperlink ref="BK779" r:id="rId1548"/>
    <hyperlink ref="BT779" r:id="rId1549"/>
    <hyperlink ref="BK780" r:id="rId1550"/>
    <hyperlink ref="BT780" r:id="rId1551"/>
    <hyperlink ref="BK781" r:id="rId1552"/>
    <hyperlink ref="BT781" r:id="rId1553"/>
    <hyperlink ref="BK782" r:id="rId1554"/>
    <hyperlink ref="BT782" r:id="rId1555"/>
    <hyperlink ref="BK783" r:id="rId1556"/>
    <hyperlink ref="BT783" r:id="rId1557"/>
    <hyperlink ref="BK784" r:id="rId1558"/>
    <hyperlink ref="BT784" r:id="rId1559"/>
    <hyperlink ref="BK785" r:id="rId1560"/>
    <hyperlink ref="BT785" r:id="rId1561"/>
    <hyperlink ref="BK786" r:id="rId1562"/>
    <hyperlink ref="BT786" r:id="rId1563"/>
    <hyperlink ref="BK787" r:id="rId1564"/>
    <hyperlink ref="BT787" r:id="rId1565"/>
    <hyperlink ref="BK788" r:id="rId1566"/>
    <hyperlink ref="BT788" r:id="rId1567"/>
    <hyperlink ref="BK789" r:id="rId1568"/>
    <hyperlink ref="BT789" r:id="rId1569"/>
    <hyperlink ref="BK790" r:id="rId1570"/>
    <hyperlink ref="BT790" r:id="rId1571"/>
    <hyperlink ref="BK791" r:id="rId1572"/>
    <hyperlink ref="BT791" r:id="rId1573"/>
    <hyperlink ref="BK792" r:id="rId1574"/>
    <hyperlink ref="BT792" r:id="rId1575"/>
    <hyperlink ref="BK793" r:id="rId1576"/>
    <hyperlink ref="BT793" r:id="rId1577"/>
    <hyperlink ref="BK794" r:id="rId1578"/>
    <hyperlink ref="BT794" r:id="rId1579"/>
    <hyperlink ref="BK795" r:id="rId1580"/>
    <hyperlink ref="BT795" r:id="rId1581"/>
    <hyperlink ref="BK796" r:id="rId1582"/>
    <hyperlink ref="BT796" r:id="rId1583"/>
    <hyperlink ref="BK797" r:id="rId1584"/>
    <hyperlink ref="BT797" r:id="rId1585"/>
    <hyperlink ref="BK798" r:id="rId1586"/>
    <hyperlink ref="BT798" r:id="rId1587"/>
    <hyperlink ref="BK799" r:id="rId1588"/>
    <hyperlink ref="BT799" r:id="rId1589"/>
    <hyperlink ref="BK800" r:id="rId1590"/>
    <hyperlink ref="BT800" r:id="rId1591"/>
    <hyperlink ref="BK801" r:id="rId1592"/>
    <hyperlink ref="BT801" r:id="rId1593"/>
    <hyperlink ref="BK802" r:id="rId1594"/>
    <hyperlink ref="BT802" r:id="rId1595"/>
    <hyperlink ref="BK803" r:id="rId1596"/>
    <hyperlink ref="BT803" r:id="rId1597"/>
    <hyperlink ref="BK804" r:id="rId1598"/>
    <hyperlink ref="BT804" r:id="rId1599"/>
    <hyperlink ref="BK805" r:id="rId1600"/>
    <hyperlink ref="BT805" r:id="rId1601"/>
    <hyperlink ref="BK806" r:id="rId1602"/>
    <hyperlink ref="BT806" r:id="rId1603"/>
    <hyperlink ref="BK807" r:id="rId1604"/>
    <hyperlink ref="BT807" r:id="rId1605"/>
    <hyperlink ref="BK808" r:id="rId1606"/>
    <hyperlink ref="BT808" r:id="rId1607"/>
    <hyperlink ref="BK809" r:id="rId1608"/>
    <hyperlink ref="BT809" r:id="rId1609"/>
    <hyperlink ref="BK810" r:id="rId1610"/>
    <hyperlink ref="BT810" r:id="rId1611"/>
    <hyperlink ref="BK811" r:id="rId1612"/>
    <hyperlink ref="BT811" r:id="rId1613"/>
    <hyperlink ref="BK812" r:id="rId1614"/>
    <hyperlink ref="BT812" r:id="rId1615"/>
    <hyperlink ref="BK813" r:id="rId1616"/>
    <hyperlink ref="BT813" r:id="rId1617"/>
    <hyperlink ref="BK814" r:id="rId1618"/>
    <hyperlink ref="BT814" r:id="rId1619"/>
    <hyperlink ref="BK815" r:id="rId1620"/>
    <hyperlink ref="BT815" r:id="rId1621"/>
    <hyperlink ref="BK816" r:id="rId1622"/>
    <hyperlink ref="BT816" r:id="rId1623"/>
    <hyperlink ref="BK817" r:id="rId1624"/>
    <hyperlink ref="BT817" r:id="rId1625"/>
    <hyperlink ref="BK818" r:id="rId1626"/>
    <hyperlink ref="BT818" r:id="rId1627"/>
    <hyperlink ref="BK819" r:id="rId1628"/>
    <hyperlink ref="BT819" r:id="rId1629"/>
    <hyperlink ref="BK820" r:id="rId1630"/>
    <hyperlink ref="BT820" r:id="rId1631"/>
    <hyperlink ref="BK821" r:id="rId1632"/>
    <hyperlink ref="BT821" r:id="rId1633"/>
    <hyperlink ref="BK822" r:id="rId1634"/>
    <hyperlink ref="BT822" r:id="rId1635"/>
    <hyperlink ref="BK823" r:id="rId1636"/>
    <hyperlink ref="BT823" r:id="rId1637"/>
    <hyperlink ref="BK824" r:id="rId1638"/>
    <hyperlink ref="BT824" r:id="rId1639"/>
    <hyperlink ref="BK825" r:id="rId1640"/>
    <hyperlink ref="BT825" r:id="rId1641"/>
    <hyperlink ref="BK826" r:id="rId1642"/>
    <hyperlink ref="BT826" r:id="rId1643"/>
    <hyperlink ref="BK827" r:id="rId1644"/>
    <hyperlink ref="BT827" r:id="rId1645"/>
    <hyperlink ref="BK828" r:id="rId1646"/>
    <hyperlink ref="BT828" r:id="rId1647"/>
    <hyperlink ref="BK829" r:id="rId1648"/>
    <hyperlink ref="BT829" r:id="rId1649"/>
    <hyperlink ref="BK830" r:id="rId1650"/>
    <hyperlink ref="BT830" r:id="rId1651"/>
    <hyperlink ref="BK831" r:id="rId1652"/>
    <hyperlink ref="BT831" r:id="rId1653"/>
    <hyperlink ref="BK832" r:id="rId1654"/>
    <hyperlink ref="BT832" r:id="rId1655"/>
    <hyperlink ref="BK833" r:id="rId1656"/>
    <hyperlink ref="BT833" r:id="rId1657"/>
    <hyperlink ref="BK834" r:id="rId1658"/>
    <hyperlink ref="BT834" r:id="rId1659"/>
    <hyperlink ref="BK835" r:id="rId1660"/>
    <hyperlink ref="BT835" r:id="rId1661"/>
    <hyperlink ref="BK836" r:id="rId1662"/>
    <hyperlink ref="BT836" r:id="rId1663"/>
    <hyperlink ref="BK837" r:id="rId1664"/>
    <hyperlink ref="BT837" r:id="rId1665"/>
    <hyperlink ref="BK838" r:id="rId1666"/>
    <hyperlink ref="BT838" r:id="rId1667"/>
    <hyperlink ref="BK839" r:id="rId1668"/>
    <hyperlink ref="BT839" r:id="rId1669"/>
    <hyperlink ref="BK840" r:id="rId1670"/>
    <hyperlink ref="BT840" r:id="rId1671"/>
    <hyperlink ref="BK841" r:id="rId1672"/>
    <hyperlink ref="BT841" r:id="rId1673"/>
    <hyperlink ref="BK842" r:id="rId1674"/>
    <hyperlink ref="BT842" r:id="rId1675"/>
    <hyperlink ref="BK843" r:id="rId1676"/>
    <hyperlink ref="BT843" r:id="rId1677"/>
    <hyperlink ref="BK844" r:id="rId1678"/>
    <hyperlink ref="BT844" r:id="rId1679"/>
    <hyperlink ref="BK845" r:id="rId1680"/>
    <hyperlink ref="BT845" r:id="rId1681"/>
    <hyperlink ref="BK846" r:id="rId1682"/>
    <hyperlink ref="BT846" r:id="rId1683"/>
    <hyperlink ref="BK847" r:id="rId1684"/>
    <hyperlink ref="BT847" r:id="rId1685"/>
    <hyperlink ref="BK848" r:id="rId1686"/>
    <hyperlink ref="BT848" r:id="rId1687"/>
    <hyperlink ref="BK849" r:id="rId1688"/>
    <hyperlink ref="BT849" r:id="rId1689"/>
    <hyperlink ref="BK850" r:id="rId1690"/>
    <hyperlink ref="BT850" r:id="rId1691"/>
    <hyperlink ref="BK851" r:id="rId1692"/>
    <hyperlink ref="BT851" r:id="rId1693"/>
    <hyperlink ref="BK852" r:id="rId1694"/>
    <hyperlink ref="BT852" r:id="rId1695"/>
    <hyperlink ref="BK853" r:id="rId1696"/>
    <hyperlink ref="BT853" r:id="rId1697"/>
    <hyperlink ref="BK854" r:id="rId1698"/>
    <hyperlink ref="BT854" r:id="rId1699"/>
    <hyperlink ref="BK855" r:id="rId1700"/>
    <hyperlink ref="BT855" r:id="rId1701"/>
    <hyperlink ref="BK856" r:id="rId1702"/>
    <hyperlink ref="BT856" r:id="rId1703"/>
    <hyperlink ref="BK857" r:id="rId1704"/>
    <hyperlink ref="BT857" r:id="rId1705"/>
    <hyperlink ref="BK858" r:id="rId1706"/>
    <hyperlink ref="BT858" r:id="rId1707"/>
    <hyperlink ref="BK859" r:id="rId1708"/>
    <hyperlink ref="BT859" r:id="rId1709"/>
    <hyperlink ref="BK860" r:id="rId1710"/>
    <hyperlink ref="BT860" r:id="rId1711"/>
    <hyperlink ref="BK861" r:id="rId1712"/>
    <hyperlink ref="BT861" r:id="rId1713"/>
    <hyperlink ref="BK862" r:id="rId1714"/>
    <hyperlink ref="BT862" r:id="rId1715"/>
    <hyperlink ref="BK863" r:id="rId1716"/>
    <hyperlink ref="BT863" r:id="rId1717"/>
    <hyperlink ref="BK864" r:id="rId1718"/>
    <hyperlink ref="BT864" r:id="rId1719"/>
    <hyperlink ref="BK865" r:id="rId1720"/>
    <hyperlink ref="BT865" r:id="rId1721"/>
    <hyperlink ref="BK866" r:id="rId1722"/>
    <hyperlink ref="BT866" r:id="rId1723"/>
    <hyperlink ref="BK867" r:id="rId1724"/>
    <hyperlink ref="BT867" r:id="rId1725"/>
    <hyperlink ref="BK868" r:id="rId1726"/>
    <hyperlink ref="BT868" r:id="rId1727"/>
    <hyperlink ref="BK869" r:id="rId1728"/>
    <hyperlink ref="BT869" r:id="rId1729"/>
    <hyperlink ref="BK870" r:id="rId1730"/>
    <hyperlink ref="BT870" r:id="rId1731"/>
    <hyperlink ref="BK871" r:id="rId1732"/>
    <hyperlink ref="BT871" r:id="rId1733"/>
    <hyperlink ref="BK872" r:id="rId1734"/>
    <hyperlink ref="BT872" r:id="rId1735"/>
    <hyperlink ref="BK873" r:id="rId1736"/>
    <hyperlink ref="BT873" r:id="rId1737"/>
    <hyperlink ref="BK874" r:id="rId1738"/>
    <hyperlink ref="BT874" r:id="rId1739"/>
    <hyperlink ref="BK875" r:id="rId1740"/>
    <hyperlink ref="BT875" r:id="rId1741"/>
    <hyperlink ref="BK876" r:id="rId1742"/>
    <hyperlink ref="BT876" r:id="rId1743"/>
    <hyperlink ref="BK877" r:id="rId1744"/>
    <hyperlink ref="BT877" r:id="rId1745"/>
    <hyperlink ref="BK878" r:id="rId1746"/>
    <hyperlink ref="BT878" r:id="rId1747"/>
    <hyperlink ref="BK879" r:id="rId1748"/>
    <hyperlink ref="BT879" r:id="rId1749"/>
    <hyperlink ref="BK880" r:id="rId1750"/>
    <hyperlink ref="BT880" r:id="rId1751"/>
    <hyperlink ref="BK881" r:id="rId1752"/>
    <hyperlink ref="BT881" r:id="rId1753"/>
    <hyperlink ref="BK882" r:id="rId1754"/>
    <hyperlink ref="BT882" r:id="rId1755"/>
    <hyperlink ref="BK883" r:id="rId1756"/>
    <hyperlink ref="BT883" r:id="rId1757"/>
    <hyperlink ref="BK884" r:id="rId1758"/>
    <hyperlink ref="BT884" r:id="rId1759"/>
    <hyperlink ref="BK885" r:id="rId1760"/>
    <hyperlink ref="BT885" r:id="rId1761"/>
    <hyperlink ref="BK886" r:id="rId1762"/>
    <hyperlink ref="BT886" r:id="rId1763"/>
    <hyperlink ref="BK887" r:id="rId1764"/>
    <hyperlink ref="BT887" r:id="rId1765"/>
    <hyperlink ref="BK888" r:id="rId1766"/>
    <hyperlink ref="BT888" r:id="rId1767"/>
    <hyperlink ref="BK889" r:id="rId1768"/>
    <hyperlink ref="BT889" r:id="rId1769"/>
    <hyperlink ref="BK890" r:id="rId1770"/>
    <hyperlink ref="BT890" r:id="rId1771"/>
    <hyperlink ref="BK891" r:id="rId1772"/>
    <hyperlink ref="BT891" r:id="rId1773"/>
    <hyperlink ref="BK892" r:id="rId1774"/>
    <hyperlink ref="BT892" r:id="rId1775"/>
    <hyperlink ref="BK893" r:id="rId1776"/>
    <hyperlink ref="BT893" r:id="rId1777"/>
    <hyperlink ref="BK894" r:id="rId1778"/>
    <hyperlink ref="BT894" r:id="rId1779"/>
    <hyperlink ref="BK895" r:id="rId1780"/>
    <hyperlink ref="BT895" r:id="rId1781"/>
    <hyperlink ref="BK896" r:id="rId1782"/>
    <hyperlink ref="BT896" r:id="rId1783"/>
    <hyperlink ref="BK897" r:id="rId1784"/>
    <hyperlink ref="BT897" r:id="rId1785"/>
    <hyperlink ref="BK898" r:id="rId1786"/>
    <hyperlink ref="BT898" r:id="rId1787"/>
    <hyperlink ref="BK899" r:id="rId1788"/>
    <hyperlink ref="BT899" r:id="rId1789"/>
    <hyperlink ref="BK900" r:id="rId1790"/>
    <hyperlink ref="BT900" r:id="rId1791"/>
    <hyperlink ref="BK901" r:id="rId1792"/>
    <hyperlink ref="BT901" r:id="rId1793"/>
    <hyperlink ref="BK902" r:id="rId1794"/>
    <hyperlink ref="BT902" r:id="rId1795"/>
    <hyperlink ref="BK903" r:id="rId1796"/>
    <hyperlink ref="BT903" r:id="rId1797"/>
    <hyperlink ref="BK904" r:id="rId1798"/>
    <hyperlink ref="BT904" r:id="rId1799"/>
    <hyperlink ref="BK905" r:id="rId1800"/>
    <hyperlink ref="BT905" r:id="rId1801"/>
    <hyperlink ref="BK906" r:id="rId1802"/>
    <hyperlink ref="BT906" r:id="rId1803"/>
    <hyperlink ref="BK907" r:id="rId1804"/>
    <hyperlink ref="BT907" r:id="rId1805"/>
    <hyperlink ref="BK908" r:id="rId1806"/>
    <hyperlink ref="BT908" r:id="rId1807"/>
    <hyperlink ref="BK909" r:id="rId1808"/>
    <hyperlink ref="BT909" r:id="rId1809"/>
    <hyperlink ref="BK910" r:id="rId1810"/>
    <hyperlink ref="BT910" r:id="rId1811"/>
    <hyperlink ref="BK911" r:id="rId1812"/>
    <hyperlink ref="BT911" r:id="rId1813"/>
    <hyperlink ref="BK912" r:id="rId1814"/>
    <hyperlink ref="BT912" r:id="rId1815"/>
    <hyperlink ref="BK913" r:id="rId1816"/>
    <hyperlink ref="BT913" r:id="rId1817"/>
    <hyperlink ref="BK914" r:id="rId1818"/>
    <hyperlink ref="BT914" r:id="rId1819"/>
    <hyperlink ref="BK915" r:id="rId1820"/>
    <hyperlink ref="BT915" r:id="rId1821"/>
    <hyperlink ref="BK916" r:id="rId1822"/>
    <hyperlink ref="BT916" r:id="rId1823"/>
    <hyperlink ref="BK917" r:id="rId1824"/>
    <hyperlink ref="BT917" r:id="rId1825"/>
    <hyperlink ref="BK918" r:id="rId1826"/>
    <hyperlink ref="BT918" r:id="rId1827"/>
    <hyperlink ref="BK919" r:id="rId1828"/>
    <hyperlink ref="BT919" r:id="rId1829"/>
    <hyperlink ref="BK920" r:id="rId1830"/>
    <hyperlink ref="BT920" r:id="rId1831"/>
    <hyperlink ref="BK921" r:id="rId1832"/>
    <hyperlink ref="BT921" r:id="rId1833"/>
    <hyperlink ref="BK922" r:id="rId1834"/>
    <hyperlink ref="BT922" r:id="rId1835"/>
    <hyperlink ref="BK923" r:id="rId1836"/>
    <hyperlink ref="BT923" r:id="rId1837"/>
    <hyperlink ref="BK924" r:id="rId1838"/>
    <hyperlink ref="BT924" r:id="rId1839"/>
    <hyperlink ref="BK925" r:id="rId1840"/>
    <hyperlink ref="BT925" r:id="rId1841"/>
    <hyperlink ref="BK926" r:id="rId1842"/>
    <hyperlink ref="BT926" r:id="rId1843"/>
    <hyperlink ref="BK927" r:id="rId1844"/>
    <hyperlink ref="BT927" r:id="rId1845"/>
    <hyperlink ref="BK928" r:id="rId1846"/>
    <hyperlink ref="BT928" r:id="rId1847"/>
    <hyperlink ref="BK929" r:id="rId1848"/>
    <hyperlink ref="BT929" r:id="rId1849"/>
    <hyperlink ref="BK930" r:id="rId1850"/>
    <hyperlink ref="BT930" r:id="rId1851"/>
    <hyperlink ref="BK931" r:id="rId1852"/>
    <hyperlink ref="BT931" r:id="rId1853"/>
    <hyperlink ref="BK932" r:id="rId1854"/>
    <hyperlink ref="BT932" r:id="rId1855"/>
    <hyperlink ref="BK933" r:id="rId1856"/>
    <hyperlink ref="BT933" r:id="rId1857"/>
    <hyperlink ref="BK934" r:id="rId1858"/>
    <hyperlink ref="BT934" r:id="rId1859"/>
    <hyperlink ref="BK935" r:id="rId1860"/>
    <hyperlink ref="BT935" r:id="rId1861"/>
    <hyperlink ref="BK936" r:id="rId1862"/>
    <hyperlink ref="BT936" r:id="rId1863"/>
    <hyperlink ref="BK937" r:id="rId1864"/>
    <hyperlink ref="BT937" r:id="rId1865"/>
    <hyperlink ref="BK938" r:id="rId1866"/>
    <hyperlink ref="BT938" r:id="rId1867"/>
    <hyperlink ref="BK939" r:id="rId1868"/>
    <hyperlink ref="BT939" r:id="rId1869"/>
    <hyperlink ref="BK940" r:id="rId1870"/>
    <hyperlink ref="BT940" r:id="rId1871"/>
    <hyperlink ref="BK941" r:id="rId1872"/>
    <hyperlink ref="BT941" r:id="rId1873"/>
    <hyperlink ref="BK942" r:id="rId1874"/>
    <hyperlink ref="BT942" r:id="rId1875"/>
    <hyperlink ref="BK943" r:id="rId1876"/>
    <hyperlink ref="BT943" r:id="rId1877"/>
    <hyperlink ref="BK944" r:id="rId1878"/>
    <hyperlink ref="BT944" r:id="rId1879"/>
    <hyperlink ref="BK945" r:id="rId1880"/>
    <hyperlink ref="BT945" r:id="rId1881"/>
    <hyperlink ref="BK946" r:id="rId1882"/>
    <hyperlink ref="BT946" r:id="rId1883"/>
    <hyperlink ref="BK947" r:id="rId1884"/>
    <hyperlink ref="BT947" r:id="rId1885"/>
    <hyperlink ref="BK948" r:id="rId1886"/>
    <hyperlink ref="BT948" r:id="rId1887"/>
    <hyperlink ref="BK949" r:id="rId1888"/>
    <hyperlink ref="BT949" r:id="rId1889"/>
    <hyperlink ref="BK950" r:id="rId1890"/>
    <hyperlink ref="BT950" r:id="rId1891"/>
    <hyperlink ref="BK951" r:id="rId1892"/>
    <hyperlink ref="BT951" r:id="rId1893"/>
    <hyperlink ref="BK952" r:id="rId1894"/>
    <hyperlink ref="BT952" r:id="rId1895"/>
    <hyperlink ref="BK953" r:id="rId1896"/>
    <hyperlink ref="BT953" r:id="rId1897"/>
    <hyperlink ref="BK954" r:id="rId1898"/>
    <hyperlink ref="BT954" r:id="rId1899"/>
    <hyperlink ref="BK955" r:id="rId1900"/>
    <hyperlink ref="BT955" r:id="rId1901"/>
    <hyperlink ref="BK956" r:id="rId1902"/>
    <hyperlink ref="BT956" r:id="rId1903"/>
    <hyperlink ref="BK957" r:id="rId1904"/>
    <hyperlink ref="BT957" r:id="rId1905"/>
    <hyperlink ref="BK958" r:id="rId1906"/>
    <hyperlink ref="BT958" r:id="rId1907"/>
    <hyperlink ref="BK959" r:id="rId1908"/>
    <hyperlink ref="BT959" r:id="rId1909"/>
    <hyperlink ref="BK960" r:id="rId1910"/>
    <hyperlink ref="BT960" r:id="rId1911"/>
    <hyperlink ref="BK961" r:id="rId1912"/>
    <hyperlink ref="BT961" r:id="rId1913"/>
    <hyperlink ref="BK962" r:id="rId1914"/>
    <hyperlink ref="BT962" r:id="rId1915"/>
    <hyperlink ref="BK963" r:id="rId1916"/>
    <hyperlink ref="BT963" r:id="rId1917"/>
    <hyperlink ref="BK964" r:id="rId1918"/>
    <hyperlink ref="BT964" r:id="rId1919"/>
    <hyperlink ref="BT965" r:id="rId1920"/>
    <hyperlink ref="BK966" r:id="rId1921"/>
    <hyperlink ref="BT966" r:id="rId1922"/>
    <hyperlink ref="BK967" r:id="rId1923"/>
    <hyperlink ref="BT967" r:id="rId1924"/>
    <hyperlink ref="BK968" r:id="rId1925"/>
    <hyperlink ref="BT968" r:id="rId1926"/>
    <hyperlink ref="BK969" r:id="rId1927"/>
    <hyperlink ref="BT969" r:id="rId1928"/>
    <hyperlink ref="BK970" r:id="rId1929"/>
    <hyperlink ref="BT970" r:id="rId1930"/>
    <hyperlink ref="BK971" r:id="rId1931"/>
    <hyperlink ref="BT971" r:id="rId1932"/>
    <hyperlink ref="BK972" r:id="rId1933"/>
    <hyperlink ref="BT972" r:id="rId1934"/>
    <hyperlink ref="BK973" r:id="rId1935"/>
    <hyperlink ref="BT973" r:id="rId1936"/>
    <hyperlink ref="BK974" r:id="rId1937"/>
    <hyperlink ref="BT974" r:id="rId1938"/>
    <hyperlink ref="BK975" r:id="rId1939"/>
    <hyperlink ref="BT975" r:id="rId1940"/>
    <hyperlink ref="BK976" r:id="rId1941"/>
    <hyperlink ref="BT976" r:id="rId1942"/>
    <hyperlink ref="BK977" r:id="rId1943"/>
    <hyperlink ref="BT977" r:id="rId1944"/>
    <hyperlink ref="BK978" r:id="rId1945"/>
    <hyperlink ref="BT978" r:id="rId1946"/>
    <hyperlink ref="BK979" r:id="rId1947"/>
    <hyperlink ref="BT979" r:id="rId1948"/>
    <hyperlink ref="BK980" r:id="rId1949"/>
    <hyperlink ref="BT980" r:id="rId1950"/>
    <hyperlink ref="BK981" r:id="rId1951"/>
    <hyperlink ref="BT981" r:id="rId1952"/>
    <hyperlink ref="BK982" r:id="rId1953"/>
    <hyperlink ref="BT982" r:id="rId1954"/>
    <hyperlink ref="BK983" r:id="rId1955"/>
    <hyperlink ref="BT983" r:id="rId1956"/>
    <hyperlink ref="BK984" r:id="rId1957"/>
    <hyperlink ref="BT984" r:id="rId1958"/>
    <hyperlink ref="BK985" r:id="rId1959"/>
    <hyperlink ref="BT985" r:id="rId1960"/>
    <hyperlink ref="BK986" r:id="rId1961"/>
    <hyperlink ref="BT986" r:id="rId1962"/>
    <hyperlink ref="BK987" r:id="rId1963"/>
    <hyperlink ref="BT987" r:id="rId1964"/>
    <hyperlink ref="BK988" r:id="rId1965"/>
    <hyperlink ref="BT988" r:id="rId1966"/>
    <hyperlink ref="BK989" r:id="rId1967"/>
    <hyperlink ref="BT989" r:id="rId1968"/>
    <hyperlink ref="BK990" r:id="rId1969"/>
    <hyperlink ref="BT990" r:id="rId1970"/>
    <hyperlink ref="BK991" r:id="rId1971"/>
    <hyperlink ref="BT991" r:id="rId1972"/>
    <hyperlink ref="BK992" r:id="rId1973"/>
    <hyperlink ref="BT992" r:id="rId1974"/>
    <hyperlink ref="BK993" r:id="rId1975"/>
    <hyperlink ref="BT993" r:id="rId1976"/>
    <hyperlink ref="BK994" r:id="rId1977"/>
    <hyperlink ref="BT994" r:id="rId1978"/>
    <hyperlink ref="BK995" r:id="rId1979"/>
    <hyperlink ref="BT995" r:id="rId1980"/>
    <hyperlink ref="BK996" r:id="rId1981"/>
    <hyperlink ref="BT996" r:id="rId1982"/>
    <hyperlink ref="BK997" r:id="rId1983"/>
    <hyperlink ref="BT997" r:id="rId1984"/>
    <hyperlink ref="BK998" r:id="rId1985"/>
    <hyperlink ref="BT998" r:id="rId1986"/>
    <hyperlink ref="BK999" r:id="rId1987"/>
    <hyperlink ref="BT999" r:id="rId1988"/>
    <hyperlink ref="BK1000" r:id="rId1989"/>
    <hyperlink ref="BT1000" r:id="rId1990"/>
    <hyperlink ref="BK1001" r:id="rId1991"/>
    <hyperlink ref="BT1001" r:id="rId1992"/>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2026-08-26T16:13:08Z</dcterms:created>
  <dc:creator>Apache POI</dc:creator>
</cp:coreProperties>
</file>